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3"/>
  </bookViews>
  <sheets>
    <sheet name="Profitability" sheetId="2" r:id="rId1"/>
    <sheet name="Profitability (2)" sheetId="3" r:id="rId2"/>
    <sheet name="Liquidity" sheetId="4" r:id="rId3"/>
    <sheet name="Liquidity (2)" sheetId="5" r:id="rId4"/>
  </sheets>
  <calcPr calcId="162913"/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P20" i="4"/>
  <c r="AI25" i="4"/>
  <c r="H10" i="4"/>
  <c r="AF14" i="4"/>
  <c r="AJ17" i="4"/>
  <c r="X25" i="4"/>
  <c r="O20" i="4"/>
  <c r="E12" i="4"/>
  <c r="I14" i="4"/>
  <c r="Y17" i="4"/>
  <c r="Q24" i="4"/>
  <c r="AA12" i="4"/>
  <c r="AD8" i="4"/>
  <c r="AL9" i="4"/>
  <c r="J14" i="4"/>
  <c r="F20" i="4"/>
  <c r="N21" i="4"/>
  <c r="O13" i="4"/>
  <c r="AM13" i="4"/>
  <c r="G20" i="4"/>
  <c r="K26" i="4"/>
  <c r="O8" i="4"/>
  <c r="AB13" i="4"/>
  <c r="Q13" i="4"/>
  <c r="L22" i="4"/>
  <c r="L26" i="4"/>
  <c r="AI1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M9" i="4"/>
  <c r="AN9" i="4"/>
  <c r="AO9" i="4"/>
  <c r="AP9" i="4"/>
  <c r="C10" i="4"/>
  <c r="D10" i="4"/>
  <c r="E10" i="4"/>
  <c r="F10" i="4"/>
  <c r="G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R13" i="4"/>
  <c r="S13" i="4"/>
  <c r="T13" i="4"/>
  <c r="U13" i="4"/>
  <c r="V13" i="4"/>
  <c r="W13" i="4"/>
  <c r="X13" i="4"/>
  <c r="Y13" i="4"/>
  <c r="Z13" i="4"/>
  <c r="AA13" i="4"/>
  <c r="AC13" i="4"/>
  <c r="AD13" i="4"/>
  <c r="AE13" i="4"/>
  <c r="AF13" i="4"/>
  <c r="AG13" i="4"/>
  <c r="AH13" i="4"/>
  <c r="AJ13" i="4"/>
  <c r="AK13" i="4"/>
  <c r="AL13" i="4"/>
  <c r="AN13" i="4"/>
  <c r="AO13" i="4"/>
  <c r="AP13" i="4"/>
  <c r="C14" i="4"/>
  <c r="D14" i="4"/>
  <c r="E14" i="4"/>
  <c r="F14" i="4"/>
  <c r="G14" i="4"/>
  <c r="H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Z17" i="4"/>
  <c r="AA17" i="4"/>
  <c r="AB17" i="4"/>
  <c r="AC17" i="4"/>
  <c r="AD17" i="4"/>
  <c r="AE17" i="4"/>
  <c r="AF17" i="4"/>
  <c r="AG17" i="4"/>
  <c r="AH17" i="4"/>
  <c r="AI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0" i="4"/>
  <c r="D20" i="4"/>
  <c r="E20" i="4"/>
  <c r="H20" i="4"/>
  <c r="I20" i="4"/>
  <c r="J20" i="4"/>
  <c r="K20" i="4"/>
  <c r="L20" i="4"/>
  <c r="M20" i="4"/>
  <c r="N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Y25" i="4"/>
  <c r="Z25" i="4"/>
  <c r="AA25" i="4"/>
  <c r="AB25" i="4"/>
  <c r="AC25" i="4"/>
  <c r="AD25" i="4"/>
  <c r="AE25" i="4"/>
  <c r="AF25" i="4"/>
  <c r="AG25" i="4"/>
  <c r="AH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E9" i="2"/>
  <c r="AA16" i="2"/>
  <c r="AO24" i="2"/>
  <c r="W14" i="2"/>
  <c r="AF10" i="2"/>
  <c r="P17" i="2"/>
  <c r="U10" i="2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S20" i="2"/>
  <c r="D26" i="2"/>
  <c r="AP9" i="2"/>
  <c r="O7" i="2"/>
  <c r="Z7" i="2"/>
  <c r="U8" i="2"/>
  <c r="AD7" i="2"/>
  <c r="AH8" i="2"/>
  <c r="M10" i="2"/>
  <c r="R14" i="2"/>
  <c r="J13" i="2"/>
  <c r="C7" i="2"/>
  <c r="AA7" i="2"/>
  <c r="AM7" i="2"/>
  <c r="AI8" i="2"/>
  <c r="W8" i="2"/>
  <c r="K8" i="2"/>
  <c r="G9" i="2"/>
  <c r="S9" i="2"/>
  <c r="O10" i="2"/>
  <c r="C10" i="2"/>
  <c r="AA10" i="2"/>
  <c r="AM10" i="2"/>
  <c r="K13" i="2"/>
  <c r="AI13" i="2"/>
  <c r="W13" i="2"/>
  <c r="S26" i="2"/>
  <c r="G14" i="2"/>
  <c r="AA19" i="2"/>
  <c r="O16" i="2"/>
  <c r="S14" i="2"/>
  <c r="C16" i="2"/>
  <c r="AE14" i="2"/>
  <c r="K17" i="2"/>
  <c r="AM16" i="2"/>
  <c r="W17" i="2"/>
  <c r="AI17" i="2"/>
  <c r="AE18" i="2"/>
  <c r="S18" i="2"/>
  <c r="G18" i="2"/>
  <c r="O19" i="2"/>
  <c r="C19" i="2"/>
  <c r="AM19" i="2"/>
  <c r="K20" i="2"/>
  <c r="W20" i="2"/>
  <c r="AI20" i="2"/>
  <c r="G21" i="2"/>
  <c r="AE21" i="2"/>
  <c r="S21" i="2"/>
  <c r="O24" i="2"/>
  <c r="C24" i="2"/>
  <c r="AA24" i="2"/>
  <c r="AM24" i="2"/>
  <c r="G26" i="2"/>
  <c r="K25" i="2"/>
  <c r="AI25" i="2"/>
  <c r="W25" i="2"/>
  <c r="AE26" i="2"/>
  <c r="M7" i="2"/>
  <c r="E9" i="2"/>
  <c r="AL7" i="2"/>
  <c r="AK10" i="2"/>
  <c r="N10" i="2"/>
  <c r="AP14" i="2"/>
  <c r="F9" i="2"/>
  <c r="AH13" i="2"/>
  <c r="D7" i="2"/>
  <c r="AB7" i="2"/>
  <c r="P7" i="2"/>
  <c r="AN7" i="2"/>
  <c r="L8" i="2"/>
  <c r="H9" i="2"/>
  <c r="AF9" i="2"/>
  <c r="AJ8" i="2"/>
  <c r="X8" i="2"/>
  <c r="T9" i="2"/>
  <c r="D10" i="2"/>
  <c r="AN10" i="2"/>
  <c r="P10" i="2"/>
  <c r="L13" i="2"/>
  <c r="AB10" i="2"/>
  <c r="AJ13" i="2"/>
  <c r="X13" i="2"/>
  <c r="H14" i="2"/>
  <c r="D16" i="2"/>
  <c r="P16" i="2"/>
  <c r="AF14" i="2"/>
  <c r="T14" i="2"/>
  <c r="AB16" i="2"/>
  <c r="L17" i="2"/>
  <c r="X17" i="2"/>
  <c r="AN16" i="2"/>
  <c r="H18" i="2"/>
  <c r="AJ17" i="2"/>
  <c r="AN24" i="2"/>
  <c r="AJ25" i="2"/>
  <c r="T18" i="2"/>
  <c r="AF18" i="2"/>
  <c r="D19" i="2"/>
  <c r="AN19" i="2"/>
  <c r="P19" i="2"/>
  <c r="AB19" i="2"/>
  <c r="L20" i="2"/>
  <c r="X20" i="2"/>
  <c r="H21" i="2"/>
  <c r="AJ20" i="2"/>
  <c r="T21" i="2"/>
  <c r="AB24" i="2"/>
  <c r="L25" i="2"/>
  <c r="AC16" i="2"/>
  <c r="AF21" i="2"/>
  <c r="D24" i="2"/>
  <c r="P24" i="2"/>
  <c r="X25" i="2"/>
  <c r="T26" i="2"/>
  <c r="H26" i="2"/>
  <c r="I8" i="2"/>
  <c r="AC9" i="2"/>
  <c r="AF26" i="2"/>
  <c r="N7" i="2"/>
  <c r="AD9" i="2"/>
  <c r="V8" i="2"/>
  <c r="AG9" i="2"/>
  <c r="AL10" i="2"/>
  <c r="AD14" i="2"/>
  <c r="Q7" i="2"/>
  <c r="E7" i="2"/>
  <c r="AC7" i="2"/>
  <c r="AO7" i="2"/>
  <c r="Y8" i="2"/>
  <c r="AK8" i="2"/>
  <c r="I9" i="2"/>
  <c r="M8" i="2"/>
  <c r="U9" i="2"/>
  <c r="E10" i="2"/>
  <c r="AC10" i="2"/>
  <c r="AO10" i="2"/>
  <c r="AK13" i="2"/>
  <c r="Q10" i="2"/>
  <c r="M13" i="2"/>
  <c r="Y13" i="2"/>
  <c r="I14" i="2"/>
  <c r="U14" i="2"/>
  <c r="E16" i="2"/>
  <c r="AG14" i="2"/>
  <c r="Q16" i="2"/>
  <c r="Y17" i="2"/>
  <c r="AO16" i="2"/>
  <c r="M17" i="2"/>
  <c r="AK17" i="2"/>
  <c r="I18" i="2"/>
  <c r="E19" i="2"/>
  <c r="AG18" i="2"/>
  <c r="U18" i="2"/>
  <c r="Q19" i="2"/>
  <c r="AO19" i="2"/>
  <c r="M20" i="2"/>
  <c r="E24" i="2"/>
  <c r="AC19" i="2"/>
  <c r="Y20" i="2"/>
  <c r="AK20" i="2"/>
  <c r="C17" i="2"/>
  <c r="AG21" i="2"/>
  <c r="U21" i="2"/>
  <c r="Q24" i="2"/>
  <c r="I21" i="2"/>
  <c r="AC24" i="2"/>
  <c r="M25" i="2"/>
  <c r="Y25" i="2"/>
  <c r="N20" i="2"/>
  <c r="I26" i="2"/>
  <c r="AK25" i="2"/>
  <c r="U26" i="2"/>
  <c r="W21" i="2"/>
  <c r="AG26" i="2"/>
  <c r="V14" i="2"/>
  <c r="Z8" i="2"/>
  <c r="N17" i="2"/>
  <c r="AD10" i="2"/>
  <c r="R24" i="2"/>
  <c r="G7" i="2"/>
  <c r="J26" i="2"/>
  <c r="AH18" i="2"/>
  <c r="S7" i="2"/>
  <c r="AE7" i="2"/>
  <c r="C8" i="2"/>
  <c r="O8" i="2"/>
  <c r="AM8" i="2"/>
  <c r="K9" i="2"/>
  <c r="W9" i="2"/>
  <c r="AA8" i="2"/>
  <c r="AI9" i="2"/>
  <c r="G10" i="2"/>
  <c r="S10" i="2"/>
  <c r="AE10" i="2"/>
  <c r="AA17" i="2"/>
  <c r="C13" i="2"/>
  <c r="K14" i="2"/>
  <c r="O13" i="2"/>
  <c r="AM13" i="2"/>
  <c r="AA13" i="2"/>
  <c r="AI14" i="2"/>
  <c r="AE16" i="2"/>
  <c r="G16" i="2"/>
  <c r="K18" i="2"/>
  <c r="AM17" i="2"/>
  <c r="S16" i="2"/>
  <c r="O17" i="2"/>
  <c r="G19" i="2"/>
  <c r="AI18" i="2"/>
  <c r="W18" i="2"/>
  <c r="C20" i="2"/>
  <c r="AE19" i="2"/>
  <c r="S19" i="2"/>
  <c r="O20" i="2"/>
  <c r="AA20" i="2"/>
  <c r="AM20" i="2"/>
  <c r="K21" i="2"/>
  <c r="AI21" i="2"/>
  <c r="AE24" i="2"/>
  <c r="S24" i="2"/>
  <c r="O25" i="2"/>
  <c r="C25" i="2"/>
  <c r="G24" i="2"/>
  <c r="H7" i="2"/>
  <c r="AM25" i="2"/>
  <c r="AA25" i="2"/>
  <c r="K26" i="2"/>
  <c r="W26" i="2"/>
  <c r="F16" i="2"/>
  <c r="AI26" i="2"/>
  <c r="AD19" i="2"/>
  <c r="AL25" i="2"/>
  <c r="AP10" i="2"/>
  <c r="J9" i="2"/>
  <c r="V21" i="2"/>
  <c r="AL17" i="2"/>
  <c r="AB8" i="2"/>
  <c r="P8" i="2"/>
  <c r="T7" i="2"/>
  <c r="AF7" i="2"/>
  <c r="D8" i="2"/>
  <c r="AN8" i="2"/>
  <c r="L9" i="2"/>
  <c r="X9" i="2"/>
  <c r="AJ9" i="2"/>
  <c r="D13" i="2"/>
  <c r="L14" i="2"/>
  <c r="H10" i="2"/>
  <c r="T10" i="2"/>
  <c r="AB13" i="2"/>
  <c r="AN13" i="2"/>
  <c r="P13" i="2"/>
  <c r="X14" i="2"/>
  <c r="T16" i="2"/>
  <c r="H16" i="2"/>
  <c r="AF16" i="2"/>
  <c r="D17" i="2"/>
  <c r="AJ14" i="2"/>
  <c r="AN17" i="2"/>
  <c r="AB17" i="2"/>
  <c r="D20" i="2"/>
  <c r="T19" i="2"/>
  <c r="L18" i="2"/>
  <c r="X18" i="2"/>
  <c r="AF19" i="2"/>
  <c r="H19" i="2"/>
  <c r="AJ18" i="2"/>
  <c r="P20" i="2"/>
  <c r="AB20" i="2"/>
  <c r="AN20" i="2"/>
  <c r="L21" i="2"/>
  <c r="AF24" i="2"/>
  <c r="AJ21" i="2"/>
  <c r="H24" i="2"/>
  <c r="T24" i="2"/>
  <c r="X21" i="2"/>
  <c r="P25" i="2"/>
  <c r="U7" i="2"/>
  <c r="AB25" i="2"/>
  <c r="D25" i="2"/>
  <c r="AN25" i="2"/>
  <c r="AJ26" i="2"/>
  <c r="N13" i="2"/>
  <c r="V9" i="2"/>
  <c r="L26" i="2"/>
  <c r="X26" i="2"/>
  <c r="R19" i="2"/>
  <c r="I7" i="2"/>
  <c r="R7" i="2"/>
  <c r="Z17" i="2"/>
  <c r="J21" i="2"/>
  <c r="AH14" i="2"/>
  <c r="AD24" i="2"/>
  <c r="V26" i="2"/>
  <c r="E8" i="2"/>
  <c r="AG7" i="2"/>
  <c r="Q8" i="2"/>
  <c r="AC8" i="2"/>
  <c r="AO8" i="2"/>
  <c r="Y9" i="2"/>
  <c r="M9" i="2"/>
  <c r="I10" i="2"/>
  <c r="AK9" i="2"/>
  <c r="AG10" i="2"/>
  <c r="AO13" i="2"/>
  <c r="AC13" i="2"/>
  <c r="AK14" i="2"/>
  <c r="Y14" i="2"/>
  <c r="E13" i="2"/>
  <c r="Q13" i="2"/>
  <c r="M14" i="2"/>
  <c r="I16" i="2"/>
  <c r="U16" i="2"/>
  <c r="AG16" i="2"/>
  <c r="Q17" i="2"/>
  <c r="E17" i="2"/>
  <c r="AO17" i="2"/>
  <c r="I24" i="2"/>
  <c r="AC17" i="2"/>
  <c r="M18" i="2"/>
  <c r="Y18" i="2"/>
  <c r="E20" i="2"/>
  <c r="I19" i="2"/>
  <c r="Q20" i="2"/>
  <c r="AG19" i="2"/>
  <c r="AK18" i="2"/>
  <c r="U19" i="2"/>
  <c r="AO25" i="2"/>
  <c r="AC20" i="2"/>
  <c r="AO20" i="2"/>
  <c r="Y21" i="2"/>
  <c r="M21" i="2"/>
  <c r="M26" i="2"/>
  <c r="U24" i="2"/>
  <c r="Q25" i="2"/>
  <c r="V16" i="2"/>
  <c r="AK21" i="2"/>
  <c r="AG24" i="2"/>
  <c r="AC25" i="2"/>
  <c r="Y26" i="2"/>
  <c r="E25" i="2"/>
  <c r="AP7" i="2"/>
  <c r="AH9" i="2"/>
  <c r="AL20" i="2"/>
  <c r="AK26" i="2"/>
  <c r="Z13" i="2"/>
  <c r="V18" i="2"/>
  <c r="AH7" i="2"/>
  <c r="AP24" i="2"/>
  <c r="R16" i="2"/>
  <c r="F13" i="2"/>
  <c r="AH26" i="2"/>
  <c r="R8" i="2"/>
  <c r="V7" i="2"/>
  <c r="F8" i="2"/>
  <c r="J7" i="2"/>
  <c r="AD8" i="2"/>
  <c r="N9" i="2"/>
  <c r="AP8" i="2"/>
  <c r="Z9" i="2"/>
  <c r="AH10" i="2"/>
  <c r="J10" i="2"/>
  <c r="V10" i="2"/>
  <c r="Z21" i="2"/>
  <c r="AP20" i="2"/>
  <c r="AL9" i="2"/>
  <c r="AD13" i="2"/>
  <c r="AH16" i="2"/>
  <c r="R13" i="2"/>
  <c r="AP13" i="2"/>
  <c r="N14" i="2"/>
  <c r="AL14" i="2"/>
  <c r="J16" i="2"/>
  <c r="R17" i="2"/>
  <c r="F17" i="2"/>
  <c r="Z14" i="2"/>
  <c r="J19" i="2"/>
  <c r="AL18" i="2"/>
  <c r="N18" i="2"/>
  <c r="AD17" i="2"/>
  <c r="AP17" i="2"/>
  <c r="AH19" i="2"/>
  <c r="Z18" i="2"/>
  <c r="V19" i="2"/>
  <c r="F20" i="2"/>
  <c r="AL21" i="2"/>
  <c r="N21" i="2"/>
  <c r="R20" i="2"/>
  <c r="AD20" i="2"/>
  <c r="J24" i="2"/>
  <c r="F25" i="2"/>
  <c r="V24" i="2"/>
  <c r="AL26" i="2"/>
  <c r="AL8" i="2"/>
  <c r="AP25" i="2"/>
  <c r="AH24" i="2"/>
  <c r="N26" i="2"/>
  <c r="R25" i="2"/>
  <c r="AP19" i="2"/>
  <c r="AD25" i="2"/>
  <c r="R10" i="2"/>
  <c r="N25" i="2"/>
  <c r="AL13" i="2"/>
  <c r="O18" i="2"/>
  <c r="Z26" i="2"/>
  <c r="AH21" i="2"/>
  <c r="J18" i="2"/>
  <c r="K7" i="2"/>
  <c r="AD16" i="2"/>
  <c r="W7" i="2"/>
  <c r="G8" i="2"/>
  <c r="AI7" i="2"/>
  <c r="S8" i="2"/>
  <c r="O9" i="2"/>
  <c r="AE8" i="2"/>
  <c r="C9" i="2"/>
  <c r="AM9" i="2"/>
  <c r="K10" i="2"/>
  <c r="G13" i="2"/>
  <c r="W10" i="2"/>
  <c r="O14" i="2"/>
  <c r="AE13" i="2"/>
  <c r="AA14" i="2"/>
  <c r="AA9" i="2"/>
  <c r="AI10" i="2"/>
  <c r="AE17" i="2"/>
  <c r="O21" i="2"/>
  <c r="C14" i="2"/>
  <c r="S13" i="2"/>
  <c r="K16" i="2"/>
  <c r="G17" i="2"/>
  <c r="AM14" i="2"/>
  <c r="S17" i="2"/>
  <c r="W16" i="2"/>
  <c r="AA18" i="2"/>
  <c r="AI16" i="2"/>
  <c r="AM18" i="2"/>
  <c r="C18" i="2"/>
  <c r="K19" i="2"/>
  <c r="W19" i="2"/>
  <c r="AI19" i="2"/>
  <c r="G20" i="2"/>
  <c r="AE20" i="2"/>
  <c r="X7" i="2"/>
  <c r="C21" i="2"/>
  <c r="G25" i="2"/>
  <c r="AI24" i="2"/>
  <c r="AM21" i="2"/>
  <c r="AA21" i="2"/>
  <c r="AP16" i="2"/>
  <c r="W24" i="2"/>
  <c r="C26" i="2"/>
  <c r="O26" i="2"/>
  <c r="S25" i="2"/>
  <c r="Z20" i="2"/>
  <c r="K24" i="2"/>
  <c r="N8" i="2"/>
  <c r="F10" i="2"/>
  <c r="AM26" i="2"/>
  <c r="AE25" i="2"/>
  <c r="AA26" i="2"/>
  <c r="Z25" i="2"/>
  <c r="F19" i="2"/>
  <c r="AJ7" i="2"/>
  <c r="P14" i="2"/>
  <c r="L7" i="2"/>
  <c r="F24" i="2"/>
  <c r="J14" i="2"/>
  <c r="H8" i="2"/>
  <c r="T8" i="2"/>
  <c r="AF8" i="2"/>
  <c r="D9" i="2"/>
  <c r="P9" i="2"/>
  <c r="AB9" i="2"/>
  <c r="X10" i="2"/>
  <c r="AN9" i="2"/>
  <c r="H13" i="2"/>
  <c r="AF17" i="2"/>
  <c r="T13" i="2"/>
  <c r="L16" i="2"/>
  <c r="T17" i="2"/>
  <c r="L10" i="2"/>
  <c r="X16" i="2"/>
  <c r="AJ10" i="2"/>
  <c r="H17" i="2"/>
  <c r="AJ16" i="2"/>
  <c r="AJ19" i="2"/>
  <c r="AN18" i="2"/>
  <c r="L19" i="2"/>
  <c r="AB14" i="2"/>
  <c r="AN14" i="2"/>
  <c r="D14" i="2"/>
  <c r="AB18" i="2"/>
  <c r="AF13" i="2"/>
  <c r="D18" i="2"/>
  <c r="T20" i="2"/>
  <c r="P18" i="2"/>
  <c r="X19" i="2"/>
  <c r="H20" i="2"/>
  <c r="AF20" i="2"/>
  <c r="D21" i="2"/>
  <c r="AN21" i="2"/>
  <c r="AB21" i="2"/>
  <c r="P21" i="2"/>
  <c r="X24" i="2"/>
  <c r="P26" i="2"/>
  <c r="AJ24" i="2"/>
  <c r="T25" i="2"/>
  <c r="AN26" i="2"/>
  <c r="H25" i="2"/>
  <c r="E14" i="2"/>
  <c r="L24" i="2"/>
  <c r="Q14" i="2"/>
  <c r="Y16" i="2"/>
  <c r="Q9" i="2"/>
  <c r="AK7" i="2"/>
  <c r="I13" i="2"/>
  <c r="AK16" i="2"/>
  <c r="M16" i="2"/>
  <c r="AO14" i="2"/>
  <c r="AO9" i="2"/>
  <c r="AG13" i="2"/>
  <c r="AF25" i="2"/>
  <c r="U13" i="2"/>
  <c r="AB26" i="2"/>
  <c r="AG17" i="2"/>
  <c r="U17" i="2"/>
  <c r="E18" i="2"/>
  <c r="I17" i="2"/>
  <c r="AC14" i="2"/>
  <c r="Q18" i="2"/>
  <c r="Q26" i="2"/>
  <c r="AC21" i="2"/>
  <c r="AG20" i="2"/>
  <c r="M19" i="2"/>
  <c r="AO18" i="2"/>
  <c r="I20" i="2"/>
  <c r="Y19" i="2"/>
  <c r="AG25" i="2"/>
  <c r="I25" i="2"/>
  <c r="U20" i="2"/>
  <c r="E21" i="2"/>
  <c r="AC18" i="2"/>
  <c r="AO21" i="2"/>
  <c r="R9" i="2"/>
  <c r="M24" i="2"/>
  <c r="AK19" i="2"/>
  <c r="Q21" i="2"/>
  <c r="AC26" i="2"/>
  <c r="AG8" i="2"/>
  <c r="AK24" i="2"/>
  <c r="E26" i="2"/>
  <c r="Y10" i="2"/>
  <c r="Y24" i="2"/>
  <c r="F7" i="2"/>
  <c r="Z10" i="2"/>
  <c r="J8" i="2"/>
  <c r="Y7" i="2"/>
  <c r="AO26" i="2"/>
  <c r="U25" i="2"/>
  <c r="AD18" i="2"/>
  <c r="V13" i="2"/>
  <c r="J25" i="2"/>
  <c r="N16" i="2"/>
  <c r="AH17" i="2"/>
  <c r="AL16" i="2"/>
  <c r="AL19" i="2"/>
  <c r="F21" i="2"/>
  <c r="AD21" i="2"/>
  <c r="N19" i="2"/>
  <c r="N24" i="2"/>
  <c r="J20" i="2"/>
  <c r="AD26" i="2"/>
  <c r="AP18" i="2"/>
  <c r="V20" i="2"/>
  <c r="R26" i="2"/>
  <c r="Z24" i="2"/>
  <c r="AP26" i="2"/>
  <c r="F14" i="2"/>
  <c r="V17" i="2"/>
  <c r="AL24" i="2"/>
  <c r="Z16" i="2"/>
  <c r="J17" i="2"/>
  <c r="V25" i="2"/>
  <c r="AH20" i="2"/>
  <c r="Z19" i="2"/>
  <c r="AH25" i="2"/>
  <c r="R21" i="2"/>
  <c r="F18" i="2"/>
  <c r="R18" i="2"/>
  <c r="F26" i="2"/>
  <c r="AP21" i="2"/>
</calcChain>
</file>

<file path=xl/sharedStrings.xml><?xml version="1.0" encoding="utf-8"?>
<sst xmlns="http://schemas.openxmlformats.org/spreadsheetml/2006/main" count="460" uniqueCount="195">
  <si>
    <t>Right click to show data transparency (not supported for all values)</t>
  </si>
  <si>
    <t>salesforce.com Inc (CRM US) - Profitability</t>
  </si>
  <si>
    <t>In Millions of USD except Per Share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</si>
  <si>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</si>
  <si>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</si>
  <si>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</si>
  <si>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</si>
  <si>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</si>
  <si>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</si>
  <si>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</si>
  <si>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</si>
  <si>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</si>
  <si>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</si>
  <si>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</si>
  <si>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</si>
  <si>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</si>
  <si>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</si>
  <si>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</si>
  <si>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</si>
  <si>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</si>
  <si>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</si>
  <si>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</si>
  <si>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</si>
  <si>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</si>
  <si>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</si>
  <si>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</si>
  <si>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</si>
  <si>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</si>
  <si>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</si>
  <si>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</si>
  <si>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</si>
  <si>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</si>
  <si>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</si>
  <si>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</si>
  <si>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</si>
  <si>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</si>
  <si>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</si>
  <si>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</si>
  <si>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</si>
  <si>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</si>
  <si>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</si>
  <si>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</si>
  <si>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</si>
  <si>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3 Months Ending</t>
  </si>
  <si>
    <t>07/31/2011</t>
  </si>
  <si>
    <t>10/31/2011</t>
  </si>
  <si>
    <t>01/31/2012</t>
  </si>
  <si>
    <t>04/30/2012</t>
  </si>
  <si>
    <t>07/31/2012</t>
  </si>
  <si>
    <t>10/31/2012</t>
  </si>
  <si>
    <t>01/31/2013</t>
  </si>
  <si>
    <t>04/30/2013</t>
  </si>
  <si>
    <t>07/31/2013</t>
  </si>
  <si>
    <t>10/31/2013</t>
  </si>
  <si>
    <t>01/31/2014</t>
  </si>
  <si>
    <t>04/30/2014</t>
  </si>
  <si>
    <t>07/31/2014</t>
  </si>
  <si>
    <t>10/31/2014</t>
  </si>
  <si>
    <t>01/31/2015</t>
  </si>
  <si>
    <t>04/30/2015</t>
  </si>
  <si>
    <t>07/31/2015</t>
  </si>
  <si>
    <t>10/31/2015</t>
  </si>
  <si>
    <t>01/31/2016</t>
  </si>
  <si>
    <t>04/30/2016</t>
  </si>
  <si>
    <t>07/31/2016</t>
  </si>
  <si>
    <t>10/31/2016</t>
  </si>
  <si>
    <t>01/31/2017</t>
  </si>
  <si>
    <t>04/30/2017</t>
  </si>
  <si>
    <t>07/31/2017</t>
  </si>
  <si>
    <t>10/31/2017</t>
  </si>
  <si>
    <t>01/31/2018</t>
  </si>
  <si>
    <t>04/30/2018</t>
  </si>
  <si>
    <t>07/31/2018</t>
  </si>
  <si>
    <t>10/31/2018</t>
  </si>
  <si>
    <t>01/31/2019</t>
  </si>
  <si>
    <t>04/30/2019</t>
  </si>
  <si>
    <t>07/31/2019</t>
  </si>
  <si>
    <t>10/31/2019</t>
  </si>
  <si>
    <t>01/31/2020</t>
  </si>
  <si>
    <t>04/30/2020</t>
  </si>
  <si>
    <t>07/31/2020</t>
  </si>
  <si>
    <t>10/31/2020</t>
  </si>
  <si>
    <t>01/31/2021</t>
  </si>
  <si>
    <t>04/30/2021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</si>
  <si>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</si>
  <si>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</si>
  <si>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</si>
  <si>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</si>
  <si>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</si>
  <si>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</si>
  <si>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</si>
  <si>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</si>
  <si>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</si>
  <si>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</si>
  <si>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</si>
  <si>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</si>
  <si>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</si>
  <si>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</si>
  <si>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 xml:space="preserve">    Growth (YoY)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</si>
  <si>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</si>
  <si>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</si>
  <si>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</si>
  <si>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</si>
  <si>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</si>
  <si>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</si>
  <si>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</si>
  <si>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</si>
  <si>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</si>
  <si>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</si>
  <si>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</si>
  <si>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</si>
  <si>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</si>
  <si>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</si>
  <si>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</si>
  <si>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</si>
  <si>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</si>
  <si>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</si>
  <si>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</si>
  <si>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</si>
  <si>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</si>
  <si>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2022</t>
  </si>
  <si>
    <t>CQ4 2021</t>
  </si>
  <si>
    <t>CQ3 2021</t>
  </si>
  <si>
    <t>CQ2 2021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</si>
  <si>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</si>
  <si>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</si>
  <si>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</si>
  <si>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</si>
  <si>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</si>
  <si>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</si>
  <si>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</si>
  <si>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</si>
  <si>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</si>
  <si>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</si>
  <si>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</si>
  <si>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</si>
  <si>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</si>
  <si>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</si>
  <si>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</si>
  <si>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</si>
  <si>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</si>
  <si>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</si>
  <si>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</si>
  <si>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</si>
  <si>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</si>
  <si>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</si>
  <si>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</si>
  <si>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</si>
  <si>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</si>
  <si>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</si>
  <si>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</si>
  <si>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</si>
  <si>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</si>
  <si>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</si>
  <si>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</si>
  <si>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</si>
  <si>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</si>
  <si>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</si>
  <si>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</si>
  <si>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</si>
  <si>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</si>
  <si>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</si>
  <si>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</si>
  <si>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</si>
  <si>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</si>
  <si>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</si>
  <si>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</si>
  <si>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</si>
  <si>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</si>
  <si>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</si>
  <si>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</si>
  <si>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</si>
  <si>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</si>
  <si>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</si>
  <si>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</si>
  <si>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</si>
  <si>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</si>
  <si>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</si>
  <si>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</si>
  <si>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</si>
  <si>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</si>
  <si>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</si>
  <si>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</si>
  <si>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</si>
  <si>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</si>
  <si>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</si>
  <si>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</si>
  <si>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</si>
  <si>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</si>
  <si>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</si>
  <si>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</si>
  <si>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</si>
  <si>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</si>
  <si>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</si>
  <si>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salesforce.com Inc (CRM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</si>
</sst>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4">
    <xf numFmtId="0" fontId="0" fillId="0" borderId="0" xfId="0"/>
    <xf numFmtId="171" fontId="1" fillId="34" borderId="2" xfId="57" applyNumberFormat="1" applyFont="1" applyFill="1" applyBorder="1" applyAlignment="1" applyProtection="1">
      <alignment horizontal="right"/>
    </xf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4" fillId="34" borderId="18" xfId="62" applyNumberFormat="1" applyFont="1" applyFill="1" applyBorder="1" applyAlignment="1" applyProtection="1"/>
    <xf numFmtId="0" fontId="8" fillId="34" borderId="18" xfId="63" applyNumberFormat="1" applyFont="1" applyFill="1" applyBorder="1" applyAlignment="1" applyProtection="1"/>
    <xf numFmtId="0" fontId="3" fillId="34" borderId="18" xfId="64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italic_1_grouped" xfId="56"/>
    <cellStyle name="fa_data_standard_0_grouped" xfId="53"/>
    <cellStyle name="fa_data_standard_1_grouped" xfId="57"/>
    <cellStyle name="fa_data_standard_2_grouped" xfId="54"/>
    <cellStyle name="fa_footer_italic" xfId="34"/>
    <cellStyle name="fa_row_header_bold" xfId="35"/>
    <cellStyle name="fa_row_header_bold 2" xfId="63"/>
    <cellStyle name="fa_row_header_italic" xfId="36"/>
    <cellStyle name="fa_row_header_italic 2" xfId="62"/>
    <cellStyle name="fa_row_header_standard" xfId="37"/>
    <cellStyle name="fa_row_header_standard 2" xfId="64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BDP|15443745196236702784</stp>
        <tr r="R9" s="3"/>
      </tp>
      <tp t="s">
        <v>#N/A N/A</v>
        <stp/>
        <stp>BDP|13366266832060879874</stp>
        <tr r="AO10" s="3"/>
      </tp>
      <tp t="s">
        <v>#N/A N/A</v>
        <stp/>
        <stp>BDP|18022775669633235004</stp>
        <tr r="AN10" s="3"/>
      </tp>
      <tp t="s">
        <v>#N/A N/A</v>
        <stp/>
        <stp>BDP|10407700200108775513</stp>
        <tr r="AA16" s="3"/>
      </tp>
      <tp t="s">
        <v>#N/A N/A</v>
        <stp/>
        <stp>BDP|14371925408765922250</stp>
        <tr r="AK9" s="3"/>
      </tp>
      <tp t="s">
        <v>#N/A N/A</v>
        <stp/>
        <stp>BDH|16999213358402773967</stp>
        <tr r="AL17" s="2"/>
      </tp>
      <tp t="s">
        <v>#N/A N/A</v>
        <stp/>
        <stp>BDH|15858944531530509590</stp>
        <tr r="L18" s="2"/>
      </tp>
      <tp t="s">
        <v>#N/A N/A</v>
        <stp/>
        <stp>BDH|14002247485004558049</stp>
        <tr r="AM17" s="5"/>
        <tr r="AM17" s="4"/>
      </tp>
      <tp t="s">
        <v>#N/A N/A</v>
        <stp/>
        <stp>BDH|17112389928258601470</stp>
        <tr r="Q10" s="5"/>
        <tr r="Q10" s="4"/>
      </tp>
      <tp t="s">
        <v>#N/A N/A</v>
        <stp/>
        <stp>BDH|17951042815429988520</stp>
        <tr r="V25" s="2"/>
      </tp>
      <tp t="s">
        <v>#N/A N/A</v>
        <stp/>
        <stp>BDH|13566914551605669008</stp>
        <tr r="T9" s="5"/>
        <tr r="T9" s="4"/>
      </tp>
      <tp t="s">
        <v>#N/A N/A</v>
        <stp/>
        <stp>BDH|12392041783371233157</stp>
        <tr r="M24" s="2"/>
      </tp>
      <tp t="s">
        <v>#N/A N/A</v>
        <stp/>
        <stp>BDH|18156758712280532400</stp>
        <tr r="AM9" s="5"/>
        <tr r="AM9" s="4"/>
      </tp>
      <tp t="s">
        <v>#N/A N/A</v>
        <stp/>
        <stp>BDH|16139957411993490726</stp>
        <tr r="C6" s="5"/>
        <tr r="C6" s="4"/>
      </tp>
      <tp t="s">
        <v>#N/A N/A</v>
        <stp/>
        <stp>BDH|17574270131369611578</stp>
        <tr r="J17" s="5"/>
        <tr r="J17" s="4"/>
      </tp>
      <tp t="s">
        <v>#N/A N/A</v>
        <stp/>
        <stp>BDH|12720104512798709002</stp>
        <tr r="P18" s="2"/>
      </tp>
      <tp t="s">
        <v>#N/A N/A</v>
        <stp/>
        <stp>BDH|11016369610081607829</stp>
        <tr r="AE22" s="5"/>
        <tr r="AE22" s="4"/>
      </tp>
      <tp t="s">
        <v>#N/A N/A</v>
        <stp/>
        <stp>BDH|14029646764187520970</stp>
        <tr r="O17" s="5"/>
        <tr r="O17" s="4"/>
      </tp>
      <tp t="s">
        <v>#N/A N/A</v>
        <stp/>
        <stp>BDH|15791965494707584827</stp>
        <tr r="V14" s="5"/>
        <tr r="V14" s="4"/>
      </tp>
      <tp t="s">
        <v>#N/A N/A</v>
        <stp/>
        <stp>BDH|10414905144804149350</stp>
        <tr r="S10" s="2"/>
      </tp>
      <tp t="s">
        <v>#N/A N/A</v>
        <stp/>
        <stp>BDH|14184828837836762370</stp>
        <tr r="G17" s="2"/>
      </tp>
      <tp t="s">
        <v>#N/A N/A</v>
        <stp/>
        <stp>BDH|14943852452622359198</stp>
        <tr r="F26" s="5"/>
        <tr r="F26" s="4"/>
      </tp>
      <tp t="s">
        <v>#N/A N/A</v>
        <stp/>
        <stp>BDH|11768565494983111407</stp>
        <tr r="X13" s="2"/>
      </tp>
      <tp t="s">
        <v>#N/A N/A</v>
        <stp/>
        <stp>BDH|15258685093634538486</stp>
        <tr r="H26" s="5"/>
        <tr r="H26" s="4"/>
      </tp>
      <tp t="s">
        <v>#N/A N/A</v>
        <stp/>
        <stp>BDH|18161027580789233354</stp>
        <tr r="Z21" s="2"/>
      </tp>
      <tp t="s">
        <v>#N/A N/A</v>
        <stp/>
        <stp>BDH|13025911074616708162</stp>
        <tr r="N7" s="2"/>
      </tp>
      <tp t="s">
        <v>#N/A N/A</v>
        <stp/>
        <stp>BDH|18216528876375477552</stp>
        <tr r="AP21" s="2"/>
      </tp>
      <tp t="s">
        <v>#N/A N/A</v>
        <stp/>
        <stp>BDH|17577009585245322049</stp>
        <tr r="AH10" s="2"/>
      </tp>
      <tp t="s">
        <v>#N/A N/A</v>
        <stp/>
        <stp>BDH|14360939211726296046</stp>
        <tr r="AF7" s="2"/>
      </tp>
      <tp t="s">
        <v>#N/A N/A</v>
        <stp/>
        <stp>BDH|18283065120620368010</stp>
        <tr r="D26" s="5"/>
        <tr r="D26" s="4"/>
      </tp>
      <tp t="s">
        <v>#N/A N/A</v>
        <stp/>
        <stp>BDH|18160022336597352601</stp>
        <tr r="I12" s="5"/>
        <tr r="I12" s="4"/>
      </tp>
      <tp t="s">
        <v>#N/A N/A</v>
        <stp/>
        <stp>BDH|10950179082643374063</stp>
        <tr r="T13" s="5"/>
        <tr r="T13" s="4"/>
      </tp>
      <tp t="s">
        <v>#N/A N/A</v>
        <stp/>
        <stp>BDH|11887613334578139658</stp>
        <tr r="AP6" s="5"/>
        <tr r="AP6" s="4"/>
      </tp>
      <tp t="s">
        <v>#N/A N/A</v>
        <stp/>
        <stp>BDH|14908848425354629064</stp>
        <tr r="AA26" s="5"/>
        <tr r="AA26" s="4"/>
      </tp>
      <tp t="s">
        <v>#N/A N/A</v>
        <stp/>
        <stp>BDH|18131113248381171616</stp>
        <tr r="W9" s="2"/>
      </tp>
      <tp t="s">
        <v>#N/A N/A</v>
        <stp/>
        <stp>BDH|12133638498675241231</stp>
        <tr r="AD24" s="5"/>
        <tr r="AD24" s="4"/>
      </tp>
      <tp t="s">
        <v>#N/A N/A</v>
        <stp/>
        <stp>BDH|10005194888130323395</stp>
        <tr r="AG13" s="2"/>
      </tp>
      <tp t="s">
        <v>#N/A N/A</v>
        <stp/>
        <stp>BDH|15451168373989299088</stp>
        <tr r="E20" s="2"/>
      </tp>
      <tp t="s">
        <v>#N/A N/A</v>
        <stp/>
        <stp>BDH|10502367691010998010</stp>
        <tr r="AF14" s="5"/>
        <tr r="AF14" s="4"/>
      </tp>
      <tp t="s">
        <v>#N/A N/A</v>
        <stp/>
        <stp>BDH|16987116653261675904</stp>
        <tr r="P12" s="5"/>
        <tr r="P12" s="4"/>
      </tp>
      <tp t="s">
        <v>#N/A N/A</v>
        <stp/>
        <stp>BDH|12269059996785950446</stp>
        <tr r="AP19" s="2"/>
      </tp>
      <tp t="s">
        <v>#N/A N/A</v>
        <stp/>
        <stp>BDH|10957269792268662972</stp>
        <tr r="AI21" s="2"/>
      </tp>
      <tp t="s">
        <v>#N/A N/A</v>
        <stp/>
        <stp>BDH|17223271156018806277</stp>
        <tr r="R20" s="2"/>
      </tp>
      <tp t="s">
        <v>#N/A N/A</v>
        <stp/>
        <stp>BDH|11564031330578982001</stp>
        <tr r="AH8" s="5"/>
        <tr r="AH8" s="4"/>
      </tp>
      <tp t="s">
        <v>#N/A N/A</v>
        <stp/>
        <stp>BDH|12463704539045022921</stp>
        <tr r="AG25" s="5"/>
        <tr r="AG25" s="4"/>
      </tp>
      <tp t="s">
        <v>#N/A N/A</v>
        <stp/>
        <stp>BDH|17988510793567034657</stp>
        <tr r="AD12" s="5"/>
        <tr r="AD12" s="4"/>
      </tp>
      <tp t="s">
        <v>#N/A N/A</v>
        <stp/>
        <stp>BDH|14058908036484107094</stp>
        <tr r="Z13" s="5"/>
        <tr r="Z13" s="4"/>
      </tp>
      <tp t="s">
        <v>#N/A N/A</v>
        <stp/>
        <stp>BDP|10295685789164814166</stp>
        <tr r="AP10" s="3"/>
      </tp>
      <tp t="s">
        <v>#N/A N/A</v>
        <stp/>
        <stp>BDP|12649041985547380653</stp>
        <tr r="E16" s="3"/>
      </tp>
      <tp t="s">
        <v>#N/A N/A</v>
        <stp/>
        <stp>BDP|11887959835901308198</stp>
        <tr r="N9" s="3"/>
      </tp>
      <tp t="s">
        <v>#N/A N/A</v>
        <stp/>
        <stp>BDP|13500013933629750255</stp>
        <tr r="AD17" s="3"/>
      </tp>
      <tp t="s">
        <v>#N/A N/A</v>
        <stp/>
        <stp>BDH|11497907864133268625</stp>
        <tr r="AJ13" s="5"/>
        <tr r="AJ13" s="4"/>
      </tp>
      <tp t="s">
        <v>#N/A N/A</v>
        <stp/>
        <stp>BDH|15695895347535833706</stp>
        <tr r="Q13" s="2"/>
      </tp>
      <tp t="s">
        <v>#N/A N/A</v>
        <stp/>
        <stp>BDH|12144891408850150119</stp>
        <tr r="AG26" s="5"/>
        <tr r="AG26" s="4"/>
      </tp>
      <tp t="s">
        <v>#N/A N/A</v>
        <stp/>
        <stp>BDH|12138264433469314174</stp>
        <tr r="U19" s="2"/>
      </tp>
      <tp t="s">
        <v>#N/A N/A</v>
        <stp/>
        <stp>BDH|14883533152198917730</stp>
        <tr r="C18" s="2"/>
      </tp>
      <tp t="s">
        <v>#N/A N/A</v>
        <stp/>
        <stp>BDH|15390915485797724835</stp>
        <tr r="AA13" s="5"/>
        <tr r="AA13" s="4"/>
      </tp>
      <tp t="s">
        <v>#N/A N/A</v>
        <stp/>
        <stp>BDH|16491585888631022168</stp>
        <tr r="W14" s="5"/>
        <tr r="W14" s="4"/>
      </tp>
      <tp t="s">
        <v>#N/A N/A</v>
        <stp/>
        <stp>BDH|16283934934997530020</stp>
        <tr r="L20" s="2"/>
      </tp>
      <tp t="s">
        <v>#N/A N/A</v>
        <stp/>
        <stp>BDH|13005135182463239216</stp>
        <tr r="Y6" s="5"/>
        <tr r="Y6" s="4"/>
      </tp>
      <tp t="s">
        <v>#N/A N/A</v>
        <stp/>
        <stp>BDH|15062763046889717423</stp>
        <tr r="Q26" s="5"/>
        <tr r="Q26" s="4"/>
      </tp>
      <tp t="s">
        <v>#N/A N/A</v>
        <stp/>
        <stp>BDH|14431891958872807097</stp>
        <tr r="K26" s="5"/>
        <tr r="K26" s="4"/>
      </tp>
      <tp t="s">
        <v>#N/A N/A</v>
        <stp/>
        <stp>BDH|11769036861765508940</stp>
        <tr r="AO26" s="5"/>
        <tr r="AO26" s="4"/>
      </tp>
      <tp t="s">
        <v>#N/A N/A</v>
        <stp/>
        <stp>BDH|13421310995340586225</stp>
        <tr r="U16" s="5"/>
        <tr r="U16" s="4"/>
      </tp>
      <tp t="s">
        <v>#N/A N/A</v>
        <stp/>
        <stp>BDH|15570385425869863660</stp>
        <tr r="Y18" s="5"/>
        <tr r="Y18" s="4"/>
      </tp>
      <tp t="s">
        <v>#N/A N/A</v>
        <stp/>
        <stp>BDH|10176499681216216135</stp>
        <tr r="Z18" s="5"/>
        <tr r="Z18" s="4"/>
      </tp>
      <tp t="s">
        <v>#N/A N/A</v>
        <stp/>
        <stp>BDH|10209795052191199802</stp>
        <tr r="L25" s="2"/>
      </tp>
      <tp t="s">
        <v>#N/A N/A</v>
        <stp/>
        <stp>BDH|11780194930359342161</stp>
        <tr r="S24" s="2"/>
      </tp>
      <tp t="s">
        <v>#N/A N/A</v>
        <stp/>
        <stp>BDH|14540167358362426948</stp>
        <tr r="L18" s="5"/>
        <tr r="L18" s="4"/>
      </tp>
      <tp t="s">
        <v>#N/A N/A</v>
        <stp/>
        <stp>BDH|12599973939721803291</stp>
        <tr r="N9" s="5"/>
        <tr r="N9" s="4"/>
      </tp>
      <tp t="s">
        <v>#N/A N/A</v>
        <stp/>
        <stp>BDH|10635636984505891043</stp>
        <tr r="P14" s="5"/>
        <tr r="P14" s="4"/>
      </tp>
      <tp t="s">
        <v>#N/A N/A</v>
        <stp/>
        <stp>BDH|16653498881315699458</stp>
        <tr r="Z8" s="5"/>
        <tr r="Z8" s="4"/>
      </tp>
      <tp t="s">
        <v>#N/A N/A</v>
        <stp/>
        <stp>BDH|13044614192640620782</stp>
        <tr r="D18" s="2"/>
      </tp>
      <tp t="s">
        <v>#N/A N/A</v>
        <stp/>
        <stp>BDH|13666078183443729393</stp>
        <tr r="D14" s="5"/>
        <tr r="D14" s="4"/>
      </tp>
      <tp t="s">
        <v>#N/A N/A</v>
        <stp/>
        <stp>BDH|14222007788324385355</stp>
        <tr r="F19" s="2"/>
      </tp>
      <tp t="s">
        <v>#N/A N/A</v>
        <stp/>
        <stp>BDH|16739759813503834855</stp>
        <tr r="AC16" s="2"/>
      </tp>
      <tp t="s">
        <v>#N/A N/A</v>
        <stp/>
        <stp>BDH|10199269529623589841</stp>
        <tr r="O7" s="5"/>
        <tr r="O7" s="4"/>
      </tp>
      <tp t="s">
        <v>#N/A N/A</v>
        <stp/>
        <stp>BDH|15197856457336436592</stp>
        <tr r="P13" s="5"/>
        <tr r="P13" s="4"/>
      </tp>
      <tp t="s">
        <v>#N/A N/A</v>
        <stp/>
        <stp>BDH|12551464092551903568</stp>
        <tr r="E26" s="5"/>
        <tr r="E26" s="4"/>
      </tp>
      <tp t="s">
        <v>#N/A N/A</v>
        <stp/>
        <stp>BDH|15032528996867331591</stp>
        <tr r="Y25" s="5"/>
        <tr r="Y25" s="4"/>
      </tp>
      <tp t="s">
        <v>#N/A N/A</v>
        <stp/>
        <stp>BDH|16064171206115758983</stp>
        <tr r="P24" s="2"/>
      </tp>
      <tp t="s">
        <v>#N/A N/A</v>
        <stp/>
        <stp>BDP|15254887406336512331</stp>
        <tr r="AG16" s="3"/>
      </tp>
      <tp t="s">
        <v>#N/A N/A</v>
        <stp/>
        <stp>BDP|12654812327049461989</stp>
        <tr r="W12" s="3"/>
      </tp>
      <tp t="s">
        <v>#N/A N/A</v>
        <stp/>
        <stp>BDP|11544270777118293482</stp>
        <tr r="AL16" s="3"/>
      </tp>
      <tp t="s">
        <v>#N/A N/A</v>
        <stp/>
        <stp>BDP|16974431822671463933</stp>
        <tr r="F13" s="3"/>
      </tp>
      <tp t="s">
        <v>#N/A N/A</v>
        <stp/>
        <stp>BDP|10410848124240017265</stp>
        <tr r="S10" s="3"/>
      </tp>
      <tp t="s">
        <v>#N/A N/A</v>
        <stp/>
        <stp>BDP|12440844805273179109</stp>
        <tr r="AP17" s="3"/>
      </tp>
      <tp t="s">
        <v>#N/A N/A</v>
        <stp/>
        <stp>BDP|12725831567272725623</stp>
        <tr r="V13" s="3"/>
      </tp>
      <tp t="s">
        <v>#N/A N/A</v>
        <stp/>
        <stp>BDH|13504605064203603861</stp>
        <tr r="J12" s="5"/>
        <tr r="J12" s="4"/>
      </tp>
      <tp t="s">
        <v>#N/A N/A</v>
        <stp/>
        <stp>BDH|11704847518441946122</stp>
        <tr r="Y26" s="2"/>
      </tp>
      <tp t="s">
        <v>#N/A N/A</v>
        <stp/>
        <stp>BDH|14448439386443114337</stp>
        <tr r="X8" s="5"/>
        <tr r="X8" s="4"/>
      </tp>
      <tp t="s">
        <v>#N/A N/A</v>
        <stp/>
        <stp>BDH|18387620514496694104</stp>
        <tr r="AO6" s="5"/>
        <tr r="AO6" s="4"/>
      </tp>
      <tp t="s">
        <v>#N/A N/A</v>
        <stp/>
        <stp>BDH|11577659186951503606</stp>
        <tr r="Z17" s="2"/>
      </tp>
      <tp t="s">
        <v>#N/A N/A</v>
        <stp/>
        <stp>BDH|15982934878271534254</stp>
        <tr r="N12" s="5"/>
        <tr r="N12" s="4"/>
      </tp>
      <tp t="s">
        <v>#N/A N/A</v>
        <stp/>
        <stp>BDH|13462914631546569731</stp>
        <tr r="F25" s="5"/>
        <tr r="F25" s="4"/>
      </tp>
      <tp t="s">
        <v>#N/A N/A</v>
        <stp/>
        <stp>BDH|14393273684553252570</stp>
        <tr r="AE9" s="2"/>
      </tp>
      <tp t="s">
        <v>#N/A N/A</v>
        <stp/>
        <stp>BDH|18321726860381181052</stp>
        <tr r="R8" s="5"/>
        <tr r="R8" s="4"/>
      </tp>
      <tp t="s">
        <v>#N/A N/A</v>
        <stp/>
        <stp>BDH|18258983546308149586</stp>
        <tr r="AH7" s="2"/>
      </tp>
      <tp t="s">
        <v>#N/A N/A</v>
        <stp/>
        <stp>BDH|15623835542583121235</stp>
        <tr r="O18" s="5"/>
        <tr r="O18" s="4"/>
      </tp>
      <tp t="s">
        <v>#N/A N/A</v>
        <stp/>
        <stp>BDH|10605665094265760265</stp>
        <tr r="AJ20" s="5"/>
        <tr r="AJ20" s="4"/>
      </tp>
      <tp t="s">
        <v>#N/A N/A</v>
        <stp/>
        <stp>BDH|18420966684030031121</stp>
        <tr r="M16" s="5"/>
        <tr r="M16" s="4"/>
      </tp>
      <tp t="s">
        <v>#N/A N/A</v>
        <stp/>
        <stp>BDH|17290986131151546491</stp>
        <tr r="G7" s="5"/>
        <tr r="G7" s="4"/>
      </tp>
      <tp t="s">
        <v>#N/A N/A</v>
        <stp/>
        <stp>BDH|14148869837904737318</stp>
        <tr r="O18" s="2"/>
      </tp>
      <tp t="s">
        <v>#N/A N/A</v>
        <stp/>
        <stp>BDH|11313055661148605784</stp>
        <tr r="AG7" s="5"/>
        <tr r="AG7" s="4"/>
      </tp>
      <tp t="s">
        <v>#N/A N/A</v>
        <stp/>
        <stp>BDH|12996854350362019542</stp>
        <tr r="AK8" s="2"/>
      </tp>
      <tp t="s">
        <v>#N/A N/A</v>
        <stp/>
        <stp>BDH|12549393625173311827</stp>
        <tr r="AK13" s="5"/>
        <tr r="AK13" s="4"/>
      </tp>
      <tp t="s">
        <v>#N/A N/A</v>
        <stp/>
        <stp>BDH|17817005020684589967</stp>
        <tr r="M14" s="5"/>
        <tr r="M14" s="4"/>
      </tp>
      <tp t="s">
        <v>#N/A N/A</v>
        <stp/>
        <stp>BDH|14000801538065225209</stp>
        <tr r="O21" s="5"/>
        <tr r="O21" s="4"/>
      </tp>
      <tp t="s">
        <v>#N/A N/A</v>
        <stp/>
        <stp>BDH|13390877352124468285</stp>
        <tr r="K9" s="5"/>
        <tr r="K9" s="4"/>
      </tp>
      <tp t="s">
        <v>#N/A N/A</v>
        <stp/>
        <stp>BDH|13710337325268212295</stp>
        <tr r="O20" s="2"/>
      </tp>
      <tp t="s">
        <v>#N/A N/A</v>
        <stp/>
        <stp>BDH|11453390249998933615</stp>
        <tr r="AJ26" s="5"/>
        <tr r="AJ26" s="4"/>
      </tp>
      <tp t="s">
        <v>#N/A N/A</v>
        <stp/>
        <stp>BDH|15026984037281884683</stp>
        <tr r="X24" s="2"/>
      </tp>
      <tp t="s">
        <v>#N/A N/A</v>
        <stp/>
        <stp>BDH|15545884512327480352</stp>
        <tr r="AD9" s="5"/>
        <tr r="AD9" s="4"/>
      </tp>
      <tp t="s">
        <v>#N/A N/A</v>
        <stp/>
        <stp>BDH|15887324616907279805</stp>
        <tr r="AO26" s="2"/>
      </tp>
      <tp t="s">
        <v>#N/A N/A</v>
        <stp/>
        <stp>BDH|10971964641212301734</stp>
        <tr r="Q25" s="2"/>
      </tp>
      <tp t="s">
        <v>#N/A N/A</v>
        <stp/>
        <stp>BDP|10721945717293820255</stp>
        <tr r="AG17" s="3"/>
      </tp>
      <tp t="s">
        <v>#N/A N/A</v>
        <stp/>
        <stp>BDP|10410169309641403976</stp>
        <tr r="AB17" s="3"/>
      </tp>
      <tp t="s">
        <v>#N/A N/A</v>
        <stp/>
        <stp>BDP|15744474136822064930</stp>
        <tr r="V10" s="3"/>
      </tp>
      <tp t="s">
        <v>#N/A N/A</v>
        <stp/>
        <stp>BDP|13630852688799969367</stp>
        <tr r="AA12" s="3"/>
      </tp>
      <tp t="s">
        <v>#N/A N/A</v>
        <stp/>
        <stp>BDH|11184918311373194312</stp>
        <tr r="AB26" s="2"/>
      </tp>
      <tp t="s">
        <v>#N/A N/A</v>
        <stp/>
        <stp>BDH|10708460762749468261</stp>
        <tr r="U8" s="5"/>
        <tr r="U8" s="4"/>
      </tp>
      <tp t="s">
        <v>#N/A N/A</v>
        <stp/>
        <stp>BDH|11420432640548451025</stp>
        <tr r="P26" s="5"/>
        <tr r="P26" s="4"/>
      </tp>
      <tp t="s">
        <v>#N/A N/A</v>
        <stp/>
        <stp>BDH|11085813336127222453</stp>
        <tr r="Y13" s="5"/>
        <tr r="Y13" s="4"/>
      </tp>
      <tp t="s">
        <v>#N/A N/A</v>
        <stp/>
        <stp>BDH|13578829827316028605</stp>
        <tr r="R7" s="2"/>
      </tp>
      <tp t="s">
        <v>#N/A N/A</v>
        <stp/>
        <stp>BDH|13604733794190412459</stp>
        <tr r="I13" s="2"/>
      </tp>
      <tp t="s">
        <v>#N/A N/A</v>
        <stp/>
        <stp>BDH|18050614314757518108</stp>
        <tr r="X22" s="5"/>
        <tr r="X22" s="4"/>
      </tp>
      <tp t="s">
        <v>#N/A N/A</v>
        <stp/>
        <stp>BDH|11788556407575752820</stp>
        <tr r="K19" s="2"/>
      </tp>
      <tp t="s">
        <v>#N/A N/A</v>
        <stp/>
        <stp>BDH|13026593584927411097</stp>
        <tr r="AO13" s="2"/>
      </tp>
      <tp t="s">
        <v>#N/A N/A</v>
        <stp/>
        <stp>BDH|15596347665321160855</stp>
        <tr r="AL8" s="2"/>
      </tp>
      <tp t="s">
        <v>#N/A N/A</v>
        <stp/>
        <stp>BDH|15617163086637751211</stp>
        <tr r="V12" s="5"/>
        <tr r="V12" s="4"/>
      </tp>
      <tp t="s">
        <v>#N/A N/A</v>
        <stp/>
        <stp>BDH|12913934168373712752</stp>
        <tr r="E9" s="2"/>
      </tp>
      <tp t="s">
        <v>#N/A N/A</v>
        <stp/>
        <stp>BDH|14847952804055342193</stp>
        <tr r="AG9" s="2"/>
      </tp>
      <tp t="s">
        <v>#N/A N/A</v>
        <stp/>
        <stp>BDH|18210635731343142726</stp>
        <tr r="I21" s="5"/>
        <tr r="I21" s="4"/>
      </tp>
      <tp t="s">
        <v>#N/A N/A</v>
        <stp/>
        <stp>BDH|16226799398218888998</stp>
        <tr r="AL25" s="5"/>
        <tr r="AL25" s="4"/>
      </tp>
      <tp t="s">
        <v>#N/A N/A</v>
        <stp/>
        <stp>BDH|13420422977380742944</stp>
        <tr r="N25" s="2"/>
      </tp>
      <tp t="s">
        <v>#N/A N/A</v>
        <stp/>
        <stp>BDH|17660623147879578534</stp>
        <tr r="V13" s="2"/>
      </tp>
      <tp t="s">
        <v>#N/A N/A</v>
        <stp/>
        <stp>BDH|12348719779213855864</stp>
        <tr r="AK25" s="2"/>
      </tp>
      <tp t="s">
        <v>#N/A N/A</v>
        <stp/>
        <stp>BDH|11914261884635635787</stp>
        <tr r="U25" s="2"/>
      </tp>
      <tp t="s">
        <v>#N/A N/A</v>
        <stp/>
        <stp>BDH|13342668948658169098</stp>
        <tr r="AN7" s="2"/>
      </tp>
      <tp t="s">
        <v>#N/A N/A</v>
        <stp/>
        <stp>BDH|16448984132871816420</stp>
        <tr r="W16" s="5"/>
        <tr r="W16" s="4"/>
      </tp>
      <tp t="s">
        <v>#N/A N/A</v>
        <stp/>
        <stp>BDH|14353235852883509931</stp>
        <tr r="AP18" s="5"/>
        <tr r="AP18" s="4"/>
      </tp>
      <tp t="s">
        <v>#N/A N/A</v>
        <stp/>
        <stp>BDH|14319232835429946587</stp>
        <tr r="R13" s="5"/>
        <tr r="R13" s="4"/>
      </tp>
      <tp t="s">
        <v>#N/A N/A</v>
        <stp/>
        <stp>BDH|14523858752406637609</stp>
        <tr r="AF21" s="2"/>
      </tp>
      <tp t="s">
        <v>#N/A N/A</v>
        <stp/>
        <stp>BDH|15794320442078458347</stp>
        <tr r="G9" s="2"/>
      </tp>
      <tp t="s">
        <v>#N/A N/A</v>
        <stp/>
        <stp>BDH|14497245591044043260</stp>
        <tr r="AP14" s="5"/>
        <tr r="AP14" s="4"/>
      </tp>
      <tp t="s">
        <v>#N/A N/A</v>
        <stp/>
        <stp>BDH|16098951166441607123</stp>
        <tr r="F22" s="5"/>
        <tr r="F22" s="4"/>
      </tp>
      <tp t="s">
        <v>#N/A N/A</v>
        <stp/>
        <stp>BDH|14649855169954746746</stp>
        <tr r="AA24" s="2"/>
      </tp>
      <tp t="s">
        <v>#N/A N/A</v>
        <stp/>
        <stp>BDH|10823588698446427354</stp>
        <tr r="AO20" s="5"/>
        <tr r="AO20" s="4"/>
      </tp>
      <tp t="s">
        <v>#N/A N/A</v>
        <stp/>
        <stp>BDH|12368927278795803087</stp>
        <tr r="L21" s="5"/>
        <tr r="L21" s="4"/>
      </tp>
      <tp t="s">
        <v>#N/A N/A</v>
        <stp/>
        <stp>BDH|13048553995821081785</stp>
        <tr r="AN16" s="5"/>
        <tr r="AN16" s="4"/>
      </tp>
      <tp t="s">
        <v>#N/A N/A</v>
        <stp/>
        <stp>BDH|12170712172159855212</stp>
        <tr r="M21" s="2"/>
      </tp>
      <tp t="s">
        <v>#N/A N/A</v>
        <stp/>
        <stp>BDH|12584098065449140447</stp>
        <tr r="N7" s="5"/>
        <tr r="N7" s="4"/>
      </tp>
      <tp t="s">
        <v>#N/A N/A</v>
        <stp/>
        <stp>BDH|12176387186281511154</stp>
        <tr r="AD18" s="2"/>
      </tp>
      <tp t="s">
        <v>#N/A N/A</v>
        <stp/>
        <stp>BDH|10821013106630852998</stp>
        <tr r="S9" s="2"/>
      </tp>
      <tp t="s">
        <v>#N/A N/A</v>
        <stp/>
        <stp>BDH|12115077332439876129</stp>
        <tr r="AC21" s="2"/>
      </tp>
      <tp t="s">
        <v>#N/A N/A</v>
        <stp/>
        <stp>BDP|16619969107386873774</stp>
        <tr r="AP12" s="3"/>
      </tp>
      <tp t="s">
        <v>#N/A N/A</v>
        <stp/>
        <stp>BDP|17637983573324799369</stp>
        <tr r="AP13" s="3"/>
      </tp>
      <tp t="s">
        <v>#N/A N/A</v>
        <stp/>
        <stp>BDP|16598496650850464941</stp>
        <tr r="AE13" s="3"/>
      </tp>
      <tp t="s">
        <v>#N/A N/A</v>
        <stp/>
        <stp>BDP|18260808581151163726</stp>
        <tr r="AI12" s="3"/>
      </tp>
      <tp t="s">
        <v>#N/A N/A</v>
        <stp/>
        <stp>BDP|11257138891690306716</stp>
        <tr r="H12" s="3"/>
      </tp>
      <tp t="s">
        <v>#N/A N/A</v>
        <stp/>
        <stp>BDP|15205612794950376416</stp>
        <tr r="Q9" s="3"/>
      </tp>
      <tp t="s">
        <v>#N/A N/A</v>
        <stp/>
        <stp>BDH|10657880088929058763</stp>
        <tr r="AB6" s="5"/>
        <tr r="AB6" s="4"/>
      </tp>
      <tp t="s">
        <v>#N/A N/A</v>
        <stp/>
        <stp>BDH|17968815193869399180</stp>
        <tr r="AJ22" s="5"/>
        <tr r="AJ22" s="4"/>
      </tp>
      <tp t="s">
        <v>#N/A N/A</v>
        <stp/>
        <stp>BDH|11504634313991590928</stp>
        <tr r="M12" s="5"/>
        <tr r="M12" s="4"/>
      </tp>
      <tp t="s">
        <v>#N/A N/A</v>
        <stp/>
        <stp>BDH|11959886248797875440</stp>
        <tr r="S26" s="2"/>
      </tp>
      <tp t="s">
        <v>#N/A N/A</v>
        <stp/>
        <stp>BDH|13304119431538663724</stp>
        <tr r="C26" s="5"/>
        <tr r="C26" s="4"/>
      </tp>
      <tp t="s">
        <v>#N/A N/A</v>
        <stp/>
        <stp>BDH|16345507245240789964</stp>
        <tr r="K7" s="2"/>
      </tp>
      <tp t="s">
        <v>#N/A N/A</v>
        <stp/>
        <stp>BDH|12790661087462129002</stp>
        <tr r="E20" s="5"/>
        <tr r="E20" s="4"/>
      </tp>
      <tp t="s">
        <v>#N/A N/A</v>
        <stp/>
        <stp>BDH|16949195106789606077</stp>
        <tr r="AC24" s="2"/>
      </tp>
      <tp t="s">
        <v>#N/A N/A</v>
        <stp/>
        <stp>BDH|14492328767607559832</stp>
        <tr r="AN20" s="5"/>
        <tr r="AN20" s="4"/>
      </tp>
      <tp t="s">
        <v>#N/A N/A</v>
        <stp/>
        <stp>BDH|13765024679439205388</stp>
        <tr r="AK8" s="5"/>
        <tr r="AK8" s="4"/>
      </tp>
      <tp t="s">
        <v>#N/A N/A</v>
        <stp/>
        <stp>BDH|10439093036605392815</stp>
        <tr r="T18" s="2"/>
      </tp>
      <tp t="s">
        <v>#N/A N/A</v>
        <stp/>
        <stp>BDH|14228757583180949543</stp>
        <tr r="AN26" s="5"/>
        <tr r="AN26" s="4"/>
      </tp>
      <tp t="s">
        <v>#N/A N/A</v>
        <stp/>
        <stp>BDH|10398732659218277431</stp>
        <tr r="U8" s="2"/>
      </tp>
      <tp t="s">
        <v>#N/A N/A</v>
        <stp/>
        <stp>BDH|14281390903820997994</stp>
        <tr r="AN14" s="5"/>
        <tr r="AN14" s="4"/>
      </tp>
      <tp t="s">
        <v>#N/A N/A</v>
        <stp/>
        <stp>BDH|11167414111848857213</stp>
        <tr r="R18" s="5"/>
        <tr r="R18" s="4"/>
      </tp>
      <tp t="s">
        <v>#N/A N/A</v>
        <stp/>
        <stp>BDH|13997921342465551579</stp>
        <tr r="AM13" s="5"/>
        <tr r="AM13" s="4"/>
      </tp>
      <tp t="s">
        <v>#N/A N/A</v>
        <stp/>
        <stp>BDH|15298005603859910228</stp>
        <tr r="AO7" s="5"/>
        <tr r="AO7" s="4"/>
      </tp>
      <tp t="s">
        <v>#N/A N/A</v>
        <stp/>
        <stp>BDH|12492325487180488788</stp>
        <tr r="G10" s="2"/>
      </tp>
      <tp t="s">
        <v>#N/A N/A</v>
        <stp/>
        <stp>BDH|14806026493166780524</stp>
        <tr r="AL9" s="5"/>
        <tr r="AL9" s="4"/>
      </tp>
      <tp t="s">
        <v>#N/A N/A</v>
        <stp/>
        <stp>BDH|10980160613808009601</stp>
        <tr r="C18" s="5"/>
        <tr r="C18" s="4"/>
      </tp>
      <tp t="s">
        <v>#N/A N/A</v>
        <stp/>
        <stp>BDH|17437310728078696041</stp>
        <tr r="W13" s="5"/>
        <tr r="W13" s="4"/>
      </tp>
      <tp t="s">
        <v>#N/A N/A</v>
        <stp/>
        <stp>BDH|13152774905939524390</stp>
        <tr r="K26" s="2"/>
      </tp>
      <tp t="s">
        <v>#N/A N/A</v>
        <stp/>
        <stp>BDH|13758561166857974919</stp>
        <tr r="G16" s="5"/>
        <tr r="G16" s="4"/>
      </tp>
      <tp t="s">
        <v>#N/A N/A</v>
        <stp/>
        <stp>BDP|15523862604624990679</stp>
        <tr r="R10" s="3"/>
      </tp>
    </main>
    <main first="bofaddin.rtdserver">
      <tp t="s">
        <v>#N/A N/A</v>
        <stp/>
        <stp>BDP|12621467601131886891</stp>
        <tr r="P9" s="3"/>
      </tp>
      <tp t="s">
        <v>#N/A N/A</v>
        <stp/>
        <stp>BDP|11598155212698421608</stp>
        <tr r="AE16" s="3"/>
      </tp>
      <tp t="s">
        <v>#N/A N/A</v>
        <stp/>
        <stp>BDH|14982133139078115137</stp>
        <tr r="AM12" s="5"/>
        <tr r="AM12" s="4"/>
      </tp>
      <tp t="s">
        <v>#N/A N/A</v>
        <stp/>
        <stp>BDH|14894898866403362656</stp>
        <tr r="Z10" s="2"/>
      </tp>
      <tp t="s">
        <v>#N/A N/A</v>
        <stp/>
        <stp>BDH|12877597991228627974</stp>
        <tr r="M14" s="2"/>
      </tp>
      <tp t="s">
        <v>#N/A N/A</v>
        <stp/>
        <stp>BDH|13474651405153160953</stp>
        <tr r="D7" s="2"/>
      </tp>
      <tp t="s">
        <v>#N/A N/A</v>
        <stp/>
        <stp>BDH|14402408101197348853</stp>
        <tr r="F16" s="5"/>
        <tr r="F16" s="4"/>
      </tp>
      <tp t="s">
        <v>#N/A N/A</v>
        <stp/>
        <stp>BDH|18405029415272902484</stp>
        <tr r="D25" s="2"/>
      </tp>
      <tp t="s">
        <v>#N/A N/A</v>
        <stp/>
        <stp>BDH|14394743038687899858</stp>
        <tr r="E19" s="2"/>
      </tp>
      <tp t="s">
        <v>#N/A N/A</v>
        <stp/>
        <stp>BDH|16266973855160460561</stp>
        <tr r="AB9" s="2"/>
      </tp>
      <tp t="s">
        <v>#N/A N/A</v>
        <stp/>
        <stp>BDH|18165677247195256016</stp>
        <tr r="AC14" s="5"/>
        <tr r="AC14" s="4"/>
      </tp>
      <tp t="s">
        <v>#N/A N/A</v>
        <stp/>
        <stp>BDH|13195268255052203921</stp>
        <tr r="L8" s="5"/>
        <tr r="L8" s="4"/>
      </tp>
      <tp t="s">
        <v>#N/A N/A</v>
        <stp/>
        <stp>BDH|13468801912706321372</stp>
        <tr r="AF10" s="2"/>
      </tp>
      <tp t="s">
        <v>#N/A N/A</v>
        <stp/>
        <stp>BDH|16654231930230827882</stp>
        <tr r="W19" s="2"/>
      </tp>
    </main>
    <main first="bofaddin.rtdserver">
      <tp t="s">
        <v>#N/A N/A</v>
        <stp/>
        <stp>BDH|16646760405188605648</stp>
        <tr r="H19" s="2"/>
      </tp>
      <tp t="s">
        <v>#N/A N/A</v>
        <stp/>
        <stp>BDH|15976778130176871815</stp>
        <tr r="O21" s="2"/>
      </tp>
      <tp t="s">
        <v>#N/A N/A</v>
        <stp/>
        <stp>BDH|17713470634446552961</stp>
        <tr r="T14" s="5"/>
        <tr r="T14" s="4"/>
      </tp>
      <tp t="s">
        <v>#N/A N/A</v>
        <stp/>
        <stp>BDH|11385841710583759494</stp>
        <tr r="AE14" s="5"/>
        <tr r="AE14" s="4"/>
      </tp>
      <tp t="s">
        <v>#N/A N/A</v>
        <stp/>
        <stp>BDH|12874636674758467422</stp>
        <tr r="I6" s="5"/>
        <tr r="I6" s="4"/>
      </tp>
      <tp t="s">
        <v>#N/A N/A</v>
        <stp/>
        <stp>BDH|14144919420930933000</stp>
        <tr r="J8" s="5"/>
        <tr r="J8" s="4"/>
      </tp>
      <tp t="s">
        <v>#N/A N/A</v>
        <stp/>
        <stp>BDH|14190112025370844853</stp>
        <tr r="R22" s="5"/>
        <tr r="R22" s="4"/>
      </tp>
      <tp t="s">
        <v>#N/A N/A</v>
        <stp/>
        <stp>BDH|17700369847506874968</stp>
        <tr r="X24" s="5"/>
        <tr r="X24" s="4"/>
      </tp>
      <tp t="s">
        <v>#N/A N/A</v>
        <stp/>
        <stp>BDH|11369151239354714803</stp>
        <tr r="AD17" s="2"/>
      </tp>
      <tp t="s">
        <v>#N/A N/A</v>
        <stp/>
        <stp>BDH|11391673416479119084</stp>
        <tr r="AE12" s="5"/>
        <tr r="AE12" s="4"/>
      </tp>
      <tp t="s">
        <v>#N/A N/A</v>
        <stp/>
        <stp>BDH|16157769997441352683</stp>
        <tr r="K24" s="5"/>
        <tr r="K24" s="4"/>
      </tp>
      <tp t="s">
        <v>#N/A N/A</v>
        <stp/>
        <stp>BDH|10918140956358594355</stp>
        <tr r="W7" s="2"/>
      </tp>
      <tp t="s">
        <v>#N/A N/A</v>
        <stp/>
        <stp>BDH|11584754371746245882</stp>
        <tr r="J14" s="2"/>
      </tp>
      <tp t="s">
        <v>#N/A N/A</v>
        <stp/>
        <stp>BDH|13169576218811144955</stp>
        <tr r="AF20" s="2"/>
      </tp>
      <tp t="s">
        <v>#N/A N/A</v>
        <stp/>
        <stp>BDH|11453283092961411474</stp>
        <tr r="C9" s="5"/>
        <tr r="C9" s="4"/>
      </tp>
      <tp t="s">
        <v>#N/A N/A</v>
        <stp/>
        <stp>BDH|14566423279489537162</stp>
        <tr r="K17" s="2"/>
      </tp>
      <tp t="s">
        <v>#N/A N/A</v>
        <stp/>
        <stp>BDH|15489349266567827833</stp>
        <tr r="AM18" s="2"/>
      </tp>
      <tp t="s">
        <v>#N/A N/A</v>
        <stp/>
        <stp>BDH|13275090006539943592</stp>
        <tr r="O25" s="5"/>
        <tr r="O25" s="4"/>
      </tp>
      <tp t="s">
        <v>#N/A N/A</v>
        <stp/>
        <stp>BDH|11034204290610701589</stp>
        <tr r="AD25" s="2"/>
      </tp>
      <tp t="s">
        <v>#N/A N/A</v>
        <stp/>
        <stp>BDH|18045763877737862067</stp>
        <tr r="S22" s="5"/>
        <tr r="S22" s="4"/>
      </tp>
      <tp t="s">
        <v>#N/A N/A</v>
        <stp/>
        <stp>BDH|17897925379250512680</stp>
        <tr r="D17" s="5"/>
        <tr r="D17" s="4"/>
      </tp>
      <tp t="s">
        <v>#N/A N/A</v>
        <stp/>
        <stp>BDH|16539457129568094778</stp>
        <tr r="Q24" s="2"/>
      </tp>
      <tp t="s">
        <v>#N/A N/A</v>
        <stp/>
        <stp>BDP|15476368037491588889</stp>
        <tr r="F16" s="3"/>
      </tp>
      <tp t="s">
        <v>#N/A N/A</v>
        <stp/>
        <stp>BDP|13637078794272865465</stp>
        <tr r="AH10" s="3"/>
      </tp>
      <tp t="s">
        <v>#N/A N/A</v>
        <stp/>
        <stp>BDP|11422297197844240231</stp>
        <tr r="T9" s="3"/>
      </tp>
      <tp t="s">
        <v>#N/A N/A</v>
        <stp/>
        <stp>BDP|17286190077054905944</stp>
        <tr r="P13" s="3"/>
      </tp>
      <tp t="s">
        <v>#N/A N/A</v>
        <stp/>
        <stp>BDP|14069378416092199839</stp>
        <tr r="C10" s="3"/>
      </tp>
      <tp t="s">
        <v>#N/A N/A</v>
        <stp/>
        <stp>BDP|13646440920179033078</stp>
        <tr r="Z13" s="3"/>
      </tp>
      <tp t="s">
        <v>#N/A N/A</v>
        <stp/>
        <stp>BDH|15682577535227161849</stp>
        <tr r="AJ7" s="2"/>
      </tp>
      <tp t="s">
        <v>#N/A N/A</v>
        <stp/>
        <stp>BDH|15019502085306317277</stp>
        <tr r="V10" s="5"/>
        <tr r="V10" s="4"/>
      </tp>
      <tp t="s">
        <v>#N/A N/A</v>
        <stp/>
        <stp>BDH|11235221052843446961</stp>
        <tr r="F25" s="2"/>
      </tp>
      <tp t="s">
        <v>#N/A N/A</v>
        <stp/>
        <stp>BDH|15335778982222764411</stp>
        <tr r="T18" s="5"/>
        <tr r="T18" s="4"/>
      </tp>
      <tp t="s">
        <v>#N/A N/A</v>
        <stp/>
        <stp>BDH|11084841185324349915</stp>
        <tr r="E10" s="2"/>
      </tp>
      <tp t="s">
        <v>#N/A N/A</v>
        <stp/>
        <stp>BDH|18051543210836105660</stp>
        <tr r="Q18" s="2"/>
      </tp>
      <tp t="s">
        <v>#N/A N/A</v>
        <stp/>
        <stp>BDH|13671014937905272902</stp>
        <tr r="AH9" s="5"/>
        <tr r="AH9" s="4"/>
      </tp>
      <tp t="s">
        <v>#N/A N/A</v>
        <stp/>
        <stp>BDH|16830507547802463995</stp>
        <tr r="AN13" s="5"/>
        <tr r="AN13" s="4"/>
      </tp>
      <tp t="s">
        <v>#N/A N/A</v>
        <stp/>
        <stp>BDH|16497408703406133835</stp>
        <tr r="AF19" s="2"/>
      </tp>
      <tp t="s">
        <v>#N/A N/A</v>
        <stp/>
        <stp>BDH|10895338825235816832</stp>
        <tr r="Z6" s="5"/>
        <tr r="Z6" s="4"/>
      </tp>
      <tp t="s">
        <v>#N/A N/A</v>
        <stp/>
        <stp>BDH|11663078226069736640</stp>
        <tr r="AO13" s="5"/>
        <tr r="AO13" s="4"/>
      </tp>
      <tp t="s">
        <v>#N/A N/A</v>
        <stp/>
        <stp>BDH|11302890309625503024</stp>
        <tr r="I14" s="5"/>
        <tr r="I14" s="4"/>
      </tp>
      <tp t="s">
        <v>#N/A N/A</v>
        <stp/>
        <stp>BDH|12486498098606225506</stp>
        <tr r="Z21" s="5"/>
        <tr r="Z21" s="4"/>
      </tp>
      <tp t="s">
        <v>#N/A N/A</v>
        <stp/>
        <stp>BDH|11332564208169836139</stp>
        <tr r="Z25" s="2"/>
      </tp>
      <tp t="s">
        <v>#N/A N/A</v>
        <stp/>
        <stp>BDH|16554714535946857802</stp>
        <tr r="J16" s="5"/>
        <tr r="J16" s="4"/>
      </tp>
      <tp t="s">
        <v>#N/A N/A</v>
        <stp/>
        <stp>BDH|13010203785684866147</stp>
        <tr r="O12" s="5"/>
        <tr r="O12" s="4"/>
      </tp>
      <tp t="s">
        <v>#N/A N/A</v>
        <stp/>
        <stp>BDH|15450418579943097975</stp>
        <tr r="AN19" s="2"/>
      </tp>
      <tp t="s">
        <v>#N/A N/A</v>
        <stp/>
        <stp>BDH|14646797475799815195</stp>
        <tr r="AJ10" s="2"/>
      </tp>
      <tp t="s">
        <v>#N/A N/A</v>
        <stp/>
        <stp>BDH|17745802668573419604</stp>
        <tr r="AB8" s="2"/>
      </tp>
      <tp t="s">
        <v>#N/A N/A</v>
        <stp/>
        <stp>BDH|18273038456585472490</stp>
        <tr r="AK18" s="5"/>
        <tr r="AK18" s="4"/>
      </tp>
      <tp t="s">
        <v>#N/A N/A</v>
        <stp/>
        <stp>BDH|10557741044009990660</stp>
        <tr r="AC20" s="2"/>
      </tp>
      <tp t="s">
        <v>#N/A N/A</v>
        <stp/>
        <stp>BDH|17880128964218283418</stp>
        <tr r="AE9" s="5"/>
        <tr r="AE9" s="4"/>
      </tp>
      <tp t="s">
        <v>#N/A N/A</v>
        <stp/>
        <stp>BDH|15367800078285654305</stp>
        <tr r="Q9" s="5"/>
        <tr r="Q9" s="4"/>
      </tp>
      <tp t="s">
        <v>#N/A N/A</v>
        <stp/>
        <stp>BDH|12131675349758179419</stp>
        <tr r="AC17" s="2"/>
      </tp>
      <tp t="s">
        <v>#N/A N/A</v>
        <stp/>
        <stp>BDH|16004801319692431138</stp>
        <tr r="U25" s="5"/>
        <tr r="U25" s="4"/>
      </tp>
      <tp t="s">
        <v>#N/A N/A</v>
        <stp/>
        <stp>BDP|12108074648858226350</stp>
        <tr r="D17" s="3"/>
      </tp>
      <tp t="s">
        <v>#N/A N/A</v>
        <stp/>
        <stp>BDP|13128499840919447745</stp>
        <tr r="AA13" s="3"/>
      </tp>
      <tp t="s">
        <v>#N/A N/A</v>
        <stp/>
        <stp>BDP|15173830159176741345</stp>
        <tr r="U10" s="3"/>
      </tp>
      <tp t="s">
        <v>#N/A N/A</v>
        <stp/>
        <stp>BDP|15575247351768532752</stp>
        <tr r="AH13" s="3"/>
      </tp>
      <tp t="s">
        <v>#N/A N/A</v>
        <stp/>
        <stp>BDP|14864097022358250326</stp>
        <tr r="G17" s="3"/>
      </tp>
      <tp t="s">
        <v>#N/A N/A</v>
        <stp/>
        <stp>BDP|17968547091882041483</stp>
        <tr r="AL17" s="3"/>
      </tp>
      <tp t="s">
        <v>#N/A N/A</v>
        <stp/>
        <stp>BDP|14056311240619791719</stp>
        <tr r="AB13" s="3"/>
      </tp>
      <tp t="s">
        <v>#N/A N/A</v>
        <stp/>
        <stp>BDP|14274456112999748547</stp>
        <tr r="AM10" s="3"/>
      </tp>
      <tp t="s">
        <v>#N/A N/A</v>
        <stp/>
        <stp>BDP|15954519193183558784</stp>
        <tr r="K16" s="3"/>
      </tp>
      <tp t="s">
        <v>#N/A N/A</v>
        <stp/>
        <stp>BDH|12205190029458330408</stp>
        <tr r="F26" s="2"/>
      </tp>
      <tp t="s">
        <v>#N/A N/A</v>
        <stp/>
        <stp>BDH|17116527655043731904</stp>
        <tr r="T26" s="2"/>
      </tp>
      <tp t="s">
        <v>#N/A N/A</v>
        <stp/>
        <stp>BDH|15198527334317238954</stp>
        <tr r="AH22" s="5"/>
        <tr r="AH22" s="4"/>
      </tp>
      <tp t="s">
        <v>#N/A N/A</v>
        <stp/>
        <stp>BDH|18014370173458698924</stp>
        <tr r="J9" s="5"/>
        <tr r="J9" s="4"/>
      </tp>
      <tp t="s">
        <v>#N/A N/A</v>
        <stp/>
        <stp>BDH|13973591935881748924</stp>
        <tr r="AI10" s="2"/>
      </tp>
      <tp t="s">
        <v>#N/A N/A</v>
        <stp/>
        <stp>BDH|15365223616942261956</stp>
        <tr r="K8" s="2"/>
      </tp>
      <tp t="s">
        <v>#N/A N/A</v>
        <stp/>
        <stp>BDH|10169833892668122412</stp>
        <tr r="G22" s="5"/>
        <tr r="G22" s="4"/>
      </tp>
      <tp t="s">
        <v>#N/A N/A</v>
        <stp/>
        <stp>BDH|11414970377762131054</stp>
        <tr r="K16" s="2"/>
      </tp>
      <tp t="s">
        <v>#N/A N/A</v>
        <stp/>
        <stp>BDH|17143545692645093345</stp>
        <tr r="AM16" s="5"/>
        <tr r="AM16" s="4"/>
      </tp>
      <tp t="s">
        <v>#N/A N/A</v>
        <stp/>
        <stp>BDH|17455353423499081219</stp>
        <tr r="AD9" s="2"/>
      </tp>
      <tp t="s">
        <v>#N/A N/A</v>
        <stp/>
        <stp>BDH|18245493743441231493</stp>
        <tr r="F18" s="2"/>
      </tp>
      <tp t="s">
        <v>#N/A N/A</v>
        <stp/>
        <stp>BDH|10972956072761549286</stp>
        <tr r="AA14" s="2"/>
      </tp>
      <tp t="s">
        <v>#N/A N/A</v>
        <stp/>
        <stp>BDH|16529961258707893018</stp>
        <tr r="AK22" s="5"/>
        <tr r="AK22" s="4"/>
      </tp>
      <tp t="s">
        <v>#N/A N/A</v>
        <stp/>
        <stp>BDH|12329884459211159315</stp>
        <tr r="L25" s="5"/>
        <tr r="L25" s="4"/>
      </tp>
      <tp t="s">
        <v>#N/A N/A</v>
        <stp/>
        <stp>BDH|11185856204534411010</stp>
        <tr r="AO21" s="2"/>
      </tp>
      <tp t="s">
        <v>#N/A N/A</v>
        <stp/>
        <stp>BDH|10421558933948378342</stp>
        <tr r="E13" s="5"/>
        <tr r="E13" s="4"/>
      </tp>
      <tp t="s">
        <v>#N/A N/A</v>
        <stp/>
        <stp>BDH|16151941875476291362</stp>
        <tr r="X14" s="2"/>
      </tp>
      <tp t="s">
        <v>#N/A N/A</v>
        <stp/>
        <stp>BDH|13029359294184353060</stp>
        <tr r="AB20" s="2"/>
      </tp>
      <tp t="s">
        <v>#N/A N/A</v>
        <stp/>
        <stp>BDH|15242408320206151876</stp>
        <tr r="AF9" s="5"/>
        <tr r="AF9" s="4"/>
      </tp>
      <tp t="s">
        <v>#N/A N/A</v>
        <stp/>
        <stp>BDH|12046220656500276824</stp>
        <tr r="R20" s="5"/>
        <tr r="R20" s="4"/>
      </tp>
      <tp t="s">
        <v>#N/A N/A</v>
        <stp/>
        <stp>BDH|15584105392913662360</stp>
        <tr r="AB14" s="2"/>
      </tp>
      <tp t="s">
        <v>#N/A N/A</v>
        <stp/>
        <stp>BDH|11226851629017901101</stp>
        <tr r="T26" s="5"/>
        <tr r="T26" s="4"/>
      </tp>
      <tp t="s">
        <v>#N/A N/A</v>
        <stp/>
        <stp>BDH|16212321095388385901</stp>
        <tr r="AK10" s="5"/>
        <tr r="AK10" s="4"/>
      </tp>
      <tp t="s">
        <v>#N/A N/A</v>
        <stp/>
        <stp>BDH|16927657089323153620</stp>
        <tr r="N8" s="2"/>
      </tp>
      <tp t="s">
        <v>#N/A N/A</v>
        <stp/>
        <stp>BDH|14992715158618026391</stp>
        <tr r="G14" s="2"/>
      </tp>
      <tp t="s">
        <v>#N/A N/A</v>
        <stp/>
        <stp>BDH|16485933993903453890</stp>
        <tr r="AK7" s="5"/>
        <tr r="AK7" s="4"/>
      </tp>
      <tp t="s">
        <v>#N/A N/A</v>
        <stp/>
        <stp>BDH|14269390220339513173</stp>
        <tr r="AN25" s="2"/>
      </tp>
      <tp t="s">
        <v>#N/A N/A</v>
        <stp/>
        <stp>BDH|13913376966869290230</stp>
        <tr r="Q22" s="5"/>
        <tr r="Q22" s="4"/>
      </tp>
      <tp t="s">
        <v>#N/A N/A</v>
        <stp/>
        <stp>BDH|11190752461494867952</stp>
        <tr r="AG22" s="5"/>
        <tr r="AG22" s="4"/>
      </tp>
      <tp t="s">
        <v>#N/A N/A</v>
        <stp/>
        <stp>BDH|13726538685341160286</stp>
        <tr r="J6" s="5"/>
        <tr r="J6" s="4"/>
      </tp>
      <tp t="s">
        <v>#N/A N/A</v>
        <stp/>
        <stp>BDH|10493782623689430131</stp>
        <tr r="AI14" s="2"/>
      </tp>
      <tp t="s">
        <v>#N/A N/A</v>
        <stp/>
        <stp>BDH|14044290087007211448</stp>
        <tr r="Z24" s="2"/>
      </tp>
      <tp t="s">
        <v>#N/A N/A</v>
        <stp/>
        <stp>BDH|16507491554839452340</stp>
        <tr r="Y26" s="5"/>
        <tr r="Y26" s="4"/>
      </tp>
      <tp t="s">
        <v>#N/A N/A</v>
        <stp/>
        <stp>BDH|12187382215195509829</stp>
        <tr r="X21" s="2"/>
      </tp>
      <tp t="s">
        <v>#N/A N/A</v>
        <stp/>
        <stp>BDH|15874102059294827824</stp>
        <tr r="C13" s="5"/>
        <tr r="C13" s="4"/>
      </tp>
      <tp t="s">
        <v>#N/A N/A</v>
        <stp/>
        <stp>BDH|14356491740190702962</stp>
        <tr r="AI24" s="5"/>
        <tr r="AI24" s="4"/>
      </tp>
      <tp t="s">
        <v>#N/A N/A</v>
        <stp/>
        <stp>BDH|17885938702815024636</stp>
        <tr r="AE17" s="2"/>
      </tp>
      <tp t="s">
        <v>#N/A N/A</v>
        <stp/>
        <stp>BDH|12850236791731670562</stp>
        <tr r="AA25" s="5"/>
        <tr r="AA25" s="4"/>
      </tp>
      <tp t="s">
        <v>#N/A N/A</v>
        <stp/>
        <stp>BDH|14365529985526835213</stp>
        <tr r="O16" s="5"/>
        <tr r="O16" s="4"/>
      </tp>
      <tp t="s">
        <v>#N/A N/A</v>
        <stp/>
        <stp>BDH|17065615197926869330</stp>
        <tr r="AA26" s="2"/>
      </tp>
      <tp t="s">
        <v>#N/A N/A</v>
        <stp/>
        <stp>BDH|18146079108163437673</stp>
        <tr r="AH9" s="2"/>
      </tp>
      <tp t="s">
        <v>#N/A N/A</v>
        <stp/>
        <stp>BDH|14830824911122723203</stp>
        <tr r="S7" s="2"/>
      </tp>
      <tp t="s">
        <v>#N/A N/A</v>
        <stp/>
        <stp>BDH|11946559335323457920</stp>
        <tr r="C7" s="2"/>
      </tp>
      <tp t="s">
        <v>#N/A N/A</v>
        <stp/>
        <stp>BDH|16071673848100351935</stp>
        <tr r="AB21" s="2"/>
      </tp>
      <tp t="s">
        <v>#N/A N/A</v>
        <stp/>
        <stp>BDH|17522666408354349860</stp>
        <tr r="AO16" s="5"/>
        <tr r="AO16" s="4"/>
      </tp>
      <tp t="s">
        <v>#N/A N/A</v>
        <stp/>
        <stp>BDH|18359449564481835659</stp>
        <tr r="C8" s="5"/>
        <tr r="C8" s="4"/>
      </tp>
      <tp t="s">
        <v>#N/A N/A</v>
        <stp/>
        <stp>BDH|11468311600026355985</stp>
        <tr r="AP10" s="5"/>
        <tr r="AP10" s="4"/>
      </tp>
      <tp t="s">
        <v>#N/A N/A</v>
        <stp/>
        <stp>BDP|16286373633062875665</stp>
        <tr r="H17" s="3"/>
      </tp>
      <tp t="s">
        <v>#N/A N/A</v>
        <stp/>
        <stp>BDP|15899722579745795295</stp>
        <tr r="Q13" s="3"/>
      </tp>
      <tp t="s">
        <v>#N/A N/A</v>
        <stp/>
        <stp>BDP|18289357999609931964</stp>
        <tr r="O10" s="3"/>
      </tp>
      <tp t="s">
        <v>#N/A N/A</v>
        <stp/>
        <stp>BDP|17841780454177781020</stp>
        <tr r="X16" s="3"/>
      </tp>
      <tp t="s">
        <v>#N/A N/A</v>
        <stp/>
        <stp>BDP|14591022042995483719</stp>
        <tr r="M13" s="3"/>
      </tp>
      <tp t="s">
        <v>#N/A N/A</v>
        <stp/>
        <stp>BDP|13091176024497336535</stp>
        <tr r="J9" s="3"/>
      </tp>
      <tp t="s">
        <v>#N/A N/A</v>
        <stp/>
        <stp>BDP|10113875103162986898</stp>
        <tr r="M16" s="3"/>
      </tp>
      <tp t="s">
        <v>#N/A N/A</v>
        <stp/>
        <stp>BDP|10123926115402761877</stp>
        <tr r="AE9" s="3"/>
      </tp>
      <tp t="s">
        <v>#N/A N/A</v>
        <stp/>
        <stp>BDH|12375663185349446751</stp>
        <tr r="X14" s="5"/>
        <tr r="X14" s="4"/>
      </tp>
      <tp t="s">
        <v>#N/A N/A</v>
        <stp/>
        <stp>BDH|15911872482405879250</stp>
        <tr r="P26" s="2"/>
      </tp>
      <tp t="s">
        <v>#N/A N/A</v>
        <stp/>
        <stp>BDH|14523107270356706632</stp>
        <tr r="AO17" s="5"/>
        <tr r="AO17" s="4"/>
      </tp>
      <tp t="s">
        <v>#N/A N/A</v>
        <stp/>
        <stp>BDH|15446144585458623638</stp>
        <tr r="M6" s="5"/>
        <tr r="M6" s="4"/>
      </tp>
      <tp t="s">
        <v>#N/A N/A</v>
        <stp/>
        <stp>BDH|15741169246103174165</stp>
        <tr r="L9" s="5"/>
        <tr r="L9" s="4"/>
      </tp>
      <tp t="s">
        <v>#N/A N/A</v>
        <stp/>
        <stp>BDH|16555694149004764225</stp>
        <tr r="AL10" s="2"/>
      </tp>
      <tp t="s">
        <v>#N/A N/A</v>
        <stp/>
        <stp>BDH|11256426100174089335</stp>
        <tr r="AK9" s="2"/>
      </tp>
      <tp t="s">
        <v>#N/A N/A</v>
        <stp/>
        <stp>BDH|10978522109563849496</stp>
        <tr r="AL9" s="2"/>
      </tp>
      <tp t="s">
        <v>#N/A N/A</v>
        <stp/>
        <stp>BDH|10555532963690329152</stp>
        <tr r="I24" s="5"/>
        <tr r="I24" s="4"/>
      </tp>
      <tp t="s">
        <v>#N/A N/A</v>
        <stp/>
        <stp>BDH|17717223757930926299</stp>
        <tr r="X21" s="5"/>
        <tr r="X21" s="4"/>
      </tp>
      <tp t="s">
        <v>#N/A N/A</v>
        <stp/>
        <stp>BDH|10031948816442201828</stp>
        <tr r="R9" s="2"/>
      </tp>
      <tp t="s">
        <v>#N/A N/A</v>
        <stp/>
        <stp>BDH|15970641189059375055</stp>
        <tr r="F9" s="2"/>
      </tp>
      <tp t="s">
        <v>#N/A N/A</v>
        <stp/>
        <stp>BDH|10326383016799088987</stp>
        <tr r="AB26" s="5"/>
        <tr r="AB26" s="4"/>
      </tp>
      <tp t="s">
        <v>#N/A N/A</v>
        <stp/>
        <stp>BDH|10724617518242929729</stp>
        <tr r="AP13" s="2"/>
      </tp>
      <tp t="s">
        <v>#N/A N/A</v>
        <stp/>
        <stp>BDH|12980437439787379059</stp>
        <tr r="AF26" s="2"/>
      </tp>
      <tp t="s">
        <v>#N/A N/A</v>
        <stp/>
        <stp>BDH|11881740026336877064</stp>
        <tr r="AP8" s="5"/>
        <tr r="AP8" s="4"/>
      </tp>
      <tp t="s">
        <v>#N/A N/A</v>
        <stp/>
        <stp>BDH|10223401740573493127</stp>
        <tr r="L6" s="5"/>
        <tr r="L6" s="4"/>
      </tp>
      <tp t="s">
        <v>#N/A N/A</v>
        <stp/>
        <stp>BDH|10896749923263817430</stp>
        <tr r="AP9" s="5"/>
        <tr r="AP9" s="4"/>
      </tp>
      <tp t="s">
        <v>#N/A N/A</v>
        <stp/>
        <stp>BDH|15288799016611974000</stp>
        <tr r="V10" s="2"/>
      </tp>
      <tp t="s">
        <v>#N/A N/A</v>
        <stp/>
        <stp>BDH|17548375723126664205</stp>
        <tr r="H6" s="5"/>
        <tr r="H6" s="4"/>
      </tp>
      <tp t="s">
        <v>#N/A N/A</v>
        <stp/>
        <stp>BDH|12043804095222318315</stp>
        <tr r="W25" s="2"/>
      </tp>
      <tp t="s">
        <v>#N/A N/A</v>
        <stp/>
        <stp>BDH|11016903648716764868</stp>
        <tr r="S7" s="5"/>
        <tr r="S7" s="4"/>
      </tp>
      <tp t="s">
        <v>#N/A N/A</v>
        <stp/>
        <stp>BDH|14337755097138165080</stp>
        <tr r="W10" s="5"/>
        <tr r="W10" s="4"/>
      </tp>
      <tp t="s">
        <v>#N/A N/A</v>
        <stp/>
        <stp>BDH|11996415632813448766</stp>
        <tr r="AN17" s="2"/>
      </tp>
      <tp t="s">
        <v>#N/A N/A</v>
        <stp/>
        <stp>BDH|11206799652527585666</stp>
        <tr r="AB21" s="5"/>
        <tr r="AB21" s="4"/>
      </tp>
      <tp t="s">
        <v>#N/A N/A</v>
        <stp/>
        <stp>BDH|15167737330154656798</stp>
        <tr r="P10" s="2"/>
      </tp>
      <tp t="s">
        <v>#N/A N/A</v>
        <stp/>
        <stp>BDH|13158298326557085637</stp>
        <tr r="R16" s="5"/>
        <tr r="R16" s="4"/>
      </tp>
      <tp t="s">
        <v>#N/A N/A</v>
        <stp/>
        <stp>BDH|10548124141254869321</stp>
        <tr r="C12" s="5"/>
        <tr r="C12" s="4"/>
      </tp>
      <tp t="s">
        <v>#N/A N/A</v>
        <stp/>
        <stp>BDH|13818344267966009247</stp>
        <tr r="AC19" s="2"/>
      </tp>
      <tp t="s">
        <v>#N/A N/A</v>
        <stp/>
        <stp>BDH|15154169358512199118</stp>
        <tr r="Q21" s="5"/>
        <tr r="Q21" s="4"/>
      </tp>
      <tp t="s">
        <v>#N/A N/A</v>
        <stp/>
        <stp>BDH|12826052770062233518</stp>
        <tr r="U10" s="5"/>
        <tr r="U10" s="4"/>
      </tp>
      <tp t="s">
        <v>#N/A N/A</v>
        <stp/>
        <stp>BDP|13798613268157010759</stp>
        <tr r="Z10" s="3"/>
      </tp>
      <tp t="s">
        <v>#N/A N/A</v>
        <stp/>
        <stp>BDP|11147788402456796372</stp>
        <tr r="V17" s="3"/>
      </tp>
      <tp t="s">
        <v>#N/A N/A</v>
        <stp/>
        <stp>BDP|11411006921475777518</stp>
        <tr r="W17" s="3"/>
      </tp>
      <tp t="s">
        <v>#N/A N/A</v>
        <stp/>
        <stp>BDP|16869563872406616182</stp>
        <tr r="Y12" s="3"/>
      </tp>
      <tp t="s">
        <v>#N/A N/A</v>
        <stp/>
        <stp>BDP|16027201537662468653</stp>
        <tr r="J10" s="3"/>
      </tp>
      <tp t="s">
        <v>#N/A N/A</v>
        <stp/>
        <stp>BDP|13206595355491864101</stp>
        <tr r="D10" s="3"/>
      </tp>
      <tp t="s">
        <v>#N/A N/A</v>
        <stp/>
        <stp>BDH|10876354142622639681</stp>
        <tr r="AM25" s="5"/>
        <tr r="AM25" s="4"/>
      </tp>
      <tp t="s">
        <v>#N/A N/A</v>
        <stp/>
        <stp>BDH|14378414680748644354</stp>
        <tr r="E14" s="5"/>
        <tr r="E14" s="4"/>
      </tp>
      <tp t="s">
        <v>#N/A N/A</v>
        <stp/>
        <stp>BDH|10476377107023324371</stp>
        <tr r="AK7" s="2"/>
      </tp>
      <tp t="s">
        <v>#N/A N/A</v>
        <stp/>
        <stp>BDH|10137231530105224739</stp>
        <tr r="K13" s="5"/>
        <tr r="K13" s="4"/>
      </tp>
      <tp t="s">
        <v>#N/A N/A</v>
        <stp/>
        <stp>BDH|16364270773848176856</stp>
        <tr r="W21" s="2"/>
      </tp>
      <tp t="s">
        <v>#N/A N/A</v>
        <stp/>
        <stp>BDH|12847582453207793673</stp>
        <tr r="N13" s="5"/>
        <tr r="N13" s="4"/>
      </tp>
      <tp t="s">
        <v>#N/A N/A</v>
        <stp/>
        <stp>BDH|16343042566530485377</stp>
        <tr r="O13" s="5"/>
        <tr r="O13" s="4"/>
      </tp>
      <tp t="s">
        <v>#N/A N/A</v>
        <stp/>
        <stp>BDH|14222506043821794738</stp>
        <tr r="AJ16" s="2"/>
      </tp>
      <tp t="s">
        <v>#N/A N/A</v>
        <stp/>
        <stp>BDH|15907147019540240632</stp>
        <tr r="AG8" s="2"/>
      </tp>
      <tp t="s">
        <v>#N/A N/A</v>
        <stp/>
        <stp>BDH|13568415172642051113</stp>
        <tr r="M26" s="5"/>
        <tr r="M26" s="4"/>
      </tp>
      <tp t="s">
        <v>#N/A N/A</v>
        <stp/>
        <stp>BDH|16151727558541502697</stp>
        <tr r="R17" s="2"/>
      </tp>
      <tp t="s">
        <v>#N/A N/A</v>
        <stp/>
        <stp>BDH|11005183262333403695</stp>
        <tr r="E16" s="5"/>
        <tr r="E16" s="4"/>
      </tp>
      <tp t="s">
        <v>#N/A N/A</v>
        <stp/>
        <stp>BDH|12528721692049419679</stp>
        <tr r="J24" s="2"/>
      </tp>
      <tp t="s">
        <v>#N/A N/A</v>
        <stp/>
        <stp>BDH|15759483328278644879</stp>
        <tr r="V19" s="2"/>
      </tp>
      <tp t="s">
        <v>#N/A N/A</v>
        <stp/>
        <stp>BDH|12616060641584312148</stp>
        <tr r="L19" s="2"/>
      </tp>
      <tp t="s">
        <v>#N/A N/A</v>
        <stp/>
        <stp>BDH|15006973440432343923</stp>
        <tr r="AI10" s="5"/>
        <tr r="AI10" s="4"/>
      </tp>
      <tp t="s">
        <v>#N/A N/A</v>
        <stp/>
        <stp>BDH|11666940182090181398</stp>
        <tr r="AJ21" s="2"/>
      </tp>
      <tp t="s">
        <v>#N/A N/A</v>
        <stp/>
        <stp>BDH|17994105392699614560</stp>
        <tr r="Q16" s="2"/>
      </tp>
      <tp t="s">
        <v>#N/A N/A</v>
        <stp/>
        <stp>BDH|15763784926943498069</stp>
        <tr r="M13" s="5"/>
        <tr r="M13" s="4"/>
      </tp>
      <tp t="s">
        <v>#N/A N/A</v>
        <stp/>
        <stp>BDH|14361863040078607382</stp>
        <tr r="J9" s="2"/>
      </tp>
      <tp t="s">
        <v>#N/A N/A</v>
        <stp/>
        <stp>BDH|10490625720294472386</stp>
        <tr r="S10" s="5"/>
        <tr r="S10" s="4"/>
      </tp>
      <tp t="s">
        <v>#N/A N/A</v>
        <stp/>
        <stp>BDH|16687529430104698784</stp>
        <tr r="P24" s="5"/>
        <tr r="P24" s="4"/>
      </tp>
      <tp t="s">
        <v>#N/A N/A</v>
        <stp/>
        <stp>BDH|11384537479113669354</stp>
        <tr r="AL16" s="5"/>
        <tr r="AL16" s="4"/>
      </tp>
      <tp t="s">
        <v>#N/A N/A</v>
        <stp/>
        <stp>BDH|13664196103788579934</stp>
        <tr r="Y10" s="2"/>
      </tp>
      <tp t="s">
        <v>#N/A N/A</v>
        <stp/>
        <stp>BDH|18007479088107475067</stp>
        <tr r="N17" s="5"/>
        <tr r="N17" s="4"/>
      </tp>
      <tp t="s">
        <v>#N/A N/A</v>
        <stp/>
        <stp>BDH|16658452758320021479</stp>
        <tr r="S20" s="5"/>
        <tr r="S20" s="4"/>
      </tp>
      <tp t="s">
        <v>#N/A N/A</v>
        <stp/>
        <stp>BDH|17661722926475607483</stp>
        <tr r="O16" s="2"/>
      </tp>
      <tp t="s">
        <v>#N/A N/A</v>
        <stp/>
        <stp>BDH|14328530032991969046</stp>
        <tr r="X26" s="5"/>
        <tr r="X26" s="4"/>
      </tp>
      <tp t="s">
        <v>#N/A N/A</v>
        <stp/>
        <stp>BDH|17864037301634622039</stp>
        <tr r="AO8" s="2"/>
      </tp>
      <tp t="s">
        <v>#N/A N/A</v>
        <stp/>
        <stp>BDH|13465453028731265745</stp>
        <tr r="M25" s="2"/>
      </tp>
      <tp t="s">
        <v>#N/A N/A</v>
        <stp/>
        <stp>BDH|11739297244583331779</stp>
        <tr r="AD14" s="2"/>
      </tp>
      <tp t="s">
        <v>#N/A N/A</v>
        <stp/>
        <stp>BDH|15123997334515288901</stp>
        <tr r="W8" s="2"/>
      </tp>
      <tp t="s">
        <v>#N/A N/A</v>
        <stp/>
        <stp>BDH|12871052825920060369</stp>
        <tr r="Q26" s="2"/>
      </tp>
      <tp t="s">
        <v>#N/A N/A</v>
        <stp/>
        <stp>BDP|17970478414853531167</stp>
        <tr r="Y9" s="3"/>
      </tp>
      <tp t="s">
        <v>#N/A N/A</v>
        <stp/>
        <stp>BDP|14887597930873975115</stp>
        <tr r="K17" s="3"/>
      </tp>
      <tp t="s">
        <v>#N/A N/A</v>
        <stp/>
        <stp>BDP|16257265625871129782</stp>
        <tr r="T16" s="3"/>
      </tp>
      <tp t="s">
        <v>#N/A N/A</v>
        <stp/>
        <stp>BDP|11556886506578216124</stp>
        <tr r="Z9" s="3"/>
      </tp>
      <tp t="s">
        <v>#N/A N/A</v>
        <stp/>
        <stp>BDP|13579901819249587288</stp>
        <tr r="U16" s="3"/>
      </tp>
      <tp t="s">
        <v>#N/A N/A</v>
        <stp/>
        <stp>BDP|14421656199909032289</stp>
        <tr r="T13" s="3"/>
      </tp>
      <tp t="s">
        <v>#N/A N/A</v>
        <stp/>
        <stp>BDP|15889387057572166151</stp>
        <tr r="AD12" s="3"/>
      </tp>
      <tp t="s">
        <v>#N/A N/A</v>
        <stp/>
        <stp>BDP|15191292901043964422</stp>
        <tr r="L9" s="3"/>
      </tp>
      <tp t="s">
        <v>#N/A N/A</v>
        <stp/>
        <stp>BDP|16121122106937648064</stp>
        <tr r="AA17" s="3"/>
      </tp>
      <tp t="s">
        <v>#N/A N/A</v>
        <stp/>
        <stp>BDP|17721572249315809343</stp>
        <tr r="AC17" s="3"/>
      </tp>
      <tp t="s">
        <v>#N/A N/A</v>
        <stp/>
        <stp>BDP|14353745073060730443</stp>
        <tr r="V16" s="3"/>
      </tp>
      <tp t="s">
        <v>#N/A N/A</v>
        <stp/>
        <stp>BDH|11557850220288548348</stp>
        <tr r="AE21" s="5"/>
        <tr r="AE21" s="4"/>
      </tp>
      <tp t="s">
        <v>#N/A N/A</v>
        <stp/>
        <stp>BDH|16080307604761472415</stp>
        <tr r="AB7" s="2"/>
      </tp>
      <tp t="s">
        <v>#N/A N/A</v>
        <stp/>
        <stp>BDH|13583281682418661183</stp>
        <tr r="AF12" s="5"/>
        <tr r="AF12" s="4"/>
      </tp>
      <tp t="s">
        <v>#N/A N/A</v>
        <stp/>
        <stp>BDH|14077023139181328698</stp>
        <tr r="Q8" s="5"/>
        <tr r="Q8" s="4"/>
      </tp>
      <tp t="s">
        <v>#N/A N/A</v>
        <stp/>
        <stp>BDH|12765135235112014200</stp>
        <tr r="AP14" s="2"/>
      </tp>
      <tp t="s">
        <v>#N/A N/A</v>
        <stp/>
        <stp>BDH|15019174259733926267</stp>
        <tr r="L22" s="5"/>
        <tr r="L22" s="4"/>
      </tp>
      <tp t="s">
        <v>#N/A N/A</v>
        <stp/>
        <stp>BDH|17704152927760173440</stp>
        <tr r="R16" s="2"/>
      </tp>
      <tp t="s">
        <v>#N/A N/A</v>
        <stp/>
        <stp>BDH|15652637734359619948</stp>
        <tr r="V17" s="5"/>
        <tr r="V17" s="4"/>
      </tp>
      <tp t="s">
        <v>#N/A N/A</v>
        <stp/>
        <stp>BDH|16557672640470459455</stp>
        <tr r="AO17" s="2"/>
      </tp>
      <tp t="s">
        <v>#N/A N/A</v>
        <stp/>
        <stp>BDH|14085569370453292579</stp>
        <tr r="E16" s="2"/>
      </tp>
      <tp t="s">
        <v>#N/A N/A</v>
        <stp/>
        <stp>BDH|10139159367003401451</stp>
        <tr r="AJ13" s="2"/>
      </tp>
      <tp t="s">
        <v>#N/A N/A</v>
        <stp/>
        <stp>BDH|16740086151005589699</stp>
        <tr r="Z9" s="5"/>
        <tr r="Z9" s="4"/>
      </tp>
      <tp t="s">
        <v>#N/A N/A</v>
        <stp/>
        <stp>BDH|12549175675491746526</stp>
        <tr r="C7" s="5"/>
        <tr r="C7" s="4"/>
      </tp>
      <tp t="s">
        <v>#N/A N/A</v>
        <stp/>
        <stp>BDH|12151000335948648970</stp>
        <tr r="AA20" s="2"/>
      </tp>
      <tp t="s">
        <v>#N/A N/A</v>
        <stp/>
        <stp>BDH|17683250540951742008</stp>
        <tr r="S13" s="5"/>
        <tr r="S13" s="4"/>
      </tp>
      <tp t="s">
        <v>#N/A N/A</v>
        <stp/>
        <stp>BDH|14025033296148489561</stp>
        <tr r="M17" s="2"/>
      </tp>
      <tp t="s">
        <v>#N/A N/A</v>
        <stp/>
        <stp>BDH|11529887392076881603</stp>
        <tr r="C24" s="2"/>
      </tp>
      <tp t="s">
        <v>#N/A N/A</v>
        <stp/>
        <stp>BDH|11604182918973484250</stp>
        <tr r="C14" s="2"/>
      </tp>
      <tp t="s">
        <v>#N/A N/A</v>
        <stp/>
        <stp>BDH|12571449905983637553</stp>
        <tr r="AC25" s="2"/>
      </tp>
      <tp t="s">
        <v>#N/A N/A</v>
        <stp/>
        <stp>BDH|17549145375400350105</stp>
        <tr r="AI19" s="2"/>
      </tp>
      <tp t="s">
        <v>#N/A N/A</v>
        <stp/>
        <stp>BDH|14385430921215238755</stp>
        <tr r="AA8" s="2"/>
      </tp>
      <tp t="s">
        <v>#N/A N/A</v>
        <stp/>
        <stp>BDH|12629037212906881564</stp>
        <tr r="AH24" s="2"/>
      </tp>
      <tp t="s">
        <v>#N/A N/A</v>
        <stp/>
        <stp>BDH|10069221752397131087</stp>
        <tr r="F17" s="5"/>
        <tr r="F17" s="4"/>
      </tp>
      <tp t="s">
        <v>#N/A N/A</v>
        <stp/>
        <stp>BDH|17465510833661950060</stp>
        <tr r="AB13" s="5"/>
        <tr r="AB13" s="4"/>
      </tp>
      <tp t="s">
        <v>#N/A N/A</v>
        <stp/>
        <stp>BDH|15582845932188827605</stp>
        <tr r="AA21" s="5"/>
        <tr r="AA21" s="4"/>
      </tp>
      <tp t="s">
        <v>#N/A N/A</v>
        <stp/>
        <stp>BDH|15040357508965072365</stp>
        <tr r="S14" s="2"/>
      </tp>
      <tp t="s">
        <v>#N/A N/A</v>
        <stp/>
        <stp>BDH|16709766428966200500</stp>
        <tr r="H25" s="2"/>
      </tp>
      <tp t="s">
        <v>#N/A N/A</v>
        <stp/>
        <stp>BDH|16712211901733899753</stp>
        <tr r="G7" s="2"/>
      </tp>
      <tp t="s">
        <v>#N/A N/A</v>
        <stp/>
        <stp>BDH|17169384584145665917</stp>
        <tr r="AC26" s="5"/>
        <tr r="AC26" s="4"/>
      </tp>
      <tp t="s">
        <v>#N/A N/A</v>
        <stp/>
        <stp>BDH|15447790631312422354</stp>
        <tr r="AI13" s="5"/>
        <tr r="AI13" s="4"/>
      </tp>
      <tp t="s">
        <v>#N/A N/A</v>
        <stp/>
        <stp>BDH|13484175069077008365</stp>
        <tr r="AO14" s="2"/>
      </tp>
      <tp t="s">
        <v>#N/A N/A</v>
        <stp/>
        <stp>BDH|14899721400084623702</stp>
        <tr r="X16" s="2"/>
      </tp>
      <tp t="s">
        <v>#N/A N/A</v>
        <stp/>
        <stp>BDH|17320953794725879262</stp>
        <tr r="K12" s="5"/>
        <tr r="K12" s="4"/>
      </tp>
      <tp t="s">
        <v>#N/A N/A</v>
        <stp/>
        <stp>BDH|15359381596889955688</stp>
        <tr r="AL7" s="5"/>
        <tr r="AL7" s="4"/>
      </tp>
      <tp t="s">
        <v>#N/A N/A</v>
        <stp/>
        <stp>BDH|12221148084113402894</stp>
        <tr r="AO9" s="2"/>
      </tp>
      <tp t="s">
        <v>#N/A N/A</v>
        <stp/>
        <stp>BDH|11714955418841052857</stp>
        <tr r="E13" s="2"/>
      </tp>
      <tp t="s">
        <v>#N/A N/A</v>
        <stp/>
        <stp>BDH|12111222631827863453</stp>
        <tr r="AG18" s="2"/>
      </tp>
      <tp t="s">
        <v>#N/A N/A</v>
        <stp/>
        <stp>BDH|12095085830785650412</stp>
        <tr r="Z19" s="2"/>
      </tp>
      <tp t="s">
        <v>#N/A N/A</v>
        <stp/>
        <stp>BDH|12958870474358598508</stp>
        <tr r="I26" s="2"/>
      </tp>
      <tp t="s">
        <v>#N/A N/A</v>
        <stp/>
        <stp>BDH|14454433265592518487</stp>
        <tr r="AB18" s="2"/>
      </tp>
      <tp t="s">
        <v>#N/A N/A</v>
        <stp/>
        <stp>BDH|16671729418059416967</stp>
        <tr r="AG14" s="2"/>
      </tp>
      <tp t="s">
        <v>#N/A N/A</v>
        <stp/>
        <stp>BDH|15229794227525283506</stp>
        <tr r="X17" s="5"/>
        <tr r="X17" s="4"/>
      </tp>
      <tp t="s">
        <v>#N/A N/A</v>
        <stp/>
        <stp>BDH|14505118658203115337</stp>
        <tr r="W7" s="5"/>
        <tr r="W7" s="4"/>
      </tp>
      <tp t="s">
        <v>#N/A N/A</v>
        <stp/>
        <stp>BDH|13653067264794824124</stp>
        <tr r="J13" s="5"/>
        <tr r="J13" s="4"/>
      </tp>
    </main>
    <main first="bofaddin.rtdserver">
      <tp t="s">
        <v>#N/A N/A</v>
        <stp/>
        <stp>BDP|15694557942376827306</stp>
        <tr r="G10" s="3"/>
      </tp>
      <tp t="s">
        <v>#N/A N/A</v>
        <stp/>
        <stp>BDP|10610726938974743174</stp>
        <tr r="U13" s="3"/>
      </tp>
    </main>
    <main first="bofaddin.rtdserver">
      <tp t="s">
        <v>#N/A N/A</v>
        <stp/>
        <stp>BDP|18351479580737680214</stp>
        <tr r="M17" s="3"/>
      </tp>
      <tp t="s">
        <v>#N/A N/A</v>
        <stp/>
        <stp>BDP|10137395161664852022</stp>
        <tr r="AE12" s="3"/>
      </tp>
      <tp t="s">
        <v>#N/A N/A</v>
        <stp/>
        <stp>BDP|13194342719916887666</stp>
        <tr r="AK10" s="3"/>
      </tp>
      <tp t="s">
        <v>#N/A N/A</v>
        <stp/>
        <stp>BDP|13013463206852125449</stp>
        <tr r="AC10" s="3"/>
      </tp>
      <tp t="s">
        <v>#N/A N/A</v>
        <stp/>
        <stp>BDP|14890203368319554818</stp>
        <tr r="F12" s="3"/>
      </tp>
      <tp t="s">
        <v>#N/A N/A</v>
        <stp/>
        <stp>BDH|15510709972876671206</stp>
        <tr r="F24" s="5"/>
        <tr r="F24" s="4"/>
      </tp>
      <tp t="s">
        <v>#N/A N/A</v>
        <stp/>
        <stp>BDH|14407605743470610701</stp>
        <tr r="AJ10" s="5"/>
        <tr r="AJ10" s="4"/>
      </tp>
      <tp t="s">
        <v>#N/A N/A</v>
        <stp/>
        <stp>BDH|14475759714423192044</stp>
        <tr r="H21" s="2"/>
      </tp>
      <tp t="s">
        <v>#N/A N/A</v>
        <stp/>
        <stp>BDH|15782223665053000330</stp>
        <tr r="H14" s="2"/>
      </tp>
      <tp t="s">
        <v>#N/A N/A</v>
        <stp/>
        <stp>BDH|10268719297617589828</stp>
        <tr r="AH14" s="2"/>
      </tp>
      <tp t="s">
        <v>#N/A N/A</v>
        <stp/>
        <stp>BDH|13697177942036304139</stp>
        <tr r="E17" s="2"/>
      </tp>
      <tp t="s">
        <v>#N/A N/A</v>
        <stp/>
        <stp>BDH|15574282287847036998</stp>
        <tr r="AP24" s="5"/>
        <tr r="AP24" s="4"/>
      </tp>
      <tp t="s">
        <v>#N/A N/A</v>
        <stp/>
        <stp>BDH|16471239908810894555</stp>
        <tr r="AB25" s="2"/>
      </tp>
      <tp t="s">
        <v>#N/A N/A</v>
        <stp/>
        <stp>BDH|10612654971347546753</stp>
        <tr r="M26" s="2"/>
      </tp>
      <tp t="s">
        <v>#N/A N/A</v>
        <stp/>
        <stp>BDH|13170658925300253662</stp>
        <tr r="C17" s="2"/>
      </tp>
      <tp t="s">
        <v>#N/A N/A</v>
        <stp/>
        <stp>BDH|18305262983820048336</stp>
        <tr r="P17" s="2"/>
      </tp>
      <tp t="s">
        <v>#N/A N/A</v>
        <stp/>
        <stp>BDH|10578406417032170662</stp>
        <tr r="J24" s="5"/>
        <tr r="J24" s="4"/>
      </tp>
      <tp t="s">
        <v>#N/A N/A</v>
        <stp/>
        <stp>BDH|15955757078376907298</stp>
        <tr r="AI21" s="5"/>
        <tr r="AI21" s="4"/>
      </tp>
      <tp t="s">
        <v>#N/A N/A</v>
        <stp/>
        <stp>BDH|10680437591574563854</stp>
        <tr r="AD10" s="2"/>
      </tp>
      <tp t="s">
        <v>#N/A N/A</v>
        <stp/>
        <stp>BDH|16212779254150365569</stp>
        <tr r="AM26" s="2"/>
      </tp>
      <tp t="s">
        <v>#N/A N/A</v>
        <stp/>
        <stp>BDH|10142615623726497305</stp>
        <tr r="Q10" s="2"/>
      </tp>
      <tp t="s">
        <v>#N/A N/A</v>
        <stp/>
        <stp>BDH|14758266923675353061</stp>
        <tr r="P6" s="5"/>
        <tr r="P6" s="4"/>
      </tp>
      <tp t="s">
        <v>#N/A N/A</v>
        <stp/>
        <stp>BDH|13081212437537189400</stp>
        <tr r="D17" s="2"/>
      </tp>
      <tp t="s">
        <v>#N/A N/A</v>
        <stp/>
        <stp>BDH|15023755796628667223</stp>
        <tr r="D10" s="2"/>
      </tp>
      <tp t="s">
        <v>#N/A N/A</v>
        <stp/>
        <stp>BDH|15828156746446874755</stp>
        <tr r="AA10" s="5"/>
        <tr r="AA10" s="4"/>
      </tp>
      <tp t="s">
        <v>#N/A N/A</v>
        <stp/>
        <stp>BDH|11332472793489546440</stp>
        <tr r="AJ17" s="5"/>
        <tr r="AJ17" s="4"/>
      </tp>
      <tp t="s">
        <v>#N/A N/A</v>
        <stp/>
        <stp>BDH|14325208157666147439</stp>
        <tr r="D9" s="2"/>
      </tp>
      <tp t="s">
        <v>#N/A N/A</v>
        <stp/>
        <stp>BDH|12149232714303903393</stp>
        <tr r="F20" s="2"/>
      </tp>
      <tp t="s">
        <v>#N/A N/A</v>
        <stp/>
        <stp>BDH|10648149210489331881</stp>
        <tr r="AA7" s="5"/>
        <tr r="AA7" s="4"/>
      </tp>
      <tp t="s">
        <v>#N/A N/A</v>
        <stp/>
        <stp>BDH|14298534222125844732</stp>
        <tr r="R17" s="5"/>
        <tr r="R17" s="4"/>
      </tp>
      <tp t="s">
        <v>#N/A N/A</v>
        <stp/>
        <stp>BDH|17722079882256364890</stp>
        <tr r="AK14" s="5"/>
        <tr r="AK14" s="4"/>
      </tp>
      <tp t="s">
        <v>#N/A N/A</v>
        <stp/>
        <stp>BDH|11508852367278453685</stp>
        <tr r="AI14" s="5"/>
        <tr r="AI14" s="4"/>
      </tp>
      <tp t="s">
        <v>#N/A N/A</v>
        <stp/>
        <stp>BDH|11034946251299780589</stp>
        <tr r="AM10" s="5"/>
        <tr r="AM10" s="4"/>
      </tp>
      <tp t="s">
        <v>#N/A N/A</v>
        <stp/>
        <stp>BDH|17217339101192819753</stp>
        <tr r="U10" s="2"/>
      </tp>
      <tp t="s">
        <v>#N/A N/A</v>
        <stp/>
        <stp>BDH|10277783352673316069</stp>
        <tr r="N16" s="2"/>
      </tp>
      <tp t="s">
        <v>#N/A N/A</v>
        <stp/>
        <stp>BDH|14851329170099724801</stp>
        <tr r="AJ18" s="2"/>
      </tp>
      <tp t="s">
        <v>#N/A N/A</v>
        <stp/>
        <stp>BDH|10902241687748432339</stp>
        <tr r="C16" s="5"/>
        <tr r="C16" s="4"/>
      </tp>
      <tp t="s">
        <v>#N/A N/A</v>
        <stp/>
        <stp>BDH|18351529321858570699</stp>
        <tr r="I21" s="2"/>
      </tp>
      <tp t="s">
        <v>#N/A N/A</v>
        <stp/>
        <stp>BDH|11830377215840698235</stp>
        <tr r="E21" s="2"/>
      </tp>
      <tp t="s">
        <v>#N/A N/A</v>
        <stp/>
        <stp>BDH|12893747931326706148</stp>
        <tr r="AD8" s="5"/>
        <tr r="AD8" s="4"/>
      </tp>
      <tp t="s">
        <v>#N/A N/A</v>
        <stp/>
        <stp>BDP|15870765428465698394</stp>
        <tr r="AG9" s="3"/>
      </tp>
      <tp t="s">
        <v>#N/A N/A</v>
        <stp/>
        <stp>BDP|10152450238655134444</stp>
        <tr r="W10" s="3"/>
      </tp>
      <tp t="s">
        <v>#N/A N/A</v>
        <stp/>
        <stp>BDP|17137787444643064157</stp>
        <tr r="AJ13" s="3"/>
      </tp>
      <tp t="s">
        <v>#N/A N/A</v>
        <stp/>
        <stp>BDP|13138845785582949732</stp>
        <tr r="U17" s="3"/>
      </tp>
      <tp t="s">
        <v>#N/A N/A</v>
        <stp/>
        <stp>BDP|12432193866197128474</stp>
        <tr r="O12" s="3"/>
      </tp>
      <tp t="s">
        <v>#N/A N/A</v>
        <stp/>
        <stp>BDP|10181836324028884431</stp>
        <tr r="D13" s="3"/>
      </tp>
      <tp t="s">
        <v>#N/A N/A</v>
        <stp/>
        <stp>BDP|11536054170134618488</stp>
        <tr r="G16" s="3"/>
      </tp>
      <tp t="s">
        <v>#N/A N/A</v>
        <stp/>
        <stp>BDP|15546534041056203471</stp>
        <tr r="AL12" s="3"/>
      </tp>
      <tp t="s">
        <v>#N/A N/A</v>
        <stp/>
        <stp>BDP|16799128740066898385</stp>
        <tr r="E17" s="3"/>
      </tp>
      <tp t="s">
        <v>#N/A N/A</v>
        <stp/>
        <stp>BDP|11888000851501429389</stp>
        <tr r="AF12" s="3"/>
      </tp>
      <tp t="s">
        <v>#N/A N/A</v>
        <stp/>
        <stp>BDP|10385577414455328747</stp>
        <tr r="O9" s="3"/>
      </tp>
      <tp t="s">
        <v>#N/A N/A</v>
        <stp/>
        <stp>BDP|17106497458210157060</stp>
        <tr r="V9" s="3"/>
      </tp>
      <tp t="s">
        <v>#N/A N/A</v>
        <stp/>
        <stp>BDH|14305666142843043369</stp>
        <tr r="C9" s="2"/>
      </tp>
      <tp t="s">
        <v>#N/A N/A</v>
        <stp/>
        <stp>BDH|13223785943034048284</stp>
        <tr r="AE25" s="5"/>
        <tr r="AE25" s="4"/>
      </tp>
      <tp t="s">
        <v>#N/A N/A</v>
        <stp/>
        <stp>BDH|17182091602588341993</stp>
        <tr r="AI7" s="2"/>
      </tp>
      <tp t="s">
        <v>#N/A N/A</v>
        <stp/>
        <stp>BDH|18116731598823280384</stp>
        <tr r="R7" s="5"/>
        <tr r="R7" s="4"/>
      </tp>
      <tp t="s">
        <v>#N/A N/A</v>
        <stp/>
        <stp>BDH|15295336030435642644</stp>
        <tr r="AI13" s="2"/>
      </tp>
      <tp t="s">
        <v>#N/A N/A</v>
        <stp/>
        <stp>BDH|17039668736632756646</stp>
        <tr r="H13" s="5"/>
        <tr r="H13" s="4"/>
      </tp>
    </main>
    <main first="bofaddin.rtdserver">
      <tp t="s">
        <v>#N/A N/A</v>
        <stp/>
        <stp>BDH|13064262461572728321</stp>
        <tr r="J25" s="2"/>
      </tp>
      <tp t="s">
        <v>#N/A N/A</v>
        <stp/>
        <stp>BDH|17150191106637382787</stp>
        <tr r="AG8" s="5"/>
        <tr r="AG8" s="4"/>
      </tp>
      <tp t="s">
        <v>#N/A N/A</v>
        <stp/>
        <stp>BDH|15228654452345384526</stp>
        <tr r="AC7" s="5"/>
        <tr r="AC7" s="4"/>
      </tp>
      <tp t="s">
        <v>#N/A N/A</v>
        <stp/>
        <stp>BDH|15008617451529001949</stp>
        <tr r="D6" s="5"/>
        <tr r="D6" s="4"/>
      </tp>
      <tp t="s">
        <v>#N/A N/A</v>
        <stp/>
        <stp>BDH|16862287031891591003</stp>
        <tr r="AM10" s="2"/>
      </tp>
      <tp t="s">
        <v>#N/A N/A</v>
        <stp/>
        <stp>BDH|11801630372236900040</stp>
        <tr r="V16" s="2"/>
      </tp>
      <tp t="s">
        <v>#N/A N/A</v>
        <stp/>
        <stp>BDH|12683108023046483160</stp>
        <tr r="M21" s="5"/>
        <tr r="M21" s="4"/>
      </tp>
      <tp t="s">
        <v>#N/A N/A</v>
        <stp/>
        <stp>BDH|16780862182239029945</stp>
        <tr r="L14" s="2"/>
      </tp>
      <tp t="s">
        <v>#N/A N/A</v>
        <stp/>
        <stp>BDH|12570445861995674311</stp>
        <tr r="N22" s="5"/>
        <tr r="N22" s="4"/>
      </tp>
      <tp t="s">
        <v>#N/A N/A</v>
        <stp/>
        <stp>BDH|16438429936706388157</stp>
        <tr r="V20" s="5"/>
        <tr r="V20" s="4"/>
      </tp>
      <tp t="s">
        <v>#N/A N/A</v>
        <stp/>
        <stp>BDH|16110924544768738565</stp>
        <tr r="L16" s="5"/>
        <tr r="L16" s="4"/>
      </tp>
      <tp t="s">
        <v>#N/A N/A</v>
        <stp/>
        <stp>BDH|15714524127577992322</stp>
        <tr r="S9" s="5"/>
        <tr r="S9" s="4"/>
      </tp>
      <tp t="s">
        <v>#N/A N/A</v>
        <stp/>
        <stp>BDH|17626554334556638188</stp>
        <tr r="AB24" s="5"/>
        <tr r="AB24" s="4"/>
      </tp>
      <tp t="s">
        <v>#N/A N/A</v>
        <stp/>
        <stp>BDH|13591209199527491919</stp>
        <tr r="E10" s="5"/>
        <tr r="E10" s="4"/>
      </tp>
      <tp t="s">
        <v>#N/A N/A</v>
        <stp/>
        <stp>BDH|13423624430092852269</stp>
        <tr r="AP26" s="2"/>
      </tp>
      <tp t="s">
        <v>#N/A N/A</v>
        <stp/>
        <stp>BDH|16280893333129849281</stp>
        <tr r="AG6" s="5"/>
        <tr r="AG6" s="4"/>
      </tp>
      <tp t="s">
        <v>#N/A N/A</v>
        <stp/>
        <stp>BDH|10012839213418066787</stp>
        <tr r="H20" s="2"/>
      </tp>
      <tp t="s">
        <v>#N/A N/A</v>
        <stp/>
        <stp>BDH|11928880080204836313</stp>
        <tr r="AH17" s="2"/>
      </tp>
      <tp t="s">
        <v>#N/A N/A</v>
        <stp/>
        <stp>BDH|18432773029302402965</stp>
        <tr r="AO8" s="5"/>
        <tr r="AO8" s="4"/>
      </tp>
      <tp t="s">
        <v>#N/A N/A</v>
        <stp/>
        <stp>BDH|15991556264261104121</stp>
        <tr r="AJ25" s="5"/>
        <tr r="AJ25" s="4"/>
      </tp>
      <tp t="s">
        <v>#N/A N/A</v>
        <stp/>
        <stp>BDH|16904777746676066535</stp>
        <tr r="AF24" s="5"/>
        <tr r="AF24" s="4"/>
      </tp>
      <tp t="s">
        <v>#N/A N/A</v>
        <stp/>
        <stp>BDH|16546803433532432990</stp>
        <tr r="AI6" s="5"/>
        <tr r="AI6" s="4"/>
      </tp>
      <tp t="s">
        <v>#N/A N/A</v>
        <stp/>
        <stp>BDH|13434250608033127431</stp>
        <tr r="H9" s="5"/>
        <tr r="H9" s="4"/>
      </tp>
      <tp t="s">
        <v>#N/A N/A</v>
        <stp/>
        <stp>BDH|17722445000373064685</stp>
        <tr r="G26" s="5"/>
        <tr r="G26" s="4"/>
      </tp>
      <tp t="s">
        <v>#N/A N/A</v>
        <stp/>
        <stp>BDH|10124107348706106529</stp>
        <tr r="Z13" s="2"/>
      </tp>
      <tp t="s">
        <v>#N/A N/A</v>
        <stp/>
        <stp>BDH|16540487863592775037</stp>
        <tr r="AF26" s="5"/>
        <tr r="AF26" s="4"/>
      </tp>
      <tp t="s">
        <v>#N/A N/A</v>
        <stp/>
        <stp>BDH|16096907053694946808</stp>
        <tr r="Y13" s="2"/>
      </tp>
      <tp t="s">
        <v>#N/A N/A</v>
        <stp/>
        <stp>BDH|16513798985816160955</stp>
        <tr r="V21" s="5"/>
        <tr r="V21" s="4"/>
      </tp>
      <tp t="s">
        <v>#N/A N/A</v>
        <stp/>
        <stp>BDH|12956794418775319766</stp>
        <tr r="AP22" s="5"/>
        <tr r="AP22" s="4"/>
      </tp>
      <tp t="s">
        <v>#N/A N/A</v>
        <stp/>
        <stp>BDH|10984785748874241161</stp>
        <tr r="AE24" s="2"/>
      </tp>
      <tp t="s">
        <v>#N/A N/A</v>
        <stp/>
        <stp>BDH|15674080044372179565</stp>
        <tr r="K18" s="2"/>
      </tp>
      <tp t="s">
        <v>#N/A N/A</v>
        <stp/>
        <stp>BDH|16237125604133805212</stp>
        <tr r="AP25" s="5"/>
        <tr r="AP25" s="4"/>
      </tp>
      <tp t="s">
        <v>#N/A N/A</v>
        <stp/>
        <stp>BDH|16866070543512951683</stp>
        <tr r="F21" s="5"/>
        <tr r="F21" s="4"/>
      </tp>
      <tp t="s">
        <v>#N/A N/A</v>
        <stp/>
        <stp>BDH|18166111672718912079</stp>
        <tr r="N25" s="5"/>
        <tr r="N25" s="4"/>
      </tp>
      <tp t="s">
        <v>#N/A N/A</v>
        <stp/>
        <stp>BDH|14954734714007098317</stp>
        <tr r="W17" s="5"/>
        <tr r="W17" s="4"/>
      </tp>
      <tp t="s">
        <v>#N/A N/A</v>
        <stp/>
        <stp>BDH|11720186972619508874</stp>
        <tr r="AP17" s="5"/>
        <tr r="AP17" s="4"/>
      </tp>
      <tp t="s">
        <v>#N/A N/A</v>
        <stp/>
        <stp>BDH|11809510947314372220</stp>
        <tr r="AG12" s="5"/>
        <tr r="AG12" s="4"/>
      </tp>
      <tp t="s">
        <v>#N/A N/A</v>
        <stp/>
        <stp>BDH|12547383580147711842</stp>
        <tr r="AE16" s="2"/>
      </tp>
      <tp t="s">
        <v>#N/A N/A</v>
        <stp/>
        <stp>BDH|11974759537311506208</stp>
        <tr r="U17" s="2"/>
      </tp>
      <tp t="s">
        <v>#N/A N/A</v>
        <stp/>
        <stp>BDP|13363702588439312231</stp>
        <tr r="X9" s="3"/>
      </tp>
      <tp t="s">
        <v>#N/A N/A</v>
        <stp/>
        <stp>BDP|13294493604134930484</stp>
        <tr r="D9" s="3"/>
      </tp>
      <tp t="s">
        <v>#N/A N/A</v>
        <stp/>
        <stp>BDP|15229990980414808727</stp>
        <tr r="X10" s="3"/>
      </tp>
      <tp t="s">
        <v>#N/A N/A</v>
        <stp/>
        <stp>BDP|13164531716817579713</stp>
        <tr r="Y13" s="3"/>
      </tp>
      <tp t="s">
        <v>#N/A N/A</v>
        <stp/>
        <stp>BDP|11959432402802289091</stp>
        <tr r="H10" s="3"/>
      </tp>
      <tp t="s">
        <v>#N/A N/A</v>
        <stp/>
        <stp>BDP|14174509002673411552</stp>
        <tr r="C13" s="3"/>
      </tp>
      <tp t="s">
        <v>#N/A N/A</v>
        <stp/>
        <stp>BDP|17405058350652726732</stp>
        <tr r="F17" s="3"/>
      </tp>
      <tp t="s">
        <v>#N/A N/A</v>
        <stp/>
        <stp>BDH|15784353794208347056</stp>
        <tr r="V13" s="5"/>
        <tr r="V13" s="4"/>
      </tp>
      <tp t="s">
        <v>#N/A N/A</v>
        <stp/>
        <stp>BDH|13559646301836604467</stp>
        <tr r="P19" s="2"/>
      </tp>
      <tp t="s">
        <v>#N/A N/A</v>
        <stp/>
        <stp>BDH|17414077822215363720</stp>
        <tr r="AB8" s="5"/>
        <tr r="AB8" s="4"/>
      </tp>
      <tp t="s">
        <v>#N/A N/A</v>
        <stp/>
        <stp>BDH|14609481563461461097</stp>
        <tr r="C21" s="2"/>
      </tp>
      <tp t="s">
        <v>#N/A N/A</v>
        <stp/>
        <stp>BDH|14201766153988588923</stp>
        <tr r="J21" s="2"/>
      </tp>
      <tp t="s">
        <v>#N/A N/A</v>
        <stp/>
        <stp>BDH|16182307126499017945</stp>
        <tr r="S13" s="2"/>
      </tp>
      <tp t="s">
        <v>#N/A N/A</v>
        <stp/>
        <stp>BDH|15108569345141077204</stp>
        <tr r="AD13" s="2"/>
      </tp>
      <tp t="s">
        <v>#N/A N/A</v>
        <stp/>
        <stp>BDH|11318280053621976041</stp>
        <tr r="AO24" s="5"/>
        <tr r="AO24" s="4"/>
      </tp>
      <tp t="s">
        <v>#N/A N/A</v>
        <stp/>
        <stp>BDH|18037790818670350969</stp>
        <tr r="AF25" s="5"/>
        <tr r="AF25" s="4"/>
      </tp>
      <tp t="s">
        <v>#N/A N/A</v>
        <stp/>
        <stp>BDH|16666646182716153955</stp>
        <tr r="E17" s="5"/>
        <tr r="E17" s="4"/>
      </tp>
      <tp t="s">
        <v>#N/A N/A</v>
        <stp/>
        <stp>BDH|10702459113403318157</stp>
        <tr r="X18" s="5"/>
        <tr r="X18" s="4"/>
      </tp>
      <tp t="s">
        <v>#N/A N/A</v>
        <stp/>
        <stp>BDH|11290411534211576056</stp>
        <tr r="AP18" s="2"/>
      </tp>
      <tp t="s">
        <v>#N/A N/A</v>
        <stp/>
        <stp>BDH|18313602592885605506</stp>
        <tr r="O26" s="2"/>
      </tp>
      <tp t="s">
        <v>#N/A N/A</v>
        <stp/>
        <stp>BDH|13754116262414201711</stp>
        <tr r="AC12" s="5"/>
        <tr r="AC12" s="4"/>
      </tp>
      <tp t="s">
        <v>#N/A N/A</v>
        <stp/>
        <stp>BDH|14144751017474787122</stp>
        <tr r="AJ25" s="2"/>
      </tp>
      <tp t="s">
        <v>#N/A N/A</v>
        <stp/>
        <stp>BDH|13245552706351088074</stp>
        <tr r="J26" s="5"/>
        <tr r="J26" s="4"/>
      </tp>
      <tp t="s">
        <v>#N/A N/A</v>
        <stp/>
        <stp>BDH|15791554919684858252</stp>
        <tr r="M7" s="2"/>
      </tp>
      <tp t="s">
        <v>#N/A N/A</v>
        <stp/>
        <stp>BDH|16364159128644129698</stp>
        <tr r="Q14" s="2"/>
      </tp>
      <tp t="s">
        <v>#N/A N/A</v>
        <stp/>
        <stp>BDH|14758298647220986567</stp>
        <tr r="N9" s="2"/>
      </tp>
      <tp t="s">
        <v>#N/A N/A</v>
        <stp/>
        <stp>BDH|12692602921850142101</stp>
        <tr r="AG17" s="2"/>
      </tp>
      <tp t="s">
        <v>#N/A N/A</v>
        <stp/>
        <stp>BDH|17025637323162202642</stp>
        <tr r="K7" s="5"/>
        <tr r="K7" s="4"/>
      </tp>
      <tp t="s">
        <v>#N/A N/A</v>
        <stp/>
        <stp>BDH|13338242079855545424</stp>
        <tr r="C21" s="5"/>
        <tr r="C21" s="4"/>
      </tp>
      <tp t="s">
        <v>#N/A N/A</v>
        <stp/>
        <stp>BDH|12079004414242530685</stp>
        <tr r="O10" s="2"/>
      </tp>
      <tp t="s">
        <v>#N/A N/A</v>
        <stp/>
        <stp>BDH|16996509573312219105</stp>
        <tr r="AM8" s="2"/>
      </tp>
      <tp t="s">
        <v>#N/A N/A</v>
        <stp/>
        <stp>BDH|10372706868223720547</stp>
        <tr r="N24" s="2"/>
      </tp>
      <tp t="s">
        <v>#N/A N/A</v>
        <stp/>
        <stp>BDH|12306898241981486846</stp>
        <tr r="AO10" s="5"/>
        <tr r="AO10" s="4"/>
      </tp>
      <tp t="s">
        <v>#N/A N/A</v>
        <stp/>
        <stp>BDH|17323708069219023814</stp>
        <tr r="G21" s="5"/>
        <tr r="G21" s="4"/>
      </tp>
      <tp t="s">
        <v>#N/A N/A</v>
        <stp/>
        <stp>BDH|15821791399148718453</stp>
        <tr r="P18" s="5"/>
        <tr r="P18" s="4"/>
      </tp>
      <tp t="s">
        <v>#N/A N/A</v>
        <stp/>
        <stp>BDH|12768279544920811309</stp>
        <tr r="AI24" s="2"/>
      </tp>
      <tp t="s">
        <v>#N/A N/A</v>
        <stp/>
        <stp>BDH|13402794338222070292</stp>
        <tr r="AG19" s="2"/>
      </tp>
      <tp t="s">
        <v>#N/A N/A</v>
        <stp/>
        <stp>BDH|11076501148934250359</stp>
        <tr r="AL26" s="2"/>
      </tp>
      <tp t="s">
        <v>#N/A N/A</v>
        <stp/>
        <stp>BDH|11834280742994895451</stp>
        <tr r="AD24" s="2"/>
      </tp>
      <tp t="s">
        <v>#N/A N/A</v>
        <stp/>
        <stp>BDH|10495039179927897792</stp>
        <tr r="AE25" s="2"/>
      </tp>
      <tp t="s">
        <v>#N/A N/A</v>
        <stp/>
        <stp>BDH|17589427281575043998</stp>
        <tr r="E7" s="2"/>
      </tp>
      <tp t="s">
        <v>#N/A N/A</v>
        <stp/>
        <stp>BDH|14950112902586703424</stp>
        <tr r="AN26" s="2"/>
      </tp>
      <tp t="s">
        <v>#N/A N/A</v>
        <stp/>
        <stp>BDH|17554492941832326219</stp>
        <tr r="AI12" s="5"/>
        <tr r="AI12" s="4"/>
      </tp>
      <tp t="s">
        <v>#N/A N/A</v>
        <stp/>
        <stp>BDH|17680294166107155367</stp>
        <tr r="W16" s="2"/>
      </tp>
      <tp t="s">
        <v>#N/A N/A</v>
        <stp/>
        <stp>BDH|13927652175381746409</stp>
        <tr r="D19" s="2"/>
      </tp>
      <tp t="s">
        <v>#N/A N/A</v>
        <stp/>
        <stp>BDH|14087986405018237210</stp>
        <tr r="AN22" s="5"/>
        <tr r="AN22" s="4"/>
      </tp>
    </main>
    <main first="bofaddin.rtdserver">
      <tp t="s">
        <v>#N/A N/A</v>
        <stp/>
        <stp>BDP|17175754286724874867</stp>
        <tr r="E10" s="3"/>
      </tp>
      <tp t="s">
        <v>#N/A N/A</v>
        <stp/>
        <stp>BDP|13681051076461871138</stp>
        <tr r="M9" s="3"/>
      </tp>
      <tp t="s">
        <v>#N/A N/A</v>
        <stp/>
        <stp>BDP|10000491800770978074</stp>
        <tr r="O13" s="3"/>
      </tp>
      <tp t="s">
        <v>#N/A N/A</v>
        <stp/>
        <stp>BDP|10550747722199638833</stp>
        <tr r="Z17" s="3"/>
      </tp>
      <tp t="s">
        <v>#N/A N/A</v>
        <stp/>
        <stp>BDH|11962841987396990327</stp>
        <tr r="R9" s="5"/>
        <tr r="R9" s="4"/>
      </tp>
      <tp t="s">
        <v>#N/A N/A</v>
        <stp/>
        <stp>BDH|13921032928180106528</stp>
        <tr r="AO14" s="5"/>
        <tr r="AO14" s="4"/>
      </tp>
      <tp t="s">
        <v>#N/A N/A</v>
        <stp/>
        <stp>BDH|15597066324882484121</stp>
        <tr r="R25" s="2"/>
      </tp>
      <tp t="s">
        <v>#N/A N/A</v>
        <stp/>
        <stp>BDH|11640409409456825766</stp>
        <tr r="AG26" s="2"/>
      </tp>
      <tp t="s">
        <v>#N/A N/A</v>
        <stp/>
        <stp>BDH|16898059004457156591</stp>
        <tr r="AH24" s="5"/>
        <tr r="AH24" s="4"/>
      </tp>
      <tp t="s">
        <v>#N/A N/A</v>
        <stp/>
        <stp>BDH|17243696050891298193</stp>
        <tr r="J10" s="2"/>
      </tp>
      <tp t="s">
        <v>#N/A N/A</v>
        <stp/>
        <stp>BDH|10525293410110551793</stp>
        <tr r="V18" s="5"/>
        <tr r="V18" s="4"/>
      </tp>
      <tp t="s">
        <v>#N/A N/A</v>
        <stp/>
        <stp>BDH|13630677334970211278</stp>
        <tr r="U13" s="2"/>
      </tp>
      <tp t="s">
        <v>#N/A N/A</v>
        <stp/>
        <stp>BDH|17289362017927503658</stp>
        <tr r="W24" s="2"/>
      </tp>
      <tp t="s">
        <v>#N/A N/A</v>
        <stp/>
        <stp>BDH|16393715589914867900</stp>
        <tr r="AI18" s="2"/>
      </tp>
      <tp t="s">
        <v>#N/A N/A</v>
        <stp/>
        <stp>BDH|13456564870144164100</stp>
        <tr r="Z14" s="2"/>
      </tp>
      <tp t="s">
        <v>#N/A N/A</v>
        <stp/>
        <stp>BDH|13043655263874315373</stp>
        <tr r="AP20" s="2"/>
      </tp>
      <tp t="s">
        <v>#N/A N/A</v>
        <stp/>
        <stp>BDH|17956100819577640446</stp>
        <tr r="K25" s="5"/>
        <tr r="K25" s="4"/>
      </tp>
      <tp t="s">
        <v>#N/A N/A</v>
        <stp/>
        <stp>BDH|15792698604150037784</stp>
        <tr r="E22" s="5"/>
        <tr r="E22" s="4"/>
      </tp>
      <tp t="s">
        <v>#N/A N/A</v>
        <stp/>
        <stp>BDH|11682110421147484104</stp>
        <tr r="V16" s="5"/>
        <tr r="V16" s="4"/>
      </tp>
      <tp t="s">
        <v>#N/A N/A</v>
        <stp/>
        <stp>BDH|17488054433023646311</stp>
        <tr r="U7" s="2"/>
      </tp>
      <tp t="s">
        <v>#N/A N/A</v>
        <stp/>
        <stp>BDH|13791616707937792636</stp>
        <tr r="AA16" s="2"/>
      </tp>
      <tp t="s">
        <v>#N/A N/A</v>
        <stp/>
        <stp>BDH|15903230367476957318</stp>
        <tr r="M16" s="2"/>
      </tp>
      <tp t="s">
        <v>#N/A N/A</v>
        <stp/>
        <stp>BDH|11079606361266500339</stp>
        <tr r="N10" s="5"/>
        <tr r="N10" s="4"/>
      </tp>
      <tp t="s">
        <v>#N/A N/A</v>
        <stp/>
        <stp>BDH|11205391137024992124</stp>
        <tr r="D20" s="5"/>
        <tr r="D20" s="4"/>
      </tp>
      <tp t="s">
        <v>#N/A N/A</v>
        <stp/>
        <stp>BDH|15689062605502009328</stp>
        <tr r="V9" s="5"/>
        <tr r="V9" s="4"/>
      </tp>
      <tp t="s">
        <v>#N/A N/A</v>
        <stp/>
        <stp>BDH|11352822384763363613</stp>
        <tr r="W20" s="2"/>
      </tp>
      <tp t="s">
        <v>#N/A N/A</v>
        <stp/>
        <stp>BDH|16832041978930029521</stp>
        <tr r="AK24" s="5"/>
        <tr r="AK24" s="4"/>
      </tp>
      <tp t="s">
        <v>#N/A N/A</v>
        <stp/>
        <stp>BDH|16109092932845436489</stp>
        <tr r="T9" s="2"/>
      </tp>
      <tp t="s">
        <v>#N/A N/A</v>
        <stp/>
        <stp>BDH|18341320996012515440</stp>
        <tr r="T13" s="2"/>
      </tp>
      <tp t="s">
        <v>#N/A N/A</v>
        <stp/>
        <stp>BDH|15658684652260198244</stp>
        <tr r="Z12" s="5"/>
        <tr r="Z12" s="4"/>
      </tp>
      <tp t="s">
        <v>#N/A N/A</v>
        <stp/>
        <stp>BDH|14451703082657651894</stp>
        <tr r="P7" s="5"/>
        <tr r="P7" s="4"/>
      </tp>
      <tp t="s">
        <v>#N/A N/A</v>
        <stp/>
        <stp>BDH|17935783889909444543</stp>
        <tr r="AL22" s="5"/>
        <tr r="AL22" s="4"/>
      </tp>
      <tp t="s">
        <v>#N/A N/A</v>
        <stp/>
        <stp>BDH|11361157218074300153</stp>
        <tr r="AA18" s="2"/>
      </tp>
      <tp t="s">
        <v>#N/A N/A</v>
        <stp/>
        <stp>BDH|10722321162583906260</stp>
        <tr r="AH25" s="5"/>
        <tr r="AH25" s="4"/>
      </tp>
      <tp t="s">
        <v>#N/A N/A</v>
        <stp/>
        <stp>BDH|14081797474337753711</stp>
        <tr r="AF24" s="2"/>
      </tp>
      <tp t="s">
        <v>#N/A N/A</v>
        <stp/>
        <stp>BDH|16387805398610621361</stp>
        <tr r="AP12" s="5"/>
        <tr r="AP12" s="4"/>
      </tp>
      <tp t="s">
        <v>#N/A N/A</v>
        <stp/>
        <stp>BDH|15211275150796783095</stp>
        <tr r="S16" s="2"/>
      </tp>
      <tp t="s">
        <v>#N/A N/A</v>
        <stp/>
        <stp>BDH|10866358894337448964</stp>
        <tr r="S14" s="5"/>
        <tr r="S14" s="4"/>
      </tp>
      <tp t="s">
        <v>#N/A N/A</v>
        <stp/>
        <stp>BDH|14885481446730882054</stp>
        <tr r="AF16" s="2"/>
      </tp>
      <tp t="s">
        <v>#N/A N/A</v>
        <stp/>
        <stp>BDH|12007722255610515494</stp>
        <tr r="AL24" s="5"/>
        <tr r="AL24" s="4"/>
      </tp>
      <tp t="s">
        <v>#N/A N/A</v>
        <stp/>
        <stp>BDH|17725957860734836816</stp>
        <tr r="S18" s="5"/>
        <tr r="S18" s="4"/>
      </tp>
      <tp t="s">
        <v>#N/A N/A</v>
        <stp/>
        <stp>BDH|10149605145460934662</stp>
        <tr r="AF17" s="2"/>
      </tp>
      <tp t="s">
        <v>#N/A N/A</v>
        <stp/>
        <stp>BDH|12824402045134662203</stp>
        <tr r="Q6" s="5"/>
        <tr r="Q6" s="4"/>
      </tp>
      <tp t="s">
        <v>#N/A N/A</v>
        <stp/>
        <stp>BDH|10003580882561913897</stp>
        <tr r="AL6" s="5"/>
        <tr r="AL6" s="4"/>
      </tp>
      <tp t="s">
        <v>#N/A N/A</v>
        <stp/>
        <stp>BDH|13865826878729171197</stp>
        <tr r="D21" s="5"/>
        <tr r="D21" s="4"/>
      </tp>
      <tp t="s">
        <v>#N/A N/A</v>
        <stp/>
        <stp>BDH|16605358794209947148</stp>
        <tr r="AC14" s="2"/>
      </tp>
      <tp t="s">
        <v>#N/A N/A</v>
        <stp/>
        <stp>BDH|12880520343362555513</stp>
        <tr r="AG20" s="5"/>
        <tr r="AG20" s="4"/>
      </tp>
      <tp t="s">
        <v>#N/A N/A</v>
        <stp/>
        <stp>BDH|15953950449808133492</stp>
        <tr r="AE20" s="2"/>
      </tp>
      <tp t="s">
        <v>#N/A N/A</v>
        <stp/>
        <stp>BDH|15270265065417459282</stp>
        <tr r="AJ20" s="2"/>
      </tp>
      <tp t="s">
        <v>#N/A N/A</v>
        <stp/>
        <stp>BDH|17650970043368921660</stp>
        <tr r="T7" s="2"/>
      </tp>
      <tp t="s">
        <v>#N/A N/A</v>
        <stp/>
        <stp>BDH|15944878787271650001</stp>
        <tr r="AD21" s="2"/>
      </tp>
      <tp t="s">
        <v>#N/A N/A</v>
        <stp/>
        <stp>BDH|12709986112229114737</stp>
        <tr r="K22" s="5"/>
        <tr r="K22" s="4"/>
      </tp>
      <tp t="s">
        <v>#N/A N/A</v>
        <stp/>
        <stp>BDH|15434120321661826305</stp>
        <tr r="F8" s="2"/>
      </tp>
      <tp t="s">
        <v>#N/A N/A</v>
        <stp/>
        <stp>BDH|10317149407337649284</stp>
        <tr r="L21" s="2"/>
      </tp>
      <tp t="s">
        <v>#N/A N/A</v>
        <stp/>
        <stp>BDH|17982256514999146979</stp>
        <tr r="W26" s="5"/>
        <tr r="W26" s="4"/>
      </tp>
      <tp t="s">
        <v>#N/A N/A</v>
        <stp/>
        <stp>BDH|13626741798549676022</stp>
        <tr r="AF16" s="5"/>
        <tr r="AF16" s="4"/>
      </tp>
      <tp t="s">
        <v>#N/A N/A</v>
        <stp/>
        <stp>BDH|18173947285798946576</stp>
        <tr r="AN16" s="2"/>
      </tp>
      <tp t="s">
        <v>#N/A N/A</v>
        <stp/>
        <stp>BDP|11312976398566352273</stp>
        <tr r="AF13" s="3"/>
      </tp>
      <tp t="s">
        <v>#N/A N/A</v>
        <stp/>
        <stp>BDP|16946170777054790147</stp>
        <tr r="AI13" s="3"/>
      </tp>
      <tp t="s">
        <v>#N/A N/A</v>
        <stp/>
        <stp>BDP|15132889614890800987</stp>
        <tr r="R12" s="3"/>
      </tp>
      <tp t="s">
        <v>#N/A N/A</v>
        <stp/>
        <stp>BDP|15407743018746196057</stp>
        <tr r="AH12" s="3"/>
      </tp>
      <tp t="s">
        <v>#N/A N/A</v>
        <stp/>
        <stp>BDP|10923866082327377228</stp>
        <tr r="AG13" s="3"/>
      </tp>
      <tp t="s">
        <v>#N/A N/A</v>
        <stp/>
        <stp>BDP|18220517795475977402</stp>
        <tr r="AH16" s="3"/>
      </tp>
      <tp t="s">
        <v>#N/A N/A</v>
        <stp/>
        <stp>BDP|17168559846421052221</stp>
        <tr r="K13" s="3"/>
      </tp>
      <tp t="s">
        <v>#N/A N/A</v>
        <stp/>
        <stp>BDP|12993188750820712364</stp>
        <tr r="AI9" s="3"/>
      </tp>
      <tp t="s">
        <v>#N/A N/A</v>
        <stp/>
        <stp>BDP|11609399850687880530</stp>
        <tr r="N10" s="3"/>
      </tp>
      <tp t="s">
        <v>#N/A N/A</v>
        <stp/>
        <stp>BDP|10235260091668575647</stp>
        <tr r="AJ12" s="3"/>
      </tp>
      <tp t="s">
        <v>#N/A N/A</v>
        <stp/>
        <stp>BDH|13694209077440977398</stp>
        <tr r="AG17" s="5"/>
        <tr r="AG17" s="4"/>
      </tp>
      <tp t="s">
        <v>#N/A N/A</v>
        <stp/>
        <stp>BDH|16140464002523459408</stp>
        <tr r="AN14" s="2"/>
      </tp>
      <tp t="s">
        <v>#N/A N/A</v>
        <stp/>
        <stp>BDH|11253543386509496055</stp>
        <tr r="N21" s="2"/>
      </tp>
      <tp t="s">
        <v>#N/A N/A</v>
        <stp/>
        <stp>BDH|15718571430314655278</stp>
        <tr r="E12" s="5"/>
        <tr r="E12" s="4"/>
      </tp>
      <tp t="s">
        <v>#N/A N/A</v>
        <stp/>
        <stp>BDH|13720601331355570626</stp>
        <tr r="U26" s="5"/>
        <tr r="U26" s="4"/>
      </tp>
      <tp t="s">
        <v>#N/A N/A</v>
        <stp/>
        <stp>BDH|10606408639681852372</stp>
        <tr r="M18" s="2"/>
      </tp>
      <tp t="s">
        <v>#N/A N/A</v>
        <stp/>
        <stp>BDH|17523172158566209089</stp>
        <tr r="O22" s="5"/>
        <tr r="O22" s="4"/>
      </tp>
      <tp t="s">
        <v>#N/A N/A</v>
        <stp/>
        <stp>BDH|13821165046642012183</stp>
        <tr r="AN17" s="5"/>
        <tr r="AN17" s="4"/>
      </tp>
      <tp t="s">
        <v>#N/A N/A</v>
        <stp/>
        <stp>BDH|12748503408326896479</stp>
        <tr r="X20" s="5"/>
        <tr r="X20" s="4"/>
      </tp>
      <tp t="s">
        <v>#N/A N/A</v>
        <stp/>
        <stp>BDH|14198656582648761724</stp>
        <tr r="V26" s="5"/>
        <tr r="V26" s="4"/>
      </tp>
      <tp t="s">
        <v>#N/A N/A</v>
        <stp/>
        <stp>BDH|12667113794589167619</stp>
        <tr r="AL21" s="5"/>
        <tr r="AL21" s="4"/>
      </tp>
      <tp t="s">
        <v>#N/A N/A</v>
        <stp/>
        <stp>BDH|11567173411820626468</stp>
        <tr r="AO19" s="2"/>
      </tp>
      <tp t="s">
        <v>#N/A N/A</v>
        <stp/>
        <stp>BDH|14949333954690564783</stp>
        <tr r="AP25" s="2"/>
      </tp>
      <tp t="s">
        <v>#N/A N/A</v>
        <stp/>
        <stp>BDH|17285582283116386986</stp>
        <tr r="W12" s="5"/>
        <tr r="W12" s="4"/>
      </tp>
      <tp t="s">
        <v>#N/A N/A</v>
        <stp/>
        <stp>BDH|15636731787089879681</stp>
        <tr r="X7" s="2"/>
      </tp>
      <tp t="s">
        <v>#N/A N/A</v>
        <stp/>
        <stp>BDH|13805452813733907027</stp>
        <tr r="U14" s="2"/>
      </tp>
      <tp t="s">
        <v>#N/A N/A</v>
        <stp/>
        <stp>BDH|10741344741122612012</stp>
        <tr r="Z8" s="2"/>
      </tp>
      <tp t="s">
        <v>#N/A N/A</v>
        <stp/>
        <stp>BDH|14110499673841739392</stp>
        <tr r="AB10" s="5"/>
        <tr r="AB10" s="4"/>
      </tp>
      <tp t="s">
        <v>#N/A N/A</v>
        <stp/>
        <stp>BDH|10102022343073407217</stp>
        <tr r="AL7" s="2"/>
      </tp>
      <tp t="s">
        <v>#N/A N/A</v>
        <stp/>
        <stp>BDH|11385527415294804484</stp>
        <tr r="AB22" s="5"/>
        <tr r="AB22" s="4"/>
      </tp>
      <tp t="s">
        <v>#N/A N/A</v>
        <stp/>
        <stp>BDH|11723127814520416419</stp>
        <tr r="E25" s="2"/>
      </tp>
      <tp t="s">
        <v>#N/A N/A</v>
        <stp/>
        <stp>BDH|14793471445319646871</stp>
        <tr r="L20" s="5"/>
        <tr r="L20" s="4"/>
      </tp>
      <tp t="s">
        <v>#N/A N/A</v>
        <stp/>
        <stp>BDH|13564066175200540170</stp>
        <tr r="N14" s="5"/>
        <tr r="N14" s="4"/>
      </tp>
      <tp t="s">
        <v>#N/A N/A</v>
        <stp/>
        <stp>BDH|14345741104462133466</stp>
        <tr r="W13" s="2"/>
      </tp>
      <tp t="s">
        <v>#N/A N/A</v>
        <stp/>
        <stp>BDH|11191270438164845112</stp>
        <tr r="AN18" s="2"/>
      </tp>
      <tp t="s">
        <v>#N/A N/A</v>
        <stp/>
        <stp>BDH|11562591153020087481</stp>
        <tr r="AK9" s="5"/>
        <tr r="AK9" s="4"/>
      </tp>
      <tp t="s">
        <v>#N/A N/A</v>
        <stp/>
        <stp>BDH|17013510403657684032</stp>
        <tr r="H13" s="2"/>
      </tp>
      <tp t="s">
        <v>#N/A N/A</v>
        <stp/>
        <stp>BDH|17911692416462118702</stp>
        <tr r="AB12" s="5"/>
        <tr r="AB12" s="4"/>
      </tp>
      <tp t="s">
        <v>#N/A N/A</v>
        <stp/>
        <stp>BDH|10745463611088156874</stp>
        <tr r="AK26" s="5"/>
        <tr r="AK26" s="4"/>
      </tp>
      <tp t="s">
        <v>#N/A N/A</v>
        <stp/>
        <stp>BDH|12095250965350179397</stp>
        <tr r="M25" s="5"/>
        <tr r="M25" s="4"/>
      </tp>
      <tp t="s">
        <v>#N/A N/A</v>
        <stp/>
        <stp>BDH|12768399845044230411</stp>
        <tr r="AA20" s="5"/>
        <tr r="AA20" s="4"/>
      </tp>
      <tp t="s">
        <v>#N/A N/A</v>
        <stp/>
        <stp>BDH|12002995231525544859</stp>
        <tr r="U18" s="5"/>
        <tr r="U18" s="4"/>
      </tp>
      <tp t="s">
        <v>#N/A N/A</v>
        <stp/>
        <stp>BDH|12649085252764162651</stp>
        <tr r="AG16" s="2"/>
      </tp>
      <tp t="s">
        <v>#N/A N/A</v>
        <stp/>
        <stp>BDH|16600496540512555121</stp>
        <tr r="AO25" s="2"/>
      </tp>
      <tp t="s">
        <v>#N/A N/A</v>
        <stp/>
        <stp>BDH|10808123927252505407</stp>
        <tr r="D16" s="5"/>
        <tr r="D16" s="4"/>
      </tp>
      <tp t="s">
        <v>#N/A N/A</v>
        <stp/>
        <stp>BDH|13338512087433570887</stp>
        <tr r="Q7" s="5"/>
        <tr r="Q7" s="4"/>
      </tp>
      <tp t="s">
        <v>#N/A N/A</v>
        <stp/>
        <stp>BDH|16590328288558426033</stp>
        <tr r="H8" s="5"/>
        <tr r="H8" s="4"/>
      </tp>
      <tp t="s">
        <v>#N/A N/A</v>
        <stp/>
        <stp>BDH|10295565834625272693</stp>
        <tr r="Z17" s="5"/>
        <tr r="Z17" s="4"/>
      </tp>
      <tp t="s">
        <v>#N/A N/A</v>
        <stp/>
        <stp>BDH|11050043154249933825</stp>
        <tr r="P7" s="2"/>
      </tp>
      <tp t="s">
        <v>#N/A N/A</v>
        <stp/>
        <stp>BDH|13446702175982982436</stp>
        <tr r="AL12" s="5"/>
        <tr r="AL12" s="4"/>
      </tp>
      <tp t="s">
        <v>#N/A N/A</v>
        <stp/>
        <stp>BDH|17890601446138756837</stp>
        <tr r="Y9" s="2"/>
      </tp>
      <tp t="s">
        <v>#N/A N/A</v>
        <stp/>
        <stp>BDH|16495113353641571695</stp>
        <tr r="Y7" s="5"/>
        <tr r="Y7" s="4"/>
      </tp>
      <tp t="s">
        <v>#N/A N/A</v>
        <stp/>
        <stp>BDH|14480222464492843708</stp>
        <tr r="S18" s="2"/>
      </tp>
      <tp t="s">
        <v>#N/A N/A</v>
        <stp/>
        <stp>BDH|10450773196308841376</stp>
        <tr r="U14" s="5"/>
        <tr r="U14" s="4"/>
      </tp>
      <tp t="s">
        <v>#N/A N/A</v>
        <stp/>
        <stp>BDH|12377786826963178110</stp>
        <tr r="AA21" s="2"/>
      </tp>
      <tp t="s">
        <v>#N/A N/A</v>
        <stp/>
        <stp>BDH|15466601577174961570</stp>
        <tr r="Q18" s="5"/>
        <tr r="Q18" s="4"/>
      </tp>
      <tp t="s">
        <v>#N/A N/A</v>
        <stp/>
        <stp>BDH|12288591656537400056</stp>
        <tr r="AM19" s="2"/>
      </tp>
      <tp t="s">
        <v>#N/A N/A</v>
        <stp/>
        <stp>BDH|12317679832720866221</stp>
        <tr r="AE26" s="5"/>
        <tr r="AE26" s="4"/>
      </tp>
      <tp t="s">
        <v>#N/A N/A</v>
        <stp/>
        <stp>BDH|17534634638737511079</stp>
        <tr r="AE17" s="5"/>
        <tr r="AE17" s="4"/>
      </tp>
      <tp t="s">
        <v>#N/A N/A</v>
        <stp/>
        <stp>BDH|10886587349656786215</stp>
        <tr r="AJ14" s="2"/>
      </tp>
      <tp t="s">
        <v>#N/A N/A</v>
        <stp/>
        <stp>BDH|13671878693661561695</stp>
        <tr r="AO25" s="5"/>
        <tr r="AO25" s="4"/>
      </tp>
      <tp t="s">
        <v>#N/A N/A</v>
        <stp/>
        <stp>BDH|10350430457905143188</stp>
        <tr r="R13" s="2"/>
      </tp>
      <tp t="s">
        <v>#N/A N/A</v>
        <stp/>
        <stp>BDH|16714038519164761649</stp>
        <tr r="AH25" s="2"/>
      </tp>
    </main>
    <main first="bofaddin.rtdserver">
      <tp t="s">
        <v>#N/A N/A</v>
        <stp/>
        <stp>BDH|7863805979070256491</stp>
        <tr r="I16" s="5"/>
        <tr r="I16" s="4"/>
      </tp>
      <tp t="s">
        <v>#N/A N/A</v>
        <stp/>
        <stp>BDH|4062478008985115968</stp>
        <tr r="V18" s="2"/>
      </tp>
      <tp t="s">
        <v>#N/A N/A</v>
        <stp/>
        <stp>BDP|9613109753624599594</stp>
        <tr r="AC12" s="3"/>
      </tp>
      <tp t="s">
        <v>#N/A N/A</v>
        <stp/>
        <stp>BDH|6664883353122558513</stp>
        <tr r="AK17" s="2"/>
      </tp>
      <tp t="s">
        <v>#N/A N/A</v>
        <stp/>
        <stp>BDH|8056714508495894682</stp>
        <tr r="G10" s="5"/>
        <tr r="G10" s="4"/>
      </tp>
      <tp t="s">
        <v>#N/A N/A</v>
        <stp/>
        <stp>BDP|9043121878576006545</stp>
        <tr r="AL9" s="3"/>
      </tp>
      <tp t="s">
        <v>#N/A N/A</v>
        <stp/>
        <stp>BDH|4267648032538367594</stp>
        <tr r="AH10" s="5"/>
        <tr r="AH10" s="4"/>
      </tp>
      <tp t="s">
        <v>#N/A N/A</v>
        <stp/>
        <stp>BDP|6099972838817448741</stp>
        <tr r="AO17" s="3"/>
      </tp>
      <tp t="s">
        <v>#N/A N/A</v>
        <stp/>
        <stp>BDH|7412638314944916857</stp>
        <tr r="C13" s="2"/>
      </tp>
      <tp t="s">
        <v>#N/A N/A</v>
        <stp/>
        <stp>BDH|4886224885763928194</stp>
        <tr r="AO18" s="2"/>
      </tp>
      <tp t="s">
        <v>#N/A N/A</v>
        <stp/>
        <stp>BDH|9426364058205030658</stp>
        <tr r="X8" s="2"/>
      </tp>
      <tp t="s">
        <v>#N/A N/A</v>
        <stp/>
        <stp>BDH|7628286789326087781</stp>
        <tr r="R21" s="5"/>
        <tr r="R21" s="4"/>
      </tp>
      <tp t="s">
        <v>#N/A N/A</v>
        <stp/>
        <stp>BDH|4430231084332796097</stp>
        <tr r="G18" s="5"/>
        <tr r="G18" s="4"/>
      </tp>
      <tp t="s">
        <v>#N/A N/A</v>
        <stp/>
        <stp>BDH|9808645103170806353</stp>
        <tr r="V8" s="2"/>
      </tp>
      <tp t="s">
        <v>#N/A N/A</v>
        <stp/>
        <stp>BDH|1743561167076723823</stp>
        <tr r="P21" s="2"/>
      </tp>
      <tp t="s">
        <v>#N/A N/A</v>
        <stp/>
        <stp>BDH|3930890965552488329</stp>
        <tr r="J7" s="5"/>
        <tr r="J7" s="4"/>
      </tp>
      <tp t="s">
        <v>#N/A N/A</v>
        <stp/>
        <stp>BDH|7261349505389700171</stp>
        <tr r="I17" s="2"/>
      </tp>
      <tp t="s">
        <v>#N/A N/A</v>
        <stp/>
        <stp>BDH|2734647682807484744</stp>
        <tr r="AJ26" s="2"/>
      </tp>
      <tp t="s">
        <v>#N/A N/A</v>
        <stp/>
        <stp>BDH|6163463621888058409</stp>
        <tr r="O14" s="5"/>
        <tr r="O14" s="4"/>
      </tp>
      <tp t="s">
        <v>#N/A N/A</v>
        <stp/>
        <stp>BDH|1685509771789012616</stp>
        <tr r="W18" s="5"/>
        <tr r="W18" s="4"/>
      </tp>
      <tp t="s">
        <v>#N/A N/A</v>
        <stp/>
        <stp>BDH|7233784994666891308</stp>
        <tr r="I24" s="2"/>
      </tp>
      <tp t="s">
        <v>#N/A N/A</v>
        <stp/>
        <stp>BDH|9055748314745607608</stp>
        <tr r="K14" s="2"/>
      </tp>
      <tp t="s">
        <v>#N/A N/A</v>
        <stp/>
        <stp>BDH|2297366054860546822</stp>
        <tr r="I18" s="2"/>
      </tp>
      <tp t="s">
        <v>#N/A N/A</v>
        <stp/>
        <stp>BDH|2397938883139542616</stp>
        <tr r="P9" s="2"/>
      </tp>
      <tp t="s">
        <v>#N/A N/A</v>
        <stp/>
        <stp>BDH|3392548257108430737</stp>
        <tr r="D12" s="5"/>
        <tr r="D12" s="4"/>
      </tp>
      <tp t="s">
        <v>#N/A N/A</v>
        <stp/>
        <stp>BDH|4183443591235038034</stp>
        <tr r="G6" s="5"/>
        <tr r="G6" s="4"/>
      </tp>
      <tp t="s">
        <v>#N/A N/A</v>
        <stp/>
        <stp>BDP|9773788675141660483</stp>
        <tr r="AN16" s="3"/>
      </tp>
      <tp t="s">
        <v>#N/A N/A</v>
        <stp/>
        <stp>BDP|7979546703116905837</stp>
        <tr r="V12" s="3"/>
      </tp>
      <tp t="s">
        <v>#N/A N/A</v>
        <stp/>
        <stp>BDH|4675258678794812970</stp>
        <tr r="V25" s="5"/>
        <tr r="V25" s="4"/>
      </tp>
      <tp t="s">
        <v>#N/A N/A</v>
        <stp/>
        <stp>BDH|8077702472094099060</stp>
        <tr r="AL13" s="5"/>
        <tr r="AL13" s="4"/>
      </tp>
      <tp t="s">
        <v>#N/A N/A</v>
        <stp/>
        <stp>BDP|9356665156132615405</stp>
        <tr r="N16" s="3"/>
      </tp>
      <tp t="s">
        <v>#N/A N/A</v>
        <stp/>
        <stp>BDH|6164167141668015732</stp>
        <tr r="AJ12" s="5"/>
        <tr r="AJ12" s="4"/>
      </tp>
      <tp t="s">
        <v>#N/A N/A</v>
        <stp/>
        <stp>BDH|7211806016745451753</stp>
        <tr r="AM21" s="2"/>
      </tp>
      <tp t="s">
        <v>#N/A N/A</v>
        <stp/>
        <stp>BDH|9655456355934007035</stp>
        <tr r="E25" s="5"/>
        <tr r="E25" s="4"/>
      </tp>
      <tp t="s">
        <v>#N/A N/A</v>
        <stp/>
        <stp>BDH|79479259910407055</stp>
        <tr r="AE7" s="5"/>
        <tr r="AE7" s="4"/>
      </tp>
      <tp t="s">
        <v>#N/A N/A</v>
        <stp/>
        <stp>BDP|1405998151828543838</stp>
        <tr r="P16" s="3"/>
      </tp>
      <tp t="s">
        <v>#N/A N/A</v>
        <stp/>
        <stp>BDH|8336730063494271093</stp>
        <tr r="P20" s="5"/>
        <tr r="P20" s="4"/>
      </tp>
      <tp t="s">
        <v>#N/A N/A</v>
        <stp/>
        <stp>BDH|3735899821674717006</stp>
        <tr r="O9" s="2"/>
      </tp>
      <tp t="s">
        <v>#N/A N/A</v>
        <stp/>
        <stp>BDP|1202290132495818885</stp>
        <tr r="I10" s="3"/>
      </tp>
      <tp t="s">
        <v>#N/A N/A</v>
        <stp/>
        <stp>BDP|9812065123163452504</stp>
        <tr r="AI17" s="3"/>
      </tp>
      <tp t="s">
        <v>#N/A N/A</v>
        <stp/>
        <stp>BDH|5592007378538402708</stp>
        <tr r="AC18" s="2"/>
      </tp>
      <tp t="s">
        <v>#N/A N/A</v>
        <stp/>
        <stp>BDH|3079508476999707585</stp>
        <tr r="D13" s="2"/>
      </tp>
      <tp t="s">
        <v>#N/A N/A</v>
        <stp/>
        <stp>BDH|6975738058918949125</stp>
        <tr r="C17" s="5"/>
        <tr r="C17" s="4"/>
      </tp>
      <tp t="s">
        <v>#N/A N/A</v>
        <stp/>
        <stp>BDP|1377243488553973589</stp>
        <tr r="AE10" s="3"/>
      </tp>
      <tp t="s">
        <v>#N/A N/A</v>
        <stp/>
        <stp>BDH|4294893231382215069</stp>
        <tr r="AM13" s="2"/>
      </tp>
      <tp t="s">
        <v>#N/A N/A</v>
        <stp/>
        <stp>BDH|2373302389021732534</stp>
        <tr r="Y7" s="2"/>
      </tp>
      <tp t="s">
        <v>#N/A N/A</v>
        <stp/>
        <stp>BDH|6956245593009733971</stp>
        <tr r="Y14" s="5"/>
        <tr r="Y14" s="4"/>
      </tp>
      <tp t="s">
        <v>#N/A N/A</v>
        <stp/>
        <stp>BDH|8911136921796041053</stp>
        <tr r="G8" s="2"/>
      </tp>
      <tp t="s">
        <v>#N/A N/A</v>
        <stp/>
        <stp>BDH|9368568526381826257</stp>
        <tr r="AD13" s="5"/>
        <tr r="AD13" s="4"/>
      </tp>
      <tp t="s">
        <v>#N/A N/A</v>
        <stp/>
        <stp>BDH|5102598982707225265</stp>
        <tr r="U18" s="2"/>
      </tp>
      <tp t="s">
        <v>#N/A N/A</v>
        <stp/>
        <stp>BDH|6828989649050379647</stp>
        <tr r="AF17" s="5"/>
        <tr r="AF17" s="4"/>
      </tp>
      <tp t="s">
        <v>#N/A N/A</v>
        <stp/>
        <stp>BDH|8257169771284924720</stp>
        <tr r="AB18" s="5"/>
        <tr r="AB18" s="4"/>
      </tp>
      <tp t="s">
        <v>#N/A N/A</v>
        <stp/>
        <stp>BDH|7710942827415286481</stp>
        <tr r="AL18" s="2"/>
      </tp>
      <tp t="s">
        <v>#N/A N/A</v>
        <stp/>
        <stp>BDP|5982569383401254412</stp>
        <tr r="AN13" s="3"/>
      </tp>
      <tp t="s">
        <v>#N/A N/A</v>
        <stp/>
        <stp>BDH|3092079328825930997</stp>
        <tr r="AM9" s="2"/>
      </tp>
      <tp t="s">
        <v>#N/A N/A</v>
        <stp/>
        <stp>BDP|2182041977679921172</stp>
        <tr r="I16" s="3"/>
      </tp>
      <tp t="s">
        <v>#N/A N/A</v>
        <stp/>
        <stp>BDP|2949441222758583165</stp>
        <tr r="L10" s="3"/>
      </tp>
      <tp t="s">
        <v>#N/A N/A</v>
        <stp/>
        <stp>BDP|8028762329687117727</stp>
        <tr r="O16" s="3"/>
      </tp>
      <tp t="s">
        <v>#N/A N/A</v>
        <stp/>
        <stp>BDH|1544099607599726506</stp>
        <tr r="AE20" s="5"/>
        <tr r="AE20" s="4"/>
      </tp>
      <tp t="s">
        <v>#N/A N/A</v>
        <stp/>
        <stp>BDH|8776372503003636598</stp>
        <tr r="X9" s="2"/>
      </tp>
      <tp t="s">
        <v>#N/A N/A</v>
        <stp/>
        <stp>BDH|1623849461273757196</stp>
        <tr r="AI17" s="2"/>
      </tp>
      <tp t="s">
        <v>#N/A N/A</v>
        <stp/>
        <stp>BDH|3981323034199336717</stp>
        <tr r="S16" s="5"/>
        <tr r="S16" s="4"/>
      </tp>
      <tp t="s">
        <v>#N/A N/A</v>
        <stp/>
        <stp>BDP|2692834147700225330</stp>
        <tr r="C16" s="3"/>
      </tp>
      <tp t="s">
        <v>#N/A N/A</v>
        <stp/>
        <stp>BDH|4745850660936884197</stp>
        <tr r="U21" s="2"/>
      </tp>
      <tp t="s">
        <v>#N/A N/A</v>
        <stp/>
        <stp>BDH|1364444499285412497</stp>
        <tr r="AC13" s="2"/>
      </tp>
      <tp t="s">
        <v>#N/A N/A</v>
        <stp/>
        <stp>BDH|4381517593251105435</stp>
        <tr r="H8" s="2"/>
      </tp>
      <tp t="s">
        <v>#N/A N/A</v>
        <stp/>
        <stp>BDH|2120266974199671353</stp>
        <tr r="Y8" s="5"/>
        <tr r="Y8" s="4"/>
      </tp>
      <tp t="s">
        <v>#N/A N/A</v>
        <stp/>
        <stp>BDH|1752983836647138183</stp>
        <tr r="AJ14" s="5"/>
        <tr r="AJ14" s="4"/>
      </tp>
      <tp t="s">
        <v>#N/A N/A</v>
        <stp/>
        <stp>BDP|8220100215325697007</stp>
        <tr r="P12" s="3"/>
      </tp>
      <tp t="s">
        <v>#N/A N/A</v>
        <stp/>
        <stp>BDH|2929540837709836035</stp>
        <tr r="AH26" s="2"/>
      </tp>
      <tp t="s">
        <v>#N/A N/A</v>
        <stp/>
        <stp>BDH|9299485949655709153</stp>
        <tr r="V24" s="5"/>
        <tr r="V24" s="4"/>
      </tp>
      <tp t="s">
        <v>#N/A N/A</v>
        <stp/>
        <stp>BDH|4966704309798054619</stp>
        <tr r="D22" s="5"/>
        <tr r="D22" s="4"/>
      </tp>
      <tp t="s">
        <v>#N/A N/A</v>
        <stp/>
        <stp>BDH|8894816142359281088</stp>
        <tr r="W9" s="5"/>
        <tr r="W9" s="4"/>
      </tp>
      <tp t="s">
        <v>#N/A N/A</v>
        <stp/>
        <stp>BDH|9972837518418526569</stp>
        <tr r="F14" s="2"/>
      </tp>
      <tp t="s">
        <v>#N/A N/A</v>
        <stp/>
        <stp>BDP|7792623994382044776</stp>
        <tr r="C17" s="3"/>
      </tp>
      <tp t="s">
        <v>#N/A N/A</v>
        <stp/>
        <stp>BDH|1656005607565008974</stp>
        <tr r="Z25" s="5"/>
        <tr r="Z25" s="4"/>
      </tp>
      <tp t="s">
        <v>#N/A N/A</v>
        <stp/>
        <stp>BDH|7853237791537452686</stp>
        <tr r="D10" s="5"/>
        <tr r="D10" s="4"/>
      </tp>
      <tp t="s">
        <v>#N/A N/A</v>
        <stp/>
        <stp>BDH|5734232156426745939</stp>
        <tr r="H7" s="5"/>
        <tr r="H7" s="4"/>
      </tp>
      <tp t="s">
        <v>#N/A N/A</v>
        <stp/>
        <stp>BDH|2144746494431658002</stp>
        <tr r="Y20" s="2"/>
      </tp>
      <tp t="s">
        <v>#N/A N/A</v>
        <stp/>
        <stp>BDH|7740058260854470823</stp>
        <tr r="W6" s="5"/>
        <tr r="W6" s="4"/>
      </tp>
      <tp t="s">
        <v>#N/A N/A</v>
        <stp/>
        <stp>BDH|4914558173712910929</stp>
        <tr r="J19" s="2"/>
      </tp>
      <tp t="s">
        <v>#N/A N/A</v>
        <stp/>
        <stp>BDH|9106068221763126536</stp>
        <tr r="M17" s="5"/>
        <tr r="M17" s="4"/>
      </tp>
      <tp t="s">
        <v>#N/A N/A</v>
        <stp/>
        <stp>BDH|9526301215006098040</stp>
        <tr r="AP13" s="5"/>
        <tr r="AP13" s="4"/>
      </tp>
      <tp t="s">
        <v>#N/A N/A</v>
        <stp/>
        <stp>BDH|9408351652097677518</stp>
        <tr r="N20" s="5"/>
        <tr r="N20" s="4"/>
      </tp>
      <tp t="s">
        <v>#N/A N/A</v>
        <stp/>
        <stp>BDH|9451192269557359424</stp>
        <tr r="Z14" s="5"/>
        <tr r="Z14" s="4"/>
      </tp>
      <tp t="s">
        <v>#N/A N/A</v>
        <stp/>
        <stp>BDH|5770152081372738310</stp>
        <tr r="W17" s="2"/>
      </tp>
      <tp t="s">
        <v>#N/A N/A</v>
        <stp/>
        <stp>BDH|1713662359586853955</stp>
        <tr r="X20" s="2"/>
      </tp>
      <tp t="s">
        <v>#N/A N/A</v>
        <stp/>
        <stp>BDH|2727916259797072754</stp>
        <tr r="I7" s="2"/>
      </tp>
      <tp t="s">
        <v>#N/A N/A</v>
        <stp/>
        <stp>BDH|4211512591401061782</stp>
        <tr r="AA19" s="2"/>
      </tp>
      <tp t="s">
        <v>#N/A N/A</v>
        <stp/>
        <stp>BDH|8860636413348293907</stp>
        <tr r="D7" s="5"/>
        <tr r="D7" s="4"/>
      </tp>
      <tp t="s">
        <v>#N/A N/A</v>
        <stp/>
        <stp>BDH|8472663809976209622</stp>
        <tr r="C16" s="2"/>
      </tp>
      <tp t="s">
        <v>#N/A N/A</v>
        <stp/>
        <stp>BDH|5825148522391042952</stp>
        <tr r="P17" s="5"/>
        <tr r="P17" s="4"/>
      </tp>
      <tp t="s">
        <v>#N/A N/A</v>
        <stp/>
        <stp>BDH|9341526248162264430</stp>
        <tr r="G19" s="2"/>
      </tp>
      <tp t="s">
        <v>#N/A N/A</v>
        <stp/>
        <stp>BDH|1406118672769795080</stp>
        <tr r="M10" s="5"/>
        <tr r="M10" s="4"/>
      </tp>
      <tp t="s">
        <v>#N/A N/A</v>
        <stp/>
        <stp>BDH|1136619562667211887</stp>
        <tr r="AD16" s="2"/>
      </tp>
      <tp t="s">
        <v>#N/A N/A</v>
        <stp/>
        <stp>BDP|9221904796821982646</stp>
        <tr r="K10" s="3"/>
      </tp>
      <tp t="s">
        <v>#N/A N/A</v>
        <stp/>
        <stp>BDH|7503141793454910559</stp>
        <tr r="K10" s="5"/>
        <tr r="K10" s="4"/>
      </tp>
      <tp t="s">
        <v>#N/A N/A</v>
        <stp/>
        <stp>BDH|7105974146731678588</stp>
        <tr r="R14" s="5"/>
        <tr r="R14" s="4"/>
      </tp>
      <tp t="s">
        <v>#N/A N/A</v>
        <stp/>
        <stp>BDP|3354767988611570376</stp>
        <tr r="T10" s="3"/>
      </tp>
      <tp t="s">
        <v>#N/A N/A</v>
        <stp/>
        <stp>BDH|9583393227254628227</stp>
        <tr r="T25" s="2"/>
      </tp>
      <tp t="s">
        <v>#N/A N/A</v>
        <stp/>
        <stp>BDP|2242060112565305890</stp>
        <tr r="AJ17" s="3"/>
      </tp>
      <tp t="s">
        <v>#N/A N/A</v>
        <stp/>
        <stp>BDH|6880310396893551165</stp>
        <tr r="W22" s="5"/>
        <tr r="W22" s="4"/>
      </tp>
      <tp t="s">
        <v>#N/A N/A</v>
        <stp/>
        <stp>BDH|1144999955240709362</stp>
        <tr r="G20" s="2"/>
      </tp>
      <tp t="s">
        <v>#N/A N/A</v>
        <stp/>
        <stp>BDH|4800457686161067763</stp>
        <tr r="AM26" s="5"/>
        <tr r="AM26" s="4"/>
      </tp>
      <tp t="s">
        <v>#N/A N/A</v>
        <stp/>
        <stp>BDH|9470119544155988754</stp>
        <tr r="P8" s="5"/>
        <tr r="P8" s="4"/>
      </tp>
      <tp t="s">
        <v>#N/A N/A</v>
        <stp/>
        <stp>BDP|6666843213837648659</stp>
        <tr r="AA10" s="3"/>
      </tp>
      <tp t="s">
        <v>#N/A N/A</v>
        <stp/>
        <stp>BDH|2038853803285200164</stp>
        <tr r="S12" s="5"/>
        <tr r="S12" s="4"/>
      </tp>
      <tp t="s">
        <v>#N/A N/A</v>
        <stp/>
        <stp>BDH|8999015550296368591</stp>
        <tr r="G18" s="2"/>
      </tp>
      <tp t="s">
        <v>#N/A N/A</v>
        <stp/>
        <stp>BDH|9329038256000111252</stp>
        <tr r="C10" s="2"/>
      </tp>
      <tp t="s">
        <v>#N/A N/A</v>
        <stp/>
        <stp>BDH|6053415393987683272</stp>
        <tr r="J10" s="5"/>
        <tr r="J10" s="4"/>
      </tp>
      <tp t="s">
        <v>#N/A N/A</v>
        <stp/>
        <stp>BDH|6228640630538624537</stp>
        <tr r="AJ18" s="5"/>
        <tr r="AJ18" s="4"/>
      </tp>
      <tp t="s">
        <v>#N/A N/A</v>
        <stp/>
        <stp>BDH|4960855188233499933</stp>
        <tr r="AC21" s="5"/>
        <tr r="AC21" s="4"/>
      </tp>
      <tp t="s">
        <v>#N/A N/A</v>
        <stp/>
        <stp>BDH|6710328086854319700</stp>
        <tr r="O6" s="5"/>
        <tr r="O6" s="4"/>
      </tp>
      <tp t="s">
        <v>#N/A N/A</v>
        <stp/>
        <stp>BDH|2002735080211442271</stp>
        <tr r="AI26" s="2"/>
      </tp>
      <tp t="s">
        <v>#N/A N/A</v>
        <stp/>
        <stp>BDH|9294417810881268312</stp>
        <tr r="T21" s="2"/>
      </tp>
      <tp t="s">
        <v>#N/A N/A</v>
        <stp/>
        <stp>BDH|3225415288314215599</stp>
        <tr r="Z7" s="5"/>
        <tr r="Z7" s="4"/>
      </tp>
      <tp t="s">
        <v>#N/A N/A</v>
        <stp/>
        <stp>BDH|6240855001355031571</stp>
        <tr r="AI20" s="2"/>
      </tp>
      <tp t="s">
        <v>#N/A N/A</v>
        <stp/>
        <stp>BDH|3473856222536752152</stp>
        <tr r="I16" s="2"/>
      </tp>
      <tp t="s">
        <v>#N/A N/A</v>
        <stp/>
        <stp>BDH|4759070605839174359</stp>
        <tr r="T12" s="5"/>
        <tr r="T12" s="4"/>
      </tp>
      <tp t="s">
        <v>#N/A N/A</v>
        <stp/>
        <stp>BDH|9593277065563023061</stp>
        <tr r="D8" s="2"/>
      </tp>
      <tp t="s">
        <v>#N/A N/A</v>
        <stp/>
        <stp>BDH|8754348177176774425</stp>
        <tr r="T22" s="5"/>
        <tr r="T22" s="4"/>
      </tp>
      <tp t="s">
        <v>#N/A N/A</v>
        <stp/>
        <stp>BDH|8548125506583382449</stp>
        <tr r="J26" s="2"/>
      </tp>
      <tp t="s">
        <v>#N/A N/A</v>
        <stp/>
        <stp>BDH|2017621964514221822</stp>
        <tr r="AE16" s="5"/>
        <tr r="AE16" s="4"/>
      </tp>
      <tp t="s">
        <v>#N/A N/A</v>
        <stp/>
        <stp>BDH|3871785644078043621</stp>
        <tr r="AG16" s="5"/>
        <tr r="AG16" s="4"/>
      </tp>
      <tp t="s">
        <v>#N/A N/A</v>
        <stp/>
        <stp>BDP|5843518059258559321</stp>
        <tr r="AF17" s="3"/>
      </tp>
      <tp t="s">
        <v>#N/A N/A</v>
        <stp/>
        <stp>BDH|8528252761172404026</stp>
        <tr r="AM20" s="2"/>
      </tp>
      <tp t="s">
        <v>#N/A N/A</v>
        <stp/>
        <stp>BDH|8729180409507293037</stp>
        <tr r="AA16" s="5"/>
        <tr r="AA16" s="4"/>
      </tp>
      <tp t="s">
        <v>#N/A N/A</v>
        <stp/>
        <stp>BDH|8712856142389293352</stp>
        <tr r="V9" s="2"/>
      </tp>
      <tp t="s">
        <v>#N/A N/A</v>
        <stp/>
        <stp>BDP|9783737821420703268</stp>
        <tr r="AK12" s="3"/>
      </tp>
      <tp t="s">
        <v>#N/A N/A</v>
        <stp/>
        <stp>BDH|8077434674410126525</stp>
        <tr r="AJ16" s="5"/>
        <tr r="AJ16" s="4"/>
      </tp>
      <tp t="s">
        <v>#N/A N/A</v>
        <stp/>
        <stp>BDH|1397328333199477627</stp>
        <tr r="AH18" s="2"/>
      </tp>
      <tp t="s">
        <v>#N/A N/A</v>
        <stp/>
        <stp>BDH|2542657540949435701</stp>
        <tr r="T19" s="2"/>
      </tp>
      <tp t="s">
        <v>#N/A N/A</v>
        <stp/>
        <stp>BDH|6399355489366390589</stp>
        <tr r="AM6" s="5"/>
        <tr r="AM6" s="4"/>
      </tp>
      <tp t="s">
        <v>#N/A N/A</v>
        <stp/>
        <stp>BDH|4993806410571810244</stp>
        <tr r="AA14" s="5"/>
        <tr r="AA14" s="4"/>
      </tp>
      <tp t="s">
        <v>#N/A N/A</v>
        <stp/>
        <stp>BDH|7959311240139935749</stp>
        <tr r="C25" s="5"/>
        <tr r="C25" s="4"/>
      </tp>
      <tp t="s">
        <v>#N/A N/A</v>
        <stp/>
        <stp>BDP|6996855707247901685</stp>
        <tr r="L13" s="3"/>
      </tp>
      <tp t="s">
        <v>#N/A N/A</v>
        <stp/>
        <stp>BDP|7327091842014187831</stp>
        <tr r="E13" s="3"/>
      </tp>
      <tp t="s">
        <v>#N/A N/A</v>
        <stp/>
        <stp>BDH|4137143209558335255</stp>
        <tr r="K16" s="5"/>
        <tr r="K16" s="4"/>
      </tp>
      <tp t="s">
        <v>#N/A N/A</v>
        <stp/>
        <stp>BDH|7071998123402469141</stp>
        <tr r="AP24" s="2"/>
      </tp>
      <tp t="s">
        <v>#N/A N/A</v>
        <stp/>
        <stp>BDH|9747707249683582613</stp>
        <tr r="AP16" s="5"/>
        <tr r="AP16" s="4"/>
      </tp>
      <tp t="s">
        <v>#N/A N/A</v>
        <stp/>
        <stp>BDH|1119214628686321807</stp>
        <tr r="I19" s="2"/>
      </tp>
      <tp t="s">
        <v>#N/A N/A</v>
        <stp/>
        <stp>BDH|8296781404387557737</stp>
        <tr r="U17" s="5"/>
        <tr r="U17" s="4"/>
      </tp>
      <tp t="s">
        <v>#N/A N/A</v>
        <stp/>
        <stp>BDH|6853928066523408501</stp>
        <tr r="AB25" s="5"/>
        <tr r="AB25" s="4"/>
      </tp>
      <tp t="s">
        <v>#N/A N/A</v>
        <stp/>
        <stp>BDH|4286920382543304995</stp>
        <tr r="V14" s="2"/>
      </tp>
      <tp t="s">
        <v>#N/A N/A</v>
        <stp/>
        <stp>BDH|1968774494123032328</stp>
        <tr r="AA10" s="2"/>
      </tp>
      <tp t="s">
        <v>#N/A N/A</v>
        <stp/>
        <stp>BDH|8797888708917811867</stp>
        <tr r="J20" s="2"/>
      </tp>
      <tp t="s">
        <v>#N/A N/A</v>
        <stp/>
        <stp>BDH|4468827447241601690</stp>
        <tr r="I8" s="5"/>
        <tr r="I8" s="4"/>
      </tp>
      <tp t="s">
        <v>#N/A N/A</v>
        <stp/>
        <stp>BDH|9456407453435169289</stp>
        <tr r="G21" s="2"/>
      </tp>
      <tp t="s">
        <v>#N/A N/A</v>
        <stp/>
        <stp>BDH|6693854108705207468</stp>
        <tr r="I10" s="5"/>
        <tr r="I10" s="4"/>
      </tp>
      <tp t="s">
        <v>#N/A N/A</v>
        <stp/>
        <stp>BDH|6937894885269142087</stp>
        <tr r="AL24" s="2"/>
      </tp>
      <tp t="s">
        <v>#N/A N/A</v>
        <stp/>
        <stp>BDH|8810457915710589212</stp>
        <tr r="T17" s="2"/>
      </tp>
      <tp t="s">
        <v>#N/A N/A</v>
        <stp/>
        <stp>BDH|8074803980760557799</stp>
        <tr r="AH21" s="2"/>
      </tp>
      <tp t="s">
        <v>#N/A N/A</v>
        <stp/>
        <stp>BDP|1513648297655837430</stp>
        <tr r="J13" s="3"/>
      </tp>
      <tp t="s">
        <v>#N/A N/A</v>
        <stp/>
        <stp>BDH|3411811351549808814</stp>
        <tr r="AE26" s="2"/>
      </tp>
      <tp t="s">
        <v>#N/A N/A</v>
        <stp/>
        <stp>BDH|1751117968101160826</stp>
        <tr r="AB19" s="2"/>
      </tp>
      <tp t="s">
        <v>#N/A N/A</v>
        <stp/>
        <stp>BDH|3268853640318404812</stp>
        <tr r="Q17" s="5"/>
        <tr r="Q17" s="4"/>
      </tp>
      <tp t="s">
        <v>#N/A N/A</v>
        <stp/>
        <stp>BDH|8640117771902262363</stp>
        <tr r="AB24" s="2"/>
      </tp>
      <tp t="s">
        <v>#N/A N/A</v>
        <stp/>
        <stp>BDH|3039532195874468400</stp>
        <tr r="AO22" s="5"/>
        <tr r="AO22" s="4"/>
      </tp>
      <tp t="s">
        <v>#N/A N/A</v>
        <stp/>
        <stp>BDH|5309704615659194555</stp>
        <tr r="T8" s="2"/>
      </tp>
      <tp t="s">
        <v>#N/A N/A</v>
        <stp/>
        <stp>BDH|2744336792807763029</stp>
        <tr r="AK17" s="5"/>
        <tr r="AK17" s="4"/>
      </tp>
      <tp t="s">
        <v>#N/A N/A</v>
        <stp/>
        <stp>BDH|9095057663421190148</stp>
        <tr r="L24" s="5"/>
        <tr r="L24" s="4"/>
      </tp>
      <tp t="s">
        <v>#N/A N/A</v>
        <stp/>
        <stp>BDH|8125394538850612762</stp>
        <tr r="AF14" s="2"/>
      </tp>
      <tp t="s">
        <v>#N/A N/A</v>
        <stp/>
        <stp>BDH|3039956807307543211</stp>
        <tr r="AG7" s="2"/>
      </tp>
      <tp t="s">
        <v>#N/A N/A</v>
        <stp/>
        <stp>BDH|1729377880855584038</stp>
        <tr r="AE10" s="2"/>
      </tp>
      <tp t="s">
        <v>#N/A N/A</v>
        <stp/>
        <stp>BDP|4402572244462436846</stp>
        <tr r="D16" s="3"/>
      </tp>
      <tp t="s">
        <v>#N/A N/A</v>
        <stp/>
        <stp>BDP|8226362245845598537</stp>
        <tr r="O17" s="3"/>
      </tp>
      <tp t="s">
        <v>#N/A N/A</v>
        <stp/>
        <stp>BDH|5707042170384119950</stp>
        <tr r="F10" s="5"/>
        <tr r="F10" s="4"/>
      </tp>
      <tp t="s">
        <v>#N/A N/A</v>
        <stp/>
        <stp>BDH|3464481443488093489</stp>
        <tr r="AD25" s="5"/>
        <tr r="AD25" s="4"/>
      </tp>
      <tp t="s">
        <v>#N/A N/A</v>
        <stp/>
        <stp>BDH|9602273158504823560</stp>
        <tr r="H25" s="5"/>
        <tr r="H25" s="4"/>
      </tp>
      <tp t="s">
        <v>#N/A N/A</v>
        <stp/>
        <stp>BDH|3082369490996872095</stp>
        <tr r="AE8" s="5"/>
        <tr r="AE8" s="4"/>
      </tp>
      <tp t="s">
        <v>#N/A N/A</v>
        <stp/>
        <stp>BDH|3268206641543647915</stp>
        <tr r="R14" s="2"/>
      </tp>
      <tp t="s">
        <v>#N/A N/A</v>
        <stp/>
        <stp>BDH|4734115116212195954</stp>
        <tr r="X7" s="5"/>
        <tr r="X7" s="4"/>
      </tp>
      <tp t="s">
        <v>#N/A N/A</v>
        <stp/>
        <stp>BDH|6511664530344099874</stp>
        <tr r="AJ17" s="2"/>
      </tp>
      <tp t="s">
        <v>#N/A N/A</v>
        <stp/>
        <stp>BDH|3432838120344060233</stp>
        <tr r="H10" s="5"/>
        <tr r="H10" s="4"/>
      </tp>
      <tp t="s">
        <v>#N/A N/A</v>
        <stp/>
        <stp>BDH|9864970627499538480</stp>
        <tr r="AB13" s="2"/>
      </tp>
      <tp t="s">
        <v>#N/A N/A</v>
        <stp/>
        <stp>BDH|6256811215117130726</stp>
        <tr r="Y14" s="2"/>
      </tp>
      <tp t="s">
        <v>#N/A N/A</v>
        <stp/>
        <stp>BDH|8077099219062320468</stp>
        <tr r="AM14" s="2"/>
      </tp>
      <tp t="s">
        <v>#N/A N/A</v>
        <stp/>
        <stp>BDH|7167406239977887857</stp>
        <tr r="X25" s="2"/>
      </tp>
      <tp t="s">
        <v>#N/A N/A</v>
        <stp/>
        <stp>BDH|9685331877934383643</stp>
        <tr r="AH21" s="5"/>
        <tr r="AH21" s="4"/>
      </tp>
      <tp t="s">
        <v>#N/A N/A</v>
        <stp/>
        <stp>BDH|2351714644019535090</stp>
        <tr r="AJ8" s="2"/>
      </tp>
      <tp t="s">
        <v>#N/A N/A</v>
        <stp/>
        <stp>BDH|8114063237074866720</stp>
        <tr r="Z26" s="2"/>
      </tp>
      <tp t="s">
        <v>#N/A N/A</v>
        <stp/>
        <stp>BDH|7330104388120267639</stp>
        <tr r="X12" s="5"/>
        <tr r="X12" s="4"/>
      </tp>
      <tp t="s">
        <v>#N/A N/A</v>
        <stp/>
        <stp>BDH|9308442689944146956</stp>
        <tr r="AF22" s="5"/>
        <tr r="AF22" s="4"/>
      </tp>
      <tp t="s">
        <v>#N/A N/A</v>
        <stp/>
        <stp>BDH|1334013332899231383</stp>
        <tr r="K20" s="2"/>
      </tp>
      <tp t="s">
        <v>#N/A N/A</v>
        <stp/>
        <stp>BDH|1760605539358231469</stp>
        <tr r="AL20" s="5"/>
        <tr r="AL20" s="4"/>
      </tp>
      <tp t="s">
        <v>#N/A N/A</v>
        <stp/>
        <stp>BDH|8471585079940646292</stp>
        <tr r="AF8" s="2"/>
      </tp>
      <tp t="s">
        <v>#N/A N/A</v>
        <stp/>
        <stp>BDH|8350865799028675908</stp>
        <tr r="X10" s="5"/>
        <tr r="X10" s="4"/>
      </tp>
      <tp t="s">
        <v>#N/A N/A</v>
        <stp/>
        <stp>BDH|2356194713272119832</stp>
        <tr r="D20" s="2"/>
      </tp>
      <tp t="s">
        <v>#N/A N/A</v>
        <stp/>
        <stp>BDH|7820507708779838335</stp>
        <tr r="H18" s="2"/>
      </tp>
      <tp t="s">
        <v>#N/A N/A</v>
        <stp/>
        <stp>BDH|1233890263852393527</stp>
        <tr r="AD10" s="5"/>
        <tr r="AD10" s="4"/>
      </tp>
      <tp t="s">
        <v>#N/A N/A</v>
        <stp/>
        <stp>BDH|7959499289463686010</stp>
        <tr r="AO7" s="2"/>
      </tp>
      <tp t="s">
        <v>#N/A N/A</v>
        <stp/>
        <stp>BDP|9994045364580668700</stp>
        <tr r="AD16" s="3"/>
      </tp>
      <tp t="s">
        <v>#N/A N/A</v>
        <stp/>
        <stp>BDH|3337940096553723896</stp>
        <tr r="D26" s="2"/>
      </tp>
      <tp t="s">
        <v>#N/A N/A</v>
        <stp/>
        <stp>BDH|7703628599056892680</stp>
        <tr r="AD8" s="2"/>
      </tp>
      <tp t="s">
        <v>#N/A N/A</v>
        <stp/>
        <stp>BDH|1564205629199972092</stp>
        <tr r="R10" s="2"/>
      </tp>
      <tp t="s">
        <v>#N/A N/A</v>
        <stp/>
        <stp>BDP|6388359600275717831</stp>
        <tr r="N12" s="3"/>
      </tp>
      <tp t="s">
        <v>#N/A N/A</v>
        <stp/>
        <stp>BDH|8104800952805463854</stp>
        <tr r="AP20" s="5"/>
        <tr r="AP20" s="4"/>
      </tp>
      <tp t="s">
        <v>#N/A N/A</v>
        <stp/>
        <stp>BDH|7270889201374983312</stp>
        <tr r="R21" s="2"/>
      </tp>
      <tp t="s">
        <v>#N/A N/A</v>
        <stp/>
        <stp>BDH|5049586789070757050</stp>
        <tr r="H22" s="5"/>
        <tr r="H22" s="4"/>
      </tp>
      <tp t="s">
        <v>#N/A N/A</v>
        <stp/>
        <stp>BDH|8473768258965992700</stp>
        <tr r="T20" s="5"/>
        <tr r="T20" s="4"/>
      </tp>
      <tp t="s">
        <v>#N/A N/A</v>
        <stp/>
        <stp>BDH|1275968966231169739</stp>
        <tr r="C24" s="5"/>
        <tr r="C24" s="4"/>
      </tp>
      <tp t="s">
        <v>#N/A N/A</v>
        <stp/>
        <stp>BDH|1448278001559664243</stp>
        <tr r="AN10" s="2"/>
      </tp>
      <tp t="s">
        <v>#N/A N/A</v>
        <stp/>
        <stp>BDH|9279494731836354087</stp>
        <tr r="G25" s="5"/>
        <tr r="G25" s="4"/>
      </tp>
      <tp t="s">
        <v>#N/A N/A</v>
        <stp/>
        <stp>BDH|3079754497914296161</stp>
        <tr r="T10" s="2"/>
      </tp>
      <tp t="s">
        <v>#N/A N/A</v>
        <stp/>
        <stp>BDP|5612529866017456916</stp>
        <tr r="I12" s="3"/>
      </tp>
      <tp t="s">
        <v>#N/A N/A</v>
        <stp/>
        <stp>BDH|5244815362176328555</stp>
        <tr r="T10" s="5"/>
        <tr r="T10" s="4"/>
      </tp>
      <tp t="s">
        <v>#N/A N/A</v>
        <stp/>
        <stp>BDP|1221318041528653603</stp>
        <tr r="AB12" s="3"/>
      </tp>
      <tp t="s">
        <v>#N/A N/A</v>
        <stp/>
        <stp>BDP|2483555841639258263</stp>
        <tr r="G12" s="3"/>
      </tp>
      <tp t="s">
        <v>#N/A N/A</v>
        <stp/>
        <stp>BDP|4419616487351193372</stp>
        <tr r="AO12" s="3"/>
      </tp>
      <tp t="s">
        <v>#N/A N/A</v>
        <stp/>
        <stp>BDP|1806266783283965003</stp>
        <tr r="L16" s="3"/>
      </tp>
      <tp t="s">
        <v>#N/A N/A</v>
        <stp/>
        <stp>BDH|8601604134042570733</stp>
        <tr r="N10" s="2"/>
      </tp>
      <tp t="s">
        <v>#N/A N/A</v>
        <stp/>
        <stp>BDH|5977399696837447061</stp>
        <tr r="O24" s="5"/>
        <tr r="O24" s="4"/>
      </tp>
      <tp t="s">
        <v>#N/A N/A</v>
        <stp/>
        <stp>BDH|5064954843546030623</stp>
        <tr r="R25" s="5"/>
        <tr r="R25" s="4"/>
      </tp>
      <tp t="s">
        <v>#N/A N/A</v>
        <stp/>
        <stp>BDH|5495644124471268829</stp>
        <tr r="E9" s="5"/>
        <tr r="E9" s="4"/>
      </tp>
      <tp t="s">
        <v>#N/A N/A</v>
        <stp/>
        <stp>BDH|8435098305921435188</stp>
        <tr r="T8" s="5"/>
        <tr r="T8" s="4"/>
      </tp>
      <tp t="s">
        <v>#N/A N/A</v>
        <stp/>
        <stp>BDH|7775140463768056048</stp>
        <tr r="AC7" s="2"/>
      </tp>
      <tp t="s">
        <v>#N/A N/A</v>
        <stp/>
        <stp>BDH|8277467736585495220</stp>
        <tr r="H26" s="2"/>
      </tp>
      <tp t="s">
        <v>#N/A N/A</v>
        <stp/>
        <stp>BDH|5145741462529067526</stp>
        <tr r="F7" s="2"/>
      </tp>
      <tp t="s">
        <v>#N/A N/A</v>
        <stp/>
        <stp>BDH|3372829624778551959</stp>
        <tr r="AB17" s="5"/>
        <tr r="AB17" s="4"/>
      </tp>
      <tp t="s">
        <v>#N/A N/A</v>
        <stp/>
        <stp>BDH|8418676506677024107</stp>
        <tr r="AJ19" s="2"/>
      </tp>
      <tp t="s">
        <v>#N/A N/A</v>
        <stp/>
        <stp>BDH|3751604707555075855</stp>
        <tr r="AB9" s="5"/>
        <tr r="AB9" s="4"/>
      </tp>
      <tp t="s">
        <v>#N/A N/A</v>
        <stp/>
        <stp>BDH|1590129653925276835</stp>
        <tr r="AC20" s="5"/>
        <tr r="AC20" s="4"/>
      </tp>
      <tp t="s">
        <v>#N/A N/A</v>
        <stp/>
        <stp>BDH|8649567122517945116</stp>
        <tr r="AE6" s="5"/>
        <tr r="AE6" s="4"/>
      </tp>
      <tp t="s">
        <v>#N/A N/A</v>
        <stp/>
        <stp>BDH|8269151049944133051</stp>
        <tr r="Q20" s="5"/>
        <tr r="Q20" s="4"/>
      </tp>
      <tp t="s">
        <v>#N/A N/A</v>
        <stp/>
        <stp>BDH|3152857802600980250</stp>
        <tr r="U24" s="2"/>
      </tp>
      <tp t="s">
        <v>#N/A N/A</v>
        <stp/>
        <stp>BDH|2007617683983286691</stp>
        <tr r="V17" s="2"/>
      </tp>
    </main>
    <main first="bofaddin.rtdserver">
      <tp t="s">
        <v>#N/A N/A</v>
        <stp/>
        <stp>BDH|7376639278568562731</stp>
        <tr r="X16" s="5"/>
        <tr r="X16" s="4"/>
      </tp>
      <tp t="s">
        <v>#N/A N/A</v>
        <stp/>
        <stp>BDP|6296951804494953250</stp>
        <tr r="AJ16" s="3"/>
      </tp>
      <tp t="s">
        <v>#N/A N/A</v>
        <stp/>
        <stp>BDH|9802170019915173583</stp>
        <tr r="Q14" s="5"/>
        <tr r="Q14" s="4"/>
      </tp>
      <tp t="s">
        <v>#N/A N/A</v>
        <stp/>
        <stp>BDH|7050493497363488050</stp>
        <tr r="AI9" s="5"/>
        <tr r="AI9" s="4"/>
      </tp>
      <tp t="s">
        <v>#N/A N/A</v>
        <stp/>
        <stp>BDP|7911813261179362968</stp>
        <tr r="AI10" s="3"/>
      </tp>
      <tp t="s">
        <v>#N/A N/A</v>
        <stp/>
        <stp>BDH|6003688295379471953</stp>
        <tr r="AJ6" s="5"/>
        <tr r="AJ6" s="4"/>
      </tp>
      <tp t="s">
        <v>#N/A N/A</v>
        <stp/>
        <stp>BDH|8314697465495387404</stp>
        <tr r="N6" s="5"/>
        <tr r="N6" s="4"/>
      </tp>
      <tp t="s">
        <v>#N/A N/A</v>
        <stp/>
        <stp>BDH|7930174864348600116</stp>
        <tr r="E7" s="5"/>
        <tr r="E7" s="4"/>
      </tp>
      <tp t="s">
        <v>#N/A N/A</v>
        <stp/>
        <stp>BDP|7871563049718172743</stp>
        <tr r="AB16" s="3"/>
      </tp>
      <tp t="s">
        <v>#N/A N/A</v>
        <stp/>
        <stp>BDH|8135178233567630414</stp>
        <tr r="E24" s="2"/>
      </tp>
      <tp t="s">
        <v>#N/A N/A</v>
        <stp/>
        <stp>BDH|4669970632675744269</stp>
        <tr r="G26" s="2"/>
      </tp>
      <tp t="s">
        <v>#N/A N/A</v>
        <stp/>
        <stp>BDH|8267373686952745878</stp>
        <tr r="K6" s="5"/>
        <tr r="K6" s="4"/>
      </tp>
      <tp t="s">
        <v>#N/A N/A</v>
        <stp/>
        <stp>BDH|7835912768640423163</stp>
        <tr r="N19" s="2"/>
      </tp>
      <tp t="s">
        <v>#N/A N/A</v>
        <stp/>
        <stp>BDH|6895132996571862664</stp>
        <tr r="AJ21" s="5"/>
        <tr r="AJ21" s="4"/>
      </tp>
      <tp t="s">
        <v>#N/A N/A</v>
        <stp/>
        <stp>BDH|1895799659153945914</stp>
        <tr r="W8" s="5"/>
        <tr r="W8" s="4"/>
      </tp>
      <tp t="s">
        <v>#N/A N/A</v>
        <stp/>
        <stp>BDH|8331032160856691170</stp>
        <tr r="C20" s="5"/>
        <tr r="C20" s="4"/>
      </tp>
      <tp t="s">
        <v>#N/A N/A</v>
        <stp/>
        <stp>BDH|1091921626706149539</stp>
        <tr r="U16" s="2"/>
      </tp>
      <tp t="s">
        <v>#N/A N/A</v>
        <stp/>
        <stp>BDH|4091049930017418974</stp>
        <tr r="U7" s="5"/>
        <tr r="U7" s="4"/>
      </tp>
      <tp t="s">
        <v>#N/A N/A</v>
        <stp/>
        <stp>BDH|1377630400549509729</stp>
        <tr r="R24" s="2"/>
      </tp>
      <tp t="s">
        <v>#N/A N/A</v>
        <stp/>
        <stp>BDH|4877638492373572189</stp>
        <tr r="AB7" s="5"/>
        <tr r="AB7" s="4"/>
      </tp>
      <tp t="s">
        <v>#N/A N/A</v>
        <stp/>
        <stp>BDH|47640444146515098</stp>
        <tr r="AI8" s="2"/>
      </tp>
      <tp t="s">
        <v>#N/A N/A</v>
        <stp/>
        <stp>BDP|7335859829205214274</stp>
        <tr r="AD9" s="3"/>
      </tp>
      <tp t="s">
        <v>#N/A N/A</v>
        <stp/>
        <stp>BDH|8359297533001331206</stp>
        <tr r="X10" s="2"/>
      </tp>
      <tp t="s">
        <v>#N/A N/A</v>
        <stp/>
        <stp>BDP|6424567485436502790</stp>
        <tr r="Y10" s="3"/>
      </tp>
      <tp t="s">
        <v>#N/A N/A</v>
        <stp/>
        <stp>BDH|5583097173759008149</stp>
        <tr r="L17" s="2"/>
      </tp>
      <tp t="s">
        <v>#N/A N/A</v>
        <stp/>
        <stp>BDP|8990507605261064647</stp>
        <tr r="T12" s="3"/>
      </tp>
      <tp t="s">
        <v>#N/A N/A</v>
        <stp/>
        <stp>BDH|4913492248498132610</stp>
        <tr r="W14" s="2"/>
      </tp>
      <tp t="s">
        <v>#N/A N/A</v>
        <stp/>
        <stp>BDH|8819013446225316346</stp>
        <tr r="V21" s="2"/>
      </tp>
      <tp t="s">
        <v>#N/A N/A</v>
        <stp/>
        <stp>BDH|6812728365154778903</stp>
        <tr r="AH19" s="2"/>
      </tp>
      <tp t="s">
        <v>#N/A N/A</v>
        <stp/>
        <stp>BDH|9723205640490762593</stp>
        <tr r="T20" s="2"/>
      </tp>
      <tp t="s">
        <v>#N/A N/A</v>
        <stp/>
        <stp>BDH|6607656298772518106</stp>
        <tr r="Y19" s="2"/>
      </tp>
      <tp t="s">
        <v>#N/A N/A</v>
        <stp/>
        <stp>BDH|1282658920909080684</stp>
        <tr r="L13" s="2"/>
      </tp>
      <tp t="s">
        <v>#N/A N/A</v>
        <stp/>
        <stp>BDH|9676124168443165726</stp>
        <tr r="AK13" s="2"/>
      </tp>
      <tp t="s">
        <v>#N/A N/A</v>
        <stp/>
        <stp>BDH|3553433473149338392</stp>
        <tr r="S8" s="5"/>
        <tr r="S8" s="4"/>
      </tp>
      <tp t="s">
        <v>#N/A N/A</v>
        <stp/>
        <stp>BDH|1968611990446475238</stp>
        <tr r="W20" s="5"/>
        <tr r="W20" s="4"/>
      </tp>
      <tp t="s">
        <v>#N/A N/A</v>
        <stp/>
        <stp>BDH|2242283254429652647</stp>
        <tr r="AF18" s="5"/>
        <tr r="AF18" s="4"/>
      </tp>
      <tp t="s">
        <v>#N/A N/A</v>
        <stp/>
        <stp>BDH|4803636090242643318</stp>
        <tr r="G24" s="2"/>
      </tp>
      <tp t="s">
        <v>#N/A N/A</v>
        <stp/>
        <stp>BDP|4091303899885050146</stp>
        <tr r="AC9" s="3"/>
      </tp>
      <tp t="s">
        <v>#N/A N/A</v>
        <stp/>
        <stp>BDH|2660383187642491106</stp>
        <tr r="N16" s="5"/>
        <tr r="N16" s="4"/>
      </tp>
      <tp t="s">
        <v>#N/A N/A</v>
        <stp/>
        <stp>BDP|6166017262232667864</stp>
        <tr r="K9" s="3"/>
      </tp>
      <tp t="s">
        <v>#N/A N/A</v>
        <stp/>
        <stp>BDH|4540764161706586959</stp>
        <tr r="AE8" s="2"/>
      </tp>
      <tp t="s">
        <v>#N/A N/A</v>
        <stp/>
        <stp>BDH|1603845118610166298</stp>
        <tr r="AM7" s="5"/>
        <tr r="AM7" s="4"/>
      </tp>
      <tp t="s">
        <v>#N/A N/A</v>
        <stp/>
        <stp>BDH|7391387418009738660</stp>
        <tr r="Z16" s="5"/>
        <tr r="Z16" s="4"/>
      </tp>
      <tp t="s">
        <v>#N/A N/A</v>
        <stp/>
        <stp>BDH|8576707895424451874</stp>
        <tr r="AD22" s="5"/>
        <tr r="AD22" s="4"/>
      </tp>
      <tp t="s">
        <v>#N/A N/A</v>
        <stp/>
        <stp>BDH|8079277129124426699</stp>
        <tr r="AP10" s="2"/>
      </tp>
      <tp t="s">
        <v>#N/A N/A</v>
        <stp/>
        <stp>BDP|8507452647405680710</stp>
        <tr r="AP16" s="3"/>
      </tp>
      <tp t="s">
        <v>#N/A N/A</v>
        <stp/>
        <stp>BDH|8634104874066186237</stp>
        <tr r="L13" s="5"/>
        <tr r="L13" s="4"/>
      </tp>
      <tp t="s">
        <v>#N/A N/A</v>
        <stp/>
        <stp>BDH|5295978452276193561</stp>
        <tr r="P25" s="5"/>
        <tr r="P25" s="4"/>
      </tp>
      <tp t="s">
        <v>#N/A N/A</v>
        <stp/>
        <stp>BDH|5183246981733336671</stp>
        <tr r="M24" s="5"/>
        <tr r="M24" s="4"/>
      </tp>
      <tp t="s">
        <v>#N/A N/A</v>
        <stp/>
        <stp>BDH|6480490948974787827</stp>
        <tr r="Y18" s="2"/>
      </tp>
      <tp t="s">
        <v>#N/A N/A</v>
        <stp/>
        <stp>BDH|5638592782466946453</stp>
        <tr r="K24" s="2"/>
      </tp>
      <tp t="s">
        <v>#N/A N/A</v>
        <stp/>
        <stp>BDH|1550289858144461801</stp>
        <tr r="R18" s="2"/>
      </tp>
      <tp t="s">
        <v>#N/A N/A</v>
        <stp/>
        <stp>BDH|6079278115548168722</stp>
        <tr r="Y16" s="5"/>
        <tr r="Y16" s="4"/>
      </tp>
      <tp t="s">
        <v>#N/A N/A</v>
        <stp/>
        <stp>BDH|1414553192994489311</stp>
        <tr r="AK6" s="5"/>
        <tr r="AK6" s="4"/>
      </tp>
      <tp t="s">
        <v>#N/A N/A</v>
        <stp/>
        <stp>BDH|5377367920628469674</stp>
        <tr r="AL17" s="5"/>
        <tr r="AL17" s="4"/>
      </tp>
      <tp t="s">
        <v>#N/A N/A</v>
        <stp/>
        <stp>BDH|7005600480784079766</stp>
        <tr r="V7" s="2"/>
      </tp>
      <tp t="s">
        <v>#N/A N/A</v>
        <stp/>
        <stp>BDH|9995154107323945143</stp>
        <tr r="AH18" s="5"/>
        <tr r="AH18" s="4"/>
      </tp>
      <tp t="s">
        <v>#N/A N/A</v>
        <stp/>
        <stp>BDH|8712660374654090724</stp>
        <tr r="AC6" s="5"/>
        <tr r="AC6" s="4"/>
      </tp>
      <tp t="s">
        <v>#N/A N/A</v>
        <stp/>
        <stp>BDH|6734675354258291711</stp>
        <tr r="P22" s="5"/>
        <tr r="P22" s="4"/>
      </tp>
      <tp t="s">
        <v>#N/A N/A</v>
        <stp/>
        <stp>BDH|8626931143588262704</stp>
        <tr r="P14" s="2"/>
      </tp>
      <tp t="s">
        <v>#N/A N/A</v>
        <stp/>
        <stp>BDH|1226247485935625417</stp>
        <tr r="AC10" s="2"/>
      </tp>
      <tp t="s">
        <v>#N/A N/A</v>
        <stp/>
        <stp>BDH|1283751153888128118</stp>
        <tr r="J13" s="2"/>
      </tp>
      <tp t="s">
        <v>#N/A N/A</v>
        <stp/>
        <stp>BDH|6071635572515245863</stp>
        <tr r="P16" s="5"/>
        <tr r="P16" s="4"/>
      </tp>
      <tp t="s">
        <v>#N/A N/A</v>
        <stp/>
        <stp>BDH|2120875560187573166</stp>
        <tr r="AE7" s="2"/>
      </tp>
      <tp t="s">
        <v>#N/A N/A</v>
        <stp/>
        <stp>BDH|8739000353496676176</stp>
        <tr r="AC8" s="5"/>
        <tr r="AC8" s="4"/>
      </tp>
      <tp t="s">
        <v>#N/A N/A</v>
        <stp/>
        <stp>BDH|7306022786044594170</stp>
        <tr r="L7" s="5"/>
        <tr r="L7" s="4"/>
      </tp>
      <tp t="s">
        <v>#N/A N/A</v>
        <stp/>
        <stp>BDH|4403859853351443230</stp>
        <tr r="AK18" s="2"/>
      </tp>
      <tp t="s">
        <v>#N/A N/A</v>
        <stp/>
        <stp>BDH|77112610415635258</stp>
        <tr r="AC17" s="5"/>
        <tr r="AC17" s="4"/>
      </tp>
    </main>
    <main first="bofaddin.rtdserver">
      <tp t="s">
        <v>#N/A N/A</v>
        <stp/>
        <stp>BDH|1829998459952343404</stp>
        <tr r="H17" s="5"/>
        <tr r="H17" s="4"/>
      </tp>
      <tp t="s">
        <v>#N/A N/A</v>
        <stp/>
        <stp>BDH|5206693185078467817</stp>
        <tr r="V24" s="2"/>
      </tp>
      <tp t="s">
        <v>#N/A N/A</v>
        <stp/>
        <stp>BDH|2917677729179839443</stp>
        <tr r="Q21" s="2"/>
      </tp>
      <tp t="s">
        <v>#N/A N/A</v>
        <stp/>
        <stp>BDH|7947339381622253524</stp>
        <tr r="AA25" s="2"/>
      </tp>
      <tp t="s">
        <v>#N/A N/A</v>
        <stp/>
        <stp>BDP|9896846275109139400</stp>
        <tr r="G13" s="3"/>
      </tp>
      <tp t="s">
        <v>#N/A N/A</v>
        <stp/>
        <stp>BDH|2864952250460608532</stp>
        <tr r="AG9" s="5"/>
        <tr r="AG9" s="4"/>
      </tp>
      <tp t="s">
        <v>#N/A N/A</v>
        <stp/>
        <stp>BDH|9748927261728904545</stp>
        <tr r="G14" s="5"/>
        <tr r="G14" s="4"/>
      </tp>
      <tp t="s">
        <v>#N/A N/A</v>
        <stp/>
        <stp>BDH|5578972534392940665</stp>
        <tr r="AK21" s="2"/>
      </tp>
      <tp t="s">
        <v>#N/A N/A</v>
        <stp/>
        <stp>BDH|9853721462800827398</stp>
        <tr r="F17" s="2"/>
      </tp>
      <tp t="s">
        <v>#N/A N/A</v>
        <stp/>
        <stp>BDH|8924525775939415830</stp>
        <tr r="U21" s="5"/>
        <tr r="U21" s="4"/>
      </tp>
      <tp t="s">
        <v>#N/A N/A</v>
        <stp/>
        <stp>BDH|2182409599784308050</stp>
        <tr r="AL10" s="5"/>
        <tr r="AL10" s="4"/>
      </tp>
      <tp t="s">
        <v>#N/A N/A</v>
        <stp/>
        <stp>BDH|5494575678084616830</stp>
        <tr r="AC13" s="5"/>
        <tr r="AC13" s="4"/>
      </tp>
      <tp t="s">
        <v>#N/A N/A</v>
        <stp/>
        <stp>BDH|6462351984754146284</stp>
        <tr r="I9" s="5"/>
        <tr r="I9" s="4"/>
      </tp>
      <tp t="s">
        <v>#N/A N/A</v>
        <stp/>
        <stp>BDH|5061026191662840577</stp>
        <tr r="Q19" s="2"/>
      </tp>
      <tp t="s">
        <v>#N/A N/A</v>
        <stp/>
        <stp>BDH|4673466658407551914</stp>
        <tr r="AN21" s="2"/>
      </tp>
      <tp t="s">
        <v>#N/A N/A</v>
        <stp/>
        <stp>BDH|3552589897423161775</stp>
        <tr r="V22" s="5"/>
        <tr r="V22" s="4"/>
      </tp>
      <tp t="s">
        <v>#N/A N/A</v>
        <stp/>
        <stp>BDH|6003321723255586986</stp>
        <tr r="AP7" s="5"/>
        <tr r="AP7" s="4"/>
      </tp>
      <tp t="s">
        <v>#N/A N/A</v>
        <stp/>
        <stp>BDH|3031916645293062693</stp>
        <tr r="Q20" s="2"/>
      </tp>
      <tp t="s">
        <v>#N/A N/A</v>
        <stp/>
        <stp>BDH|7214027682264690093</stp>
        <tr r="C26" s="2"/>
      </tp>
      <tp t="s">
        <v>#N/A N/A</v>
        <stp/>
        <stp>BDP|8074029903824070739</stp>
        <tr r="AF16" s="3"/>
      </tp>
      <tp t="s">
        <v>#N/A N/A</v>
        <stp/>
        <stp>BDH|6978939505305800155</stp>
        <tr r="AD21" s="5"/>
        <tr r="AD21" s="4"/>
      </tp>
      <tp t="s">
        <v>#N/A N/A</v>
        <stp/>
        <stp>BDH|2134014300870235901</stp>
        <tr r="AO18" s="5"/>
        <tr r="AO18" s="4"/>
      </tp>
      <tp t="s">
        <v>#N/A N/A</v>
        <stp/>
        <stp>BDH|6123225031864974895</stp>
        <tr r="F24" s="2"/>
      </tp>
      <tp t="s">
        <v>#N/A N/A</v>
        <stp/>
        <stp>BDH|5388871747057872593</stp>
        <tr r="P25" s="2"/>
      </tp>
      <tp t="s">
        <v>#N/A N/A</v>
        <stp/>
        <stp>BDH|7313189939096512855</stp>
        <tr r="K10" s="2"/>
      </tp>
      <tp t="s">
        <v>#N/A N/A</v>
        <stp/>
        <stp>BDH|9183925181943627076</stp>
        <tr r="Q7" s="2"/>
      </tp>
      <tp t="s">
        <v>#N/A N/A</v>
        <stp/>
        <stp>BDH|2259730854159282245</stp>
        <tr r="AH16" s="2"/>
      </tp>
      <tp t="s">
        <v>#N/A N/A</v>
        <stp/>
        <stp>BDH|9488224048220467497</stp>
        <tr r="AB16" s="5"/>
        <tr r="AB16" s="4"/>
      </tp>
      <tp t="s">
        <v>#N/A N/A</v>
        <stp/>
        <stp>BDH|5884628519408503165</stp>
        <tr r="M8" s="5"/>
        <tr r="M8" s="4"/>
      </tp>
      <tp t="s">
        <v>#N/A N/A</v>
        <stp/>
        <stp>BDH|9833303282290396998</stp>
        <tr r="T14" s="2"/>
      </tp>
      <tp t="s">
        <v>#N/A N/A</v>
        <stp/>
        <stp>BDH|8884714579400764379</stp>
        <tr r="AO12" s="5"/>
        <tr r="AO12" s="4"/>
      </tp>
      <tp t="s">
        <v>#N/A N/A</v>
        <stp/>
        <stp>BDH|2233278358636963843</stp>
        <tr r="E8" s="2"/>
      </tp>
      <tp t="s">
        <v>#N/A N/A</v>
        <stp/>
        <stp>BDH|6615605022009495006</stp>
        <tr r="G20" s="5"/>
        <tr r="G20" s="4"/>
      </tp>
      <tp t="s">
        <v>#N/A N/A</v>
        <stp/>
        <stp>BDH|1409733286706342335</stp>
        <tr r="M20" s="2"/>
      </tp>
      <tp t="s">
        <v>#N/A N/A</v>
        <stp/>
        <stp>BDH|9868735739493616550</stp>
        <tr r="AO20" s="2"/>
      </tp>
      <tp t="s">
        <v>#N/A N/A</v>
        <stp/>
        <stp>BDP|1726539023284699973</stp>
        <tr r="I9" s="3"/>
      </tp>
      <tp t="s">
        <v>#N/A N/A</v>
        <stp/>
        <stp>BDH|9305566290667650956</stp>
        <tr r="AD20" s="5"/>
        <tr r="AD20" s="4"/>
      </tp>
      <tp t="s">
        <v>#N/A N/A</v>
        <stp/>
        <stp>BDP|9769635953401485075</stp>
        <tr r="G9" s="3"/>
      </tp>
      <tp t="s">
        <v>#N/A N/A</v>
        <stp/>
        <stp>BDP|2268758263071055906</stp>
        <tr r="M12" s="3"/>
      </tp>
      <tp t="s">
        <v>#N/A N/A</v>
        <stp/>
        <stp>BDH|1257927065441426458</stp>
        <tr r="O26" s="5"/>
        <tr r="O26" s="4"/>
      </tp>
      <tp t="s">
        <v>#N/A N/A</v>
        <stp/>
        <stp>BDH|9242373936951005364</stp>
        <tr r="U20" s="5"/>
        <tr r="U20" s="4"/>
      </tp>
      <tp t="s">
        <v>#N/A N/A</v>
        <stp/>
        <stp>BDH|47468330592789367</stp>
        <tr r="AN25" s="5"/>
        <tr r="AN25" s="4"/>
      </tp>
      <tp t="s">
        <v>#N/A N/A</v>
        <stp/>
        <stp>BDP|2700454534827521696</stp>
        <tr r="I13" s="3"/>
      </tp>
      <tp t="s">
        <v>#N/A N/A</v>
        <stp/>
        <stp>BDP|8226533249578426569</stp>
        <tr r="C9" s="3"/>
      </tp>
      <tp t="s">
        <v>#N/A N/A</v>
        <stp/>
        <stp>BDP|6524188965714786156</stp>
        <tr r="R13" s="3"/>
      </tp>
      <tp t="s">
        <v>#N/A N/A</v>
        <stp/>
        <stp>BDH|8592860055716944758</stp>
        <tr r="C25" s="2"/>
      </tp>
      <tp t="s">
        <v>#N/A N/A</v>
        <stp/>
        <stp>BDH|9814074481031286463</stp>
        <tr r="AM24" s="2"/>
      </tp>
      <tp t="s">
        <v>#N/A N/A</v>
        <stp/>
        <stp>BDH|6755205946105207187</stp>
        <tr r="L8" s="2"/>
      </tp>
      <tp t="s">
        <v>#N/A N/A</v>
        <stp/>
        <stp>BDH|7133720409570990484</stp>
        <tr r="W21" s="5"/>
        <tr r="W21" s="4"/>
      </tp>
      <tp t="s">
        <v>#N/A N/A</v>
        <stp/>
        <stp>BDH|3790078457387449589</stp>
        <tr r="R26" s="2"/>
      </tp>
      <tp t="s">
        <v>#N/A N/A</v>
        <stp/>
        <stp>BDH|6289467151973400095</stp>
        <tr r="AF18" s="2"/>
      </tp>
      <tp t="s">
        <v>#N/A N/A</v>
        <stp/>
        <stp>BDH|2064106106736739191</stp>
        <tr r="AA24" s="5"/>
        <tr r="AA24" s="4"/>
      </tp>
      <tp t="s">
        <v>#N/A N/A</v>
        <stp/>
        <stp>BDH|6304204274343945464</stp>
        <tr r="Y21" s="2"/>
      </tp>
      <tp t="s">
        <v>#N/A N/A</v>
        <stp/>
        <stp>BDH|1322430277696845061</stp>
        <tr r="AL19" s="2"/>
      </tp>
      <tp t="s">
        <v>#N/A N/A</v>
        <stp/>
        <stp>BDH|7215444148781759203</stp>
        <tr r="U6" s="5"/>
        <tr r="U6" s="4"/>
      </tp>
      <tp t="s">
        <v>#N/A N/A</v>
        <stp/>
        <stp>BDH|8197388065158618140</stp>
        <tr r="AG14" s="5"/>
        <tr r="AG14" s="4"/>
      </tp>
      <tp t="s">
        <v>#N/A N/A</v>
        <stp/>
        <stp>BDH|9011399773449576018</stp>
        <tr r="AP9" s="2"/>
      </tp>
      <tp t="s">
        <v>#N/A N/A</v>
        <stp/>
        <stp>BDH|3224849541778079399</stp>
        <tr r="AB10" s="2"/>
      </tp>
      <tp t="s">
        <v>#N/A N/A</v>
        <stp/>
        <stp>BDH|8354424034038343394</stp>
        <tr r="AH7" s="5"/>
        <tr r="AH7" s="4"/>
      </tp>
      <tp t="s">
        <v>#N/A N/A</v>
        <stp/>
        <stp>BDH|4038787702352731517</stp>
        <tr r="S8" s="2"/>
      </tp>
      <tp t="s">
        <v>#N/A N/A</v>
        <stp/>
        <stp>BDP|4912670518737946023</stp>
        <tr r="W13" s="3"/>
      </tp>
      <tp t="s">
        <v>#N/A N/A</v>
        <stp/>
        <stp>BDH|2092003453610794396</stp>
        <tr r="AI16" s="5"/>
        <tr r="AI16" s="4"/>
      </tp>
      <tp t="s">
        <v>#N/A N/A</v>
        <stp/>
        <stp>BDH|3585679977482157493</stp>
        <tr r="AL21" s="2"/>
      </tp>
      <tp t="s">
        <v>#N/A N/A</v>
        <stp/>
        <stp>BDP|7980274900610563198</stp>
        <tr r="AH17" s="3"/>
      </tp>
      <tp t="s">
        <v>#N/A N/A</v>
        <stp/>
        <stp>BDH|2648622458595665080</stp>
        <tr r="I13" s="5"/>
        <tr r="I13" s="4"/>
      </tp>
      <tp t="s">
        <v>#N/A N/A</v>
        <stp/>
        <stp>BDH|5757627947760395334</stp>
        <tr r="AA13" s="2"/>
      </tp>
      <tp t="s">
        <v>#N/A N/A</v>
        <stp/>
        <stp>BDH|1287268878615883565</stp>
        <tr r="AF13" s="2"/>
      </tp>
      <tp t="s">
        <v>#N/A N/A</v>
        <stp/>
        <stp>BDH|1092647326523862287</stp>
        <tr r="J21" s="5"/>
        <tr r="J21" s="4"/>
      </tp>
      <tp t="s">
        <v>#N/A N/A</v>
        <stp/>
        <stp>BDH|4345319751126321021</stp>
        <tr r="AA12" s="5"/>
        <tr r="AA12" s="4"/>
      </tp>
      <tp t="s">
        <v>#N/A N/A</v>
        <stp/>
        <stp>BDH|5004224013083331117</stp>
        <tr r="T6" s="5"/>
        <tr r="T6" s="4"/>
      </tp>
      <tp t="s">
        <v>#N/A N/A</v>
        <stp/>
        <stp>BDH|6827771621966431192</stp>
        <tr r="S17" s="5"/>
        <tr r="S17" s="4"/>
      </tp>
      <tp t="s">
        <v>#N/A N/A</v>
        <stp/>
        <stp>BDH|6431574657077066541</stp>
        <tr r="D24" s="5"/>
        <tr r="D24" s="4"/>
      </tp>
      <tp t="s">
        <v>#N/A N/A</v>
        <stp/>
        <stp>BDH|7330177979715563083</stp>
        <tr r="T16" s="2"/>
      </tp>
      <tp t="s">
        <v>#N/A N/A</v>
        <stp/>
        <stp>BDH|6190414146354109677</stp>
        <tr r="AG10" s="5"/>
        <tr r="AG10" s="4"/>
      </tp>
      <tp t="s">
        <v>#N/A N/A</v>
        <stp/>
        <stp>BDH|5892764710224638384</stp>
        <tr r="K25" s="2"/>
      </tp>
      <tp t="s">
        <v>#N/A N/A</v>
        <stp/>
        <stp>BDH|2730576835454147449</stp>
        <tr r="D25" s="5"/>
        <tr r="D25" s="4"/>
      </tp>
      <tp t="s">
        <v>#N/A N/A</v>
        <stp/>
        <stp>BDH|8599790199370359260</stp>
        <tr r="AK20" s="5"/>
        <tr r="AK20" s="4"/>
      </tp>
      <tp t="s">
        <v>#N/A N/A</v>
        <stp/>
        <stp>BDH|1649353537506663337</stp>
        <tr r="I17" s="5"/>
        <tr r="I17" s="4"/>
      </tp>
      <tp t="s">
        <v>#N/A N/A</v>
        <stp/>
        <stp>BDH|2050989328834200936</stp>
        <tr r="X19" s="2"/>
      </tp>
      <tp t="s">
        <v>#N/A N/A</v>
        <stp/>
        <stp>BDH|4263912747549549403</stp>
        <tr r="F13" s="5"/>
        <tr r="F13" s="4"/>
      </tp>
      <tp t="s">
        <v>#N/A N/A</v>
        <stp/>
        <stp>BDH|8155823730266394112</stp>
        <tr r="AF8" s="5"/>
        <tr r="AF8" s="4"/>
      </tp>
      <tp t="s">
        <v>#N/A N/A</v>
        <stp/>
        <stp>BDH|5263644297468914699</stp>
        <tr r="R19" s="2"/>
      </tp>
      <tp t="s">
        <v>#N/A N/A</v>
        <stp/>
        <stp>BDP|6802092935421548077</stp>
        <tr r="AB9" s="3"/>
      </tp>
      <tp t="s">
        <v>#N/A N/A</v>
        <stp/>
        <stp>BDP|2457352124751137627</stp>
        <tr r="W9" s="3"/>
      </tp>
      <tp t="s">
        <v>#N/A N/A</v>
        <stp/>
        <stp>BDH|4251762756027246560</stp>
        <tr r="E6" s="5"/>
        <tr r="E6" s="4"/>
      </tp>
      <tp t="s">
        <v>#N/A N/A</v>
        <stp/>
        <stp>BDH|7723623335487130175</stp>
        <tr r="AO16" s="2"/>
      </tp>
      <tp t="s">
        <v>#N/A N/A</v>
        <stp/>
        <stp>BDH|7382590277736913728</stp>
        <tr r="AJ7" s="5"/>
        <tr r="AJ7" s="4"/>
      </tp>
      <tp t="s">
        <v>#N/A N/A</v>
        <stp/>
        <stp>BDH|3396507575031811498</stp>
        <tr r="AN20" s="2"/>
      </tp>
      <tp t="s">
        <v>#N/A N/A</v>
        <stp/>
        <stp>BDH|4874475667081801374</stp>
        <tr r="Z26" s="5"/>
        <tr r="Z26" s="4"/>
      </tp>
      <tp t="s">
        <v>#N/A N/A</v>
        <stp/>
        <stp>BDH|6690629775880700315</stp>
        <tr r="AF21" s="5"/>
        <tr r="AF21" s="4"/>
      </tp>
      <tp t="s">
        <v>#N/A N/A</v>
        <stp/>
        <stp>BDH|9620503328603088990</stp>
        <tr r="Q9" s="2"/>
      </tp>
      <tp t="s">
        <v>#N/A N/A</v>
        <stp/>
        <stp>BDP|8391765252966637856</stp>
        <tr r="Y16" s="3"/>
      </tp>
      <tp t="s">
        <v>#N/A N/A</v>
        <stp/>
        <stp>BDH|6938707529917154053</stp>
        <tr r="AL26" s="5"/>
        <tr r="AL26" s="4"/>
      </tp>
      <tp t="s">
        <v>#N/A N/A</v>
        <stp/>
        <stp>BDH|4627709629970286597</stp>
        <tr r="AI8" s="5"/>
        <tr r="AI8" s="4"/>
      </tp>
      <tp t="s">
        <v>#N/A N/A</v>
        <stp/>
        <stp>BDP|2254663804274209478</stp>
        <tr r="AF10" s="3"/>
      </tp>
      <tp t="s">
        <v>#N/A N/A</v>
        <stp/>
        <stp>BDP|1994875954210866983</stp>
        <tr r="AL13" s="3"/>
      </tp>
      <tp t="s">
        <v>#N/A N/A</v>
        <stp/>
        <stp>BDH|4957025083301030820</stp>
        <tr r="AP17" s="2"/>
      </tp>
      <tp t="s">
        <v>#N/A N/A</v>
        <stp/>
        <stp>BDH|2829606731777509565</stp>
        <tr r="Y17" s="5"/>
        <tr r="Y17" s="4"/>
      </tp>
      <tp t="s">
        <v>#N/A N/A</v>
        <stp/>
        <stp>BDH|4615069951937844333</stp>
        <tr r="AA6" s="5"/>
        <tr r="AA6" s="4"/>
      </tp>
      <tp t="s">
        <v>#N/A N/A</v>
        <stp/>
        <stp>BDH|7763941595715597793</stp>
        <tr r="W24" s="5"/>
        <tr r="W24" s="4"/>
      </tp>
      <tp t="s">
        <v>#N/A N/A</v>
        <stp/>
        <stp>BDH|7060458466761825116</stp>
        <tr r="AN24" s="2"/>
      </tp>
      <tp t="s">
        <v>#N/A N/A</v>
        <stp/>
        <stp>BDH|3845683559802776747</stp>
        <tr r="G13" s="2"/>
      </tp>
      <tp t="s">
        <v>#N/A N/A</v>
        <stp/>
        <stp>BDH|2264119508956620061</stp>
        <tr r="P20" s="2"/>
      </tp>
      <tp t="s">
        <v>#N/A N/A</v>
        <stp/>
        <stp>BDH|3080813626999420584</stp>
        <tr r="O25" s="2"/>
      </tp>
      <tp t="s">
        <v>#N/A N/A</v>
        <stp/>
        <stp>BDH|5794426210600816561</stp>
        <tr r="R6" s="5"/>
        <tr r="R6" s="4"/>
      </tp>
      <tp t="s">
        <v>#N/A N/A</v>
        <stp/>
        <stp>BDH|5071281817422613116</stp>
        <tr r="G25" s="2"/>
      </tp>
      <tp t="s">
        <v>#N/A N/A</v>
        <stp/>
        <stp>BDH|8273307189941655757</stp>
        <tr r="I18" s="5"/>
        <tr r="I18" s="4"/>
      </tp>
      <tp t="s">
        <v>#N/A N/A</v>
        <stp/>
        <stp>BDP|4073067035797869529</stp>
        <tr r="X12" s="3"/>
      </tp>
      <tp t="s">
        <v>#N/A N/A</v>
        <stp/>
        <stp>BDP|9807604913348375311</stp>
        <tr r="Q16" s="3"/>
      </tp>
      <tp t="s">
        <v>#N/A N/A</v>
        <stp/>
        <stp>BDH|2150397331497841083</stp>
        <tr r="AA17" s="2"/>
      </tp>
      <tp t="s">
        <v>#N/A N/A</v>
        <stp/>
        <stp>BDH|6601253634660622284</stp>
        <tr r="S24" s="5"/>
        <tr r="S24" s="4"/>
      </tp>
      <tp t="s">
        <v>#N/A N/A</v>
        <stp/>
        <stp>BDH|4448685693017244946</stp>
        <tr r="AN21" s="5"/>
        <tr r="AN21" s="4"/>
      </tp>
      <tp t="s">
        <v>#N/A N/A</v>
        <stp/>
        <stp>BDH|1836411913786148729</stp>
        <tr r="U13" s="5"/>
        <tr r="U13" s="4"/>
      </tp>
      <tp t="s">
        <v>#N/A N/A</v>
        <stp/>
        <stp>BDP|9041961762553974037</stp>
        <tr r="AM17" s="3"/>
      </tp>
      <tp t="s">
        <v>#N/A N/A</v>
        <stp/>
        <stp>BDP|2983482949464756319</stp>
        <tr r="AF9" s="3"/>
      </tp>
      <tp t="s">
        <v>#N/A N/A</v>
        <stp/>
        <stp>BDH|6314817570558435489</stp>
        <tr r="D18" s="5"/>
        <tr r="D18" s="4"/>
      </tp>
      <tp t="s">
        <v>#N/A N/A</v>
        <stp/>
        <stp>BDP|1801459453812946787</stp>
        <tr r="S17" s="3"/>
      </tp>
      <tp t="s">
        <v>#N/A N/A</v>
        <stp/>
        <stp>BDH|5592070403757805769</stp>
        <tr r="J16" s="2"/>
      </tp>
      <tp t="s">
        <v>#N/A N/A</v>
        <stp/>
        <stp>BDH|3337154505305961255</stp>
        <tr r="AE24" s="5"/>
        <tr r="AE24" s="4"/>
      </tp>
      <tp t="s">
        <v>#N/A N/A</v>
        <stp/>
        <stp>BDH|7958256903859974995</stp>
        <tr r="N21" s="5"/>
        <tr r="N21" s="4"/>
      </tp>
      <tp t="s">
        <v>#N/A N/A</v>
        <stp/>
        <stp>BDH|5732494554402410319</stp>
        <tr r="AJ24" s="5"/>
        <tr r="AJ24" s="4"/>
      </tp>
      <tp t="s">
        <v>#N/A N/A</v>
        <stp/>
        <stp>BDH|5179341902683988027</stp>
        <tr r="AO9" s="5"/>
        <tr r="AO9" s="4"/>
      </tp>
      <tp t="s">
        <v>#N/A N/A</v>
        <stp/>
        <stp>BDH|4868104143005226145</stp>
        <tr r="AA22" s="5"/>
        <tr r="AA22" s="4"/>
      </tp>
      <tp t="s">
        <v>#N/A N/A</v>
        <stp/>
        <stp>BDH|4574785236517632203</stp>
        <tr r="AH6" s="5"/>
        <tr r="AH6" s="4"/>
      </tp>
      <tp t="s">
        <v>#N/A N/A</v>
        <stp/>
        <stp>BDH|5333268378101149415</stp>
        <tr r="U24" s="5"/>
        <tr r="U24" s="4"/>
      </tp>
      <tp t="s">
        <v>#N/A N/A</v>
        <stp/>
        <stp>BDP|2142127800240844695</stp>
        <tr r="P17" s="3"/>
      </tp>
      <tp t="s">
        <v>#N/A N/A</v>
        <stp/>
        <stp>BDP|9492838755747821686</stp>
        <tr r="N17" s="3"/>
      </tp>
      <tp t="s">
        <v>#N/A N/A</v>
        <stp/>
        <stp>BDP|8032778765528589450</stp>
        <tr r="AJ10" s="3"/>
      </tp>
      <tp t="s">
        <v>#N/A N/A</v>
        <stp/>
        <stp>BDH|2515116061740413033</stp>
        <tr r="AL16" s="2"/>
      </tp>
      <tp t="s">
        <v>#N/A N/A</v>
        <stp/>
        <stp>BDH|5777459051691383029</stp>
        <tr r="H21" s="5"/>
        <tr r="H21" s="4"/>
      </tp>
      <tp t="s">
        <v>#N/A N/A</v>
        <stp/>
        <stp>BDH|4996800921449257298</stp>
        <tr r="Y24" s="5"/>
        <tr r="Y24" s="4"/>
      </tp>
      <tp t="s">
        <v>#N/A N/A</v>
        <stp/>
        <stp>BDH|2785958591903426443</stp>
        <tr r="S6" s="5"/>
        <tr r="S6" s="4"/>
      </tp>
      <tp t="s">
        <v>#N/A N/A</v>
        <stp/>
        <stp>BDH|1416085722407510189</stp>
        <tr r="R26" s="5"/>
        <tr r="R26" s="4"/>
      </tp>
      <tp t="s">
        <v>#N/A N/A</v>
        <stp/>
        <stp>BDH|5297933490405746555</stp>
        <tr r="X17" s="2"/>
      </tp>
      <tp t="s">
        <v>#N/A N/A</v>
        <stp/>
        <stp>BDH|1018587418407438744</stp>
        <tr r="E26" s="2"/>
      </tp>
      <tp t="s">
        <v>#N/A N/A</v>
        <stp/>
        <stp>BDH|3732948900759010636</stp>
        <tr r="T17" s="5"/>
        <tr r="T17" s="4"/>
      </tp>
      <tp t="s">
        <v>#N/A N/A</v>
        <stp/>
        <stp>BDH|8317635017018301248</stp>
        <tr r="V8" s="5"/>
        <tr r="V8" s="4"/>
      </tp>
      <tp t="s">
        <v>#N/A N/A</v>
        <stp/>
        <stp>BDH|8988122750128307185</stp>
        <tr r="W18" s="2"/>
      </tp>
      <tp t="s">
        <v>#N/A N/A</v>
        <stp/>
        <stp>BDH|5444700644702656176</stp>
        <tr r="I20" s="2"/>
      </tp>
      <tp t="s">
        <v>#N/A N/A</v>
        <stp/>
        <stp>BDH|1030646128313522387</stp>
        <tr r="E14" s="2"/>
      </tp>
      <tp t="s">
        <v>#N/A N/A</v>
        <stp/>
        <stp>BDP|3915452437238415998</stp>
        <tr r="AB10" s="3"/>
      </tp>
      <tp t="s">
        <v>#N/A N/A</v>
        <stp/>
        <stp>BDH|9663106183553752641</stp>
        <tr r="Y25" s="2"/>
      </tp>
      <tp t="s">
        <v>#N/A N/A</v>
        <stp/>
        <stp>BDH|2015248934535382354</stp>
        <tr r="F16" s="2"/>
      </tp>
      <tp t="s">
        <v>#N/A N/A</v>
        <stp/>
        <stp>BDH|6714148734354102508</stp>
        <tr r="H16" s="2"/>
      </tp>
      <tp t="s">
        <v>#N/A N/A</v>
        <stp/>
        <stp>BDH|2000219431196528031</stp>
        <tr r="M9" s="5"/>
        <tr r="M9" s="4"/>
      </tp>
      <tp t="s">
        <v>#N/A N/A</v>
        <stp/>
        <stp>BDH|3273464716835270660</stp>
        <tr r="AK20" s="2"/>
      </tp>
      <tp t="s">
        <v>#N/A N/A</v>
        <stp/>
        <stp>BDH|2016496054597267198</stp>
        <tr r="AG24" s="5"/>
        <tr r="AG24" s="4"/>
      </tp>
      <tp t="s">
        <v>#N/A N/A</v>
        <stp/>
        <stp>BDP|5005109468251697698</stp>
        <tr r="AH9" s="3"/>
      </tp>
      <tp t="s">
        <v>#N/A N/A</v>
        <stp/>
        <stp>BDP|5575347222168317973</stp>
        <tr r="AK16" s="3"/>
      </tp>
      <tp t="s">
        <v>#N/A N/A</v>
        <stp/>
        <stp>BDH|6945454504104913361</stp>
        <tr r="Y24" s="2"/>
      </tp>
      <tp t="s">
        <v>#N/A N/A</v>
        <stp/>
        <stp>BDH|9536213983350270624</stp>
        <tr r="AF10" s="5"/>
        <tr r="AF10" s="4"/>
      </tp>
      <tp t="s">
        <v>#N/A N/A</v>
        <stp/>
        <stp>BDH|8261773599447346480</stp>
        <tr r="U9" s="5"/>
        <tr r="U9" s="4"/>
      </tp>
      <tp t="s">
        <v>#N/A N/A</v>
        <stp/>
        <stp>BDH|9247493127452228894</stp>
        <tr r="P13" s="2"/>
      </tp>
      <tp t="s">
        <v>#N/A N/A</v>
        <stp/>
        <stp>BDH|2525902815967190850</stp>
        <tr r="AC24" s="5"/>
        <tr r="AC24" s="4"/>
      </tp>
      <tp t="s">
        <v>#N/A N/A</v>
        <stp/>
        <stp>BDH|3680533728865916405</stp>
        <tr r="AN8" s="5"/>
        <tr r="AN8" s="4"/>
      </tp>
      <tp t="s">
        <v>#N/A N/A</v>
        <stp/>
        <stp>BDH|7540440045170262228</stp>
        <tr r="AG20" s="2"/>
      </tp>
      <tp t="s">
        <v>#N/A N/A</v>
        <stp/>
        <stp>BDH|9806244122768314499</stp>
        <tr r="W10" s="2"/>
      </tp>
      <tp t="s">
        <v>#N/A N/A</v>
        <stp/>
        <stp>BDH|4056778539574206194</stp>
        <tr r="AA8" s="5"/>
        <tr r="AA8" s="4"/>
      </tp>
      <tp t="s">
        <v>#N/A N/A</v>
        <stp/>
        <stp>BDH|2872261512417468028</stp>
        <tr r="H17" s="2"/>
      </tp>
      <tp t="s">
        <v>#N/A N/A</v>
        <stp/>
        <stp>BDH|6859200237239203878</stp>
        <tr r="F20" s="5"/>
        <tr r="F20" s="4"/>
      </tp>
      <tp t="s">
        <v>#N/A N/A</v>
        <stp/>
        <stp>BDP|1475519700557905572</stp>
        <tr r="U12" s="3"/>
      </tp>
      <tp t="s">
        <v>#N/A N/A</v>
        <stp/>
        <stp>BDH|6743261074221758492</stp>
        <tr r="AC9" s="2"/>
      </tp>
      <tp t="s">
        <v>#N/A N/A</v>
        <stp/>
        <stp>BDH|5901678386144688956</stp>
        <tr r="Y22" s="5"/>
        <tr r="Y22" s="4"/>
      </tp>
      <tp t="s">
        <v>#N/A N/A</v>
        <stp/>
        <stp>BDH|3394673880342971968</stp>
        <tr r="C19" s="2"/>
      </tp>
      <tp t="s">
        <v>#N/A N/A</v>
        <stp/>
        <stp>BDH|8959001769530953829</stp>
        <tr r="X18" s="2"/>
      </tp>
      <tp t="s">
        <v>#N/A N/A</v>
        <stp/>
        <stp>BDP|3155694406977178479</stp>
        <tr r="Q17" s="3"/>
      </tp>
      <tp t="s">
        <v>#N/A N/A</v>
        <stp/>
        <stp>BDH|2659942571363331983</stp>
        <tr r="X13" s="5"/>
        <tr r="X13" s="4"/>
      </tp>
      <tp t="s">
        <v>#N/A N/A</v>
        <stp/>
        <stp>BDP|5658524030406998347</stp>
        <tr r="R17" s="3"/>
      </tp>
      <tp t="s">
        <v>#N/A N/A</v>
        <stp/>
        <stp>BDH|4899252752121430420</stp>
        <tr r="L9" s="2"/>
      </tp>
      <tp t="s">
        <v>#N/A N/A</v>
        <stp/>
        <stp>BDH|5806664037175220328</stp>
        <tr r="H7" s="2"/>
      </tp>
      <tp t="s">
        <v>#N/A N/A</v>
        <stp/>
        <stp>BDH|6627199101285643467</stp>
        <tr r="N13" s="2"/>
      </tp>
      <tp t="s">
        <v>#N/A N/A</v>
        <stp/>
        <stp>BDH|1707946289795070355</stp>
        <tr r="J17" s="2"/>
      </tp>
      <tp t="s">
        <v>#N/A N/A</v>
        <stp/>
        <stp>BDH|7087734128720379476</stp>
        <tr r="I22" s="5"/>
        <tr r="I22" s="4"/>
      </tp>
      <tp t="s">
        <v>#N/A N/A</v>
        <stp/>
        <stp>BDH|6397874794276870774</stp>
        <tr r="AN9" s="5"/>
        <tr r="AN9" s="4"/>
      </tp>
      <tp t="s">
        <v>#N/A N/A</v>
        <stp/>
        <stp>BDH|7564664559575263745</stp>
        <tr r="AL8" s="5"/>
        <tr r="AL8" s="4"/>
      </tp>
      <tp t="s">
        <v>#N/A N/A</v>
        <stp/>
        <stp>BDH|8199934079495475537</stp>
        <tr r="H10" s="2"/>
      </tp>
      <tp t="s">
        <v>#N/A N/A</v>
        <stp/>
        <stp>BDH|5124541262498939838</stp>
        <tr r="N8" s="5"/>
        <tr r="N8" s="4"/>
      </tp>
      <tp t="s">
        <v>#N/A N/A</v>
        <stp/>
        <stp>BDP|5505459662133152211</stp>
        <tr r="H16" s="3"/>
      </tp>
      <tp t="s">
        <v>#N/A N/A</v>
        <stp/>
        <stp>BDH|1934459433193993341</stp>
        <tr r="F6" s="5"/>
        <tr r="F6" s="4"/>
      </tp>
      <tp t="s">
        <v>#N/A N/A</v>
        <stp/>
        <stp>BDH|7364521806581063556</stp>
        <tr r="H16" s="5"/>
        <tr r="H16" s="4"/>
      </tp>
      <tp t="s">
        <v>#N/A N/A</v>
        <stp/>
        <stp>BDH|1702513750665102257</stp>
        <tr r="K13" s="2"/>
      </tp>
      <tp t="s">
        <v>#N/A N/A</v>
        <stp/>
        <stp>BDH|8499537305193860881</stp>
        <tr r="G12" s="5"/>
        <tr r="G12" s="4"/>
      </tp>
      <tp t="s">
        <v>#N/A N/A</v>
        <stp/>
        <stp>BDH|7641065773991356738</stp>
        <tr r="L7" s="2"/>
      </tp>
      <tp t="s">
        <v>#N/A N/A</v>
        <stp/>
        <stp>BDH|2618380098926082854</stp>
        <tr r="K17" s="5"/>
        <tr r="K17" s="4"/>
      </tp>
      <tp t="s">
        <v>#N/A N/A</v>
        <stp/>
        <stp>BDH|7057259735090194022</stp>
        <tr r="AJ9" s="5"/>
        <tr r="AJ9" s="4"/>
      </tp>
      <tp t="s">
        <v>#N/A N/A</v>
        <stp/>
        <stp>BDH|2224362336010316429</stp>
        <tr r="H12" s="5"/>
        <tr r="H12" s="4"/>
      </tp>
      <tp t="s">
        <v>#N/A N/A</v>
        <stp/>
        <stp>BDH|9595331829176927854</stp>
        <tr r="E21" s="5"/>
        <tr r="E21" s="4"/>
      </tp>
      <tp t="s">
        <v>#N/A N/A</v>
        <stp/>
        <stp>BDP|8267401426621480903</stp>
        <tr r="C12" s="3"/>
      </tp>
      <tp t="s">
        <v>#N/A N/A</v>
        <stp/>
        <stp>BDH|9784764575168027744</stp>
        <tr r="M9" s="2"/>
      </tp>
      <tp t="s">
        <v>#N/A N/A</v>
        <stp/>
        <stp>BDH|2612347677614588405</stp>
        <tr r="AJ24" s="2"/>
      </tp>
      <tp t="s">
        <v>#N/A N/A</v>
        <stp/>
        <stp>BDH|2465701498532592895</stp>
        <tr r="AM14" s="5"/>
        <tr r="AM14" s="4"/>
      </tp>
      <tp t="s">
        <v>#N/A N/A</v>
        <stp/>
        <stp>BDP|2366542875203742548</stp>
        <tr r="E9" s="3"/>
      </tp>
      <tp t="s">
        <v>#N/A N/A</v>
        <stp/>
        <stp>BDH|2136043473440215355</stp>
        <tr r="AA18" s="5"/>
        <tr r="AA18" s="4"/>
      </tp>
      <tp t="s">
        <v>#N/A N/A</v>
        <stp/>
        <stp>BDH|4751489362654427481</stp>
        <tr r="Q17" s="2"/>
      </tp>
      <tp t="s">
        <v>#N/A N/A</v>
        <stp/>
        <stp>BDP|8057209473539732223</stp>
        <tr r="Y17" s="3"/>
      </tp>
      <tp t="s">
        <v>#N/A N/A</v>
        <stp/>
        <stp>BDP|2191566122142661153</stp>
        <tr r="AM9" s="3"/>
      </tp>
      <tp t="s">
        <v>#N/A N/A</v>
        <stp/>
        <stp>BDH|1233002490187722922</stp>
        <tr r="AF20" s="5"/>
        <tr r="AF20" s="4"/>
      </tp>
      <tp t="s">
        <v>#N/A N/A</v>
        <stp/>
        <stp>BDH|1560797461991895729</stp>
        <tr r="Q25" s="5"/>
        <tr r="Q25" s="4"/>
      </tp>
      <tp t="s">
        <v>#N/A N/A</v>
        <stp/>
        <stp>BDH|1963156252262998104</stp>
        <tr r="S21" s="5"/>
        <tr r="S21" s="4"/>
      </tp>
      <tp t="s">
        <v>#N/A N/A</v>
        <stp/>
        <stp>BDH|7710307841883779567</stp>
        <tr r="Q16" s="5"/>
        <tr r="Q16" s="4"/>
      </tp>
      <tp t="s">
        <v>#N/A N/A</v>
        <stp/>
        <stp>BDP|2683935681960257526</stp>
        <tr r="AE17" s="3"/>
      </tp>
      <tp t="s">
        <v>#N/A N/A</v>
        <stp/>
        <stp>BDH|7416308083478237216</stp>
        <tr r="AK16" s="5"/>
        <tr r="AK16" s="4"/>
      </tp>
      <tp t="s">
        <v>#N/A N/A</v>
        <stp/>
        <stp>BDH|50006981771142242</stp>
        <tr r="AI16" s="2"/>
      </tp>
      <tp t="s">
        <v>#N/A N/A</v>
        <stp/>
        <stp>BDH|82970584088862228</stp>
        <tr r="AF9" s="2"/>
      </tp>
      <tp t="s">
        <v>#N/A N/A</v>
        <stp/>
        <stp>BDH|8610212399783055747</stp>
        <tr r="O19" s="2"/>
      </tp>
      <tp t="s">
        <v>#N/A N/A</v>
        <stp/>
        <stp>BDP|3657610329755011554</stp>
        <tr r="I17" s="3"/>
      </tp>
      <tp t="s">
        <v>#N/A N/A</v>
        <stp/>
        <stp>BDP|6881372972163652609</stp>
        <tr r="Z12" s="3"/>
      </tp>
      <tp t="s">
        <v>#N/A N/A</v>
        <stp/>
        <stp>BDH|1512405677330844510</stp>
        <tr r="AI9" s="2"/>
      </tp>
      <tp t="s">
        <v>#N/A N/A</v>
        <stp/>
        <stp>BDH|2945350241761789318</stp>
        <tr r="P16" s="2"/>
      </tp>
      <tp t="s">
        <v>#N/A N/A</v>
        <stp/>
        <stp>BDH|6463487482809364466</stp>
        <tr r="X9" s="5"/>
        <tr r="X9" s="4"/>
      </tp>
      <tp t="s">
        <v>#N/A N/A</v>
        <stp/>
        <stp>BDH|4678333359204329148</stp>
        <tr r="AO21" s="5"/>
        <tr r="AO21" s="4"/>
      </tp>
      <tp t="s">
        <v>#N/A N/A</v>
        <stp/>
        <stp>BDH|9729224260488450296</stp>
        <tr r="O8" s="2"/>
      </tp>
      <tp t="s">
        <v>#N/A N/A</v>
        <stp/>
        <stp>BDH|3397639913640316394</stp>
        <tr r="R8" s="2"/>
      </tp>
      <tp t="s">
        <v>#N/A N/A</v>
        <stp/>
        <stp>BDH|5036197815587140542</stp>
        <tr r="AI25" s="2"/>
      </tp>
      <tp t="s">
        <v>#N/A N/A</v>
        <stp/>
        <stp>BDH|1664330165871010297</stp>
        <tr r="AA17" s="5"/>
        <tr r="AA17" s="4"/>
      </tp>
      <tp t="s">
        <v>#N/A N/A</v>
        <stp/>
        <stp>BDH|6349726299358645779</stp>
        <tr r="P8" s="2"/>
      </tp>
      <tp t="s">
        <v>#N/A N/A</v>
        <stp/>
        <stp>BDH|9938981023962341780</stp>
        <tr r="L26" s="2"/>
      </tp>
    </main>
    <main first="bofaddin.rtdserver">
      <tp t="s">
        <v>#N/A N/A</v>
        <stp/>
        <stp>BDH|9837579932820273816</stp>
        <tr r="M7" s="5"/>
        <tr r="M7" s="4"/>
      </tp>
      <tp t="s">
        <v>#N/A N/A</v>
        <stp/>
        <stp>BDH|5034548668269460864</stp>
        <tr r="AN7" s="5"/>
        <tr r="AN7" s="4"/>
      </tp>
      <tp t="s">
        <v>#N/A N/A</v>
        <stp/>
        <stp>BDH|7906402083565681923</stp>
        <tr r="Z10" s="5"/>
        <tr r="Z10" s="4"/>
      </tp>
      <tp t="s">
        <v>#N/A N/A</v>
        <stp/>
        <stp>BDH|5809714452636608622</stp>
        <tr r="AL14" s="5"/>
        <tr r="AL14" s="4"/>
      </tp>
      <tp t="s">
        <v>#N/A N/A</v>
        <stp/>
        <stp>BDP|5686656758790272150</stp>
        <tr r="L12" s="3"/>
      </tp>
      <tp t="s">
        <v>#N/A N/A</v>
        <stp/>
        <stp>BDH|5276299657970042513</stp>
        <tr r="S25" s="5"/>
        <tr r="S25" s="4"/>
      </tp>
      <tp t="s">
        <v>#N/A N/A</v>
        <stp/>
        <stp>BDH|1528704168440777775</stp>
        <tr r="AC22" s="5"/>
        <tr r="AC22" s="4"/>
      </tp>
      <tp t="s">
        <v>#N/A N/A</v>
        <stp/>
        <stp>BDH|1955152624656403312</stp>
        <tr r="T24" s="5"/>
        <tr r="T24" s="4"/>
      </tp>
      <tp t="s">
        <v>#N/A N/A</v>
        <stp/>
        <stp>BDH|7881078227092853027</stp>
        <tr r="AC25" s="5"/>
        <tr r="AC25" s="4"/>
      </tp>
      <tp t="s">
        <v>#N/A N/A</v>
        <stp/>
        <stp>BDH|7216024746406583211</stp>
        <tr r="AE14" s="2"/>
      </tp>
      <tp t="s">
        <v>#N/A N/A</v>
        <stp/>
        <stp>BDH|2679628682902740923</stp>
        <tr r="J18" s="2"/>
      </tp>
      <tp t="s">
        <v>#N/A N/A</v>
        <stp/>
        <stp>BDP|5545171725814611514</stp>
        <tr r="AO9" s="3"/>
      </tp>
      <tp t="s">
        <v>#N/A N/A</v>
        <stp/>
        <stp>BDH|1554339606447298220</stp>
        <tr r="AN10" s="5"/>
        <tr r="AN10" s="4"/>
      </tp>
      <tp t="s">
        <v>#N/A N/A</v>
        <stp/>
        <stp>BDH|7512740727362231743</stp>
        <tr r="T21" s="5"/>
        <tr r="T21" s="4"/>
      </tp>
      <tp t="s">
        <v>#N/A N/A</v>
        <stp/>
        <stp>BDH|9281855878252737388</stp>
        <tr r="X25" s="5"/>
        <tr r="X25" s="4"/>
      </tp>
      <tp t="s">
        <v>#N/A N/A</v>
        <stp/>
        <stp>BDH|3138942321699471607</stp>
        <tr r="AD26" s="2"/>
      </tp>
      <tp t="s">
        <v>#N/A N/A</v>
        <stp/>
        <stp>BDH|6355066315671044109</stp>
        <tr r="AD18" s="5"/>
        <tr r="AD18" s="4"/>
      </tp>
      <tp t="s">
        <v>#N/A N/A</v>
        <stp/>
        <stp>BDH|2477239435835324100</stp>
        <tr r="J7" s="2"/>
      </tp>
      <tp t="s">
        <v>#N/A N/A</v>
        <stp/>
        <stp>BDH|6627050409085921424</stp>
        <tr r="O10" s="5"/>
        <tr r="O10" s="4"/>
      </tp>
      <tp t="s">
        <v>#N/A N/A</v>
        <stp/>
        <stp>BDH|7201219976907283267</stp>
        <tr r="Q24" s="5"/>
        <tr r="Q24" s="4"/>
      </tp>
      <tp t="s">
        <v>#N/A N/A</v>
        <stp/>
        <stp>BDP|2163481013036990651</stp>
        <tr r="S12" s="3"/>
      </tp>
      <tp t="s">
        <v>#N/A N/A</v>
        <stp/>
        <stp>BDP|1335449065247218367</stp>
        <tr r="Z16" s="3"/>
      </tp>
      <tp t="s">
        <v>#N/A N/A</v>
        <stp/>
        <stp>BDH|3100518833214195643</stp>
        <tr r="R12" s="5"/>
        <tr r="R12" s="4"/>
      </tp>
      <tp t="s">
        <v>#N/A N/A</v>
        <stp/>
        <stp>BDH|9757657504078015007</stp>
        <tr r="H20" s="5"/>
        <tr r="H20" s="4"/>
      </tp>
      <tp t="s">
        <v>#N/A N/A</v>
        <stp/>
        <stp>BDH|7437244563926472215</stp>
        <tr r="AC10" s="5"/>
        <tr r="AC10" s="4"/>
      </tp>
      <tp t="s">
        <v>#N/A N/A</v>
        <stp/>
        <stp>BDH|2804709233864877548</stp>
        <tr r="Q13" s="5"/>
        <tr r="Q13" s="4"/>
      </tp>
      <tp t="s">
        <v>#N/A N/A</v>
        <stp/>
        <stp>BDP|2960968949590573871</stp>
        <tr r="E12" s="3"/>
      </tp>
      <tp t="s">
        <v>#N/A N/A</v>
        <stp/>
        <stp>BDH|2478712054890594705</stp>
        <tr r="G16" s="2"/>
      </tp>
      <tp t="s">
        <v>#N/A N/A</v>
        <stp/>
        <stp>BDH|2319487104839993827</stp>
        <tr r="Z16" s="2"/>
      </tp>
      <tp t="s">
        <v>#N/A N/A</v>
        <stp/>
        <stp>BDH|8485892099778324637</stp>
        <tr r="AK25" s="5"/>
        <tr r="AK25" s="4"/>
      </tp>
      <tp t="s">
        <v>#N/A N/A</v>
        <stp/>
        <stp>BDH|9451264457821217829</stp>
        <tr r="AA7" s="2"/>
      </tp>
      <tp t="s">
        <v>#N/A N/A</v>
        <stp/>
        <stp>BDH|3991260122691091586</stp>
        <tr r="AH17" s="5"/>
        <tr r="AH17" s="4"/>
      </tp>
      <tp t="s">
        <v>#N/A N/A</v>
        <stp/>
        <stp>BDH|8002267904869347443</stp>
        <tr r="AP26" s="5"/>
        <tr r="AP26" s="4"/>
      </tp>
      <tp t="s">
        <v>#N/A N/A</v>
        <stp/>
        <stp>BDH|6214073395599111148</stp>
        <tr r="P9" s="5"/>
        <tr r="P9" s="4"/>
      </tp>
      <tp t="s">
        <v>#N/A N/A</v>
        <stp/>
        <stp>BDH|2052626807000995473</stp>
        <tr r="AH8" s="2"/>
      </tp>
      <tp t="s">
        <v>#N/A N/A</v>
        <stp/>
        <stp>BDH|4003183760286425578</stp>
        <tr r="AK12" s="5"/>
        <tr r="AK12" s="4"/>
      </tp>
      <tp t="s">
        <v>#N/A N/A</v>
        <stp/>
        <stp>BDP|4267232809124964296</stp>
        <tr r="Q10" s="3"/>
      </tp>
      <tp t="s">
        <v>#N/A N/A</v>
        <stp/>
        <stp>BDH|1174485867262618100</stp>
        <tr r="Y10" s="5"/>
        <tr r="Y10" s="4"/>
      </tp>
      <tp t="s">
        <v>#N/A N/A</v>
        <stp/>
        <stp>BDH|2985109196048136261</stp>
        <tr r="J20" s="5"/>
        <tr r="J20" s="4"/>
      </tp>
      <tp t="s">
        <v>#N/A N/A</v>
        <stp/>
        <stp>BDH|2786446774683861275</stp>
        <tr r="AG18" s="5"/>
        <tr r="AG18" s="4"/>
      </tp>
      <tp t="s">
        <v>#N/A N/A</v>
        <stp/>
        <stp>BDP|2998212456454097176</stp>
        <tr r="P10" s="3"/>
      </tp>
      <tp t="s">
        <v>#N/A N/A</v>
        <stp/>
        <stp>BDH|2080910333951251993</stp>
        <tr r="V7" s="5"/>
        <tr r="V7" s="4"/>
      </tp>
      <tp t="s">
        <v>#N/A N/A</v>
        <stp/>
        <stp>BDH|8260350778565210949</stp>
        <tr r="H24" s="5"/>
        <tr r="H24" s="4"/>
      </tp>
      <tp t="s">
        <v>#N/A N/A</v>
        <stp/>
        <stp>BDH|8351894042031213540</stp>
        <tr r="AD17" s="5"/>
        <tr r="AD17" s="4"/>
      </tp>
      <tp t="s">
        <v>#N/A N/A</v>
        <stp/>
        <stp>BDH|7584093911336701042</stp>
        <tr r="AC8" s="2"/>
      </tp>
      <tp t="s">
        <v>#N/A N/A</v>
        <stp/>
        <stp>BDH|2202253661231889718</stp>
        <tr r="J25" s="5"/>
        <tr r="J25" s="4"/>
      </tp>
      <tp t="s">
        <v>#N/A N/A</v>
        <stp/>
        <stp>BDH|3840691649921607014</stp>
        <tr r="G9" s="5"/>
        <tr r="G9" s="4"/>
      </tp>
      <tp t="s">
        <v>#N/A N/A</v>
        <stp/>
        <stp>BDH|7558510177966544393</stp>
        <tr r="AE19" s="2"/>
      </tp>
      <tp t="s">
        <v>#N/A N/A</v>
        <stp/>
        <stp>BDH|5780595441116466240</stp>
        <tr r="AK10" s="2"/>
      </tp>
      <tp t="s">
        <v>#N/A N/A</v>
        <stp/>
        <stp>BDP|3250516408005082373</stp>
        <tr r="AK17" s="3"/>
      </tp>
      <tp t="s">
        <v>#N/A N/A</v>
        <stp/>
        <stp>BDP|8228994111746242643</stp>
        <tr r="S13" s="3"/>
      </tp>
      <tp t="s">
        <v>#N/A N/A</v>
        <stp/>
        <stp>BDH|9563892422100345317</stp>
        <tr r="K8" s="5"/>
        <tr r="K8" s="4"/>
      </tp>
      <tp t="s">
        <v>#N/A N/A</v>
        <stp/>
        <stp>BDP|6075103208997440012</stp>
        <tr r="F9" s="3"/>
      </tp>
      <tp t="s">
        <v>#N/A N/A</v>
        <stp/>
        <stp>BDH|7854459912171358319</stp>
        <tr r="R24" s="5"/>
        <tr r="R24" s="4"/>
      </tp>
      <tp t="s">
        <v>#N/A N/A</v>
        <stp/>
        <stp>BDH|1931081926593907032</stp>
        <tr r="F10" s="2"/>
      </tp>
      <tp t="s">
        <v>#N/A N/A</v>
        <stp/>
        <stp>BDP|3997084043605628262</stp>
        <tr r="AI16" s="3"/>
      </tp>
      <tp t="s">
        <v>#N/A N/A</v>
        <stp/>
        <stp>BDH|7719824012018558605</stp>
        <tr r="T16" s="5"/>
        <tr r="T16" s="4"/>
      </tp>
      <tp t="s">
        <v>#N/A N/A</v>
        <stp/>
        <stp>BDH|3795731655993397207</stp>
        <tr r="V20" s="2"/>
      </tp>
      <tp t="s">
        <v>#N/A N/A</v>
        <stp/>
        <stp>BDH|9232081594224937446</stp>
        <tr r="AN9" s="2"/>
      </tp>
      <tp t="s">
        <v>#N/A N/A</v>
        <stp/>
        <stp>BDH|5144017453404203422</stp>
        <tr r="Y8" s="2"/>
      </tp>
      <tp t="s">
        <v>#N/A N/A</v>
        <stp/>
        <stp>BDH|2912256214039090888</stp>
        <tr r="AB14" s="5"/>
        <tr r="AB14" s="4"/>
      </tp>
      <tp t="s">
        <v>#N/A N/A</v>
        <stp/>
        <stp>BDH|2932242917983203285</stp>
        <tr r="AH12" s="5"/>
        <tr r="AH12" s="4"/>
      </tp>
      <tp t="s">
        <v>#N/A N/A</v>
        <stp/>
        <stp>BDH|5395460083139617018</stp>
        <tr r="Y16" s="2"/>
      </tp>
      <tp t="s">
        <v>#N/A N/A</v>
        <stp/>
        <stp>BDH|7226316950659547876</stp>
        <tr r="AL13" s="2"/>
      </tp>
      <tp t="s">
        <v>#N/A N/A</v>
        <stp/>
        <stp>BDH|8417135862098559765</stp>
        <tr r="AE13" s="2"/>
      </tp>
      <tp t="s">
        <v>#N/A N/A</v>
        <stp/>
        <stp>BDP|4630717042224124337</stp>
        <tr r="AM12" s="3"/>
      </tp>
      <tp t="s">
        <v>#N/A N/A</v>
        <stp/>
        <stp>BDH|6216031644803681141</stp>
        <tr r="N20" s="2"/>
      </tp>
      <tp t="s">
        <v>#N/A N/A</v>
        <stp/>
        <stp>BDH|1377342861231807592</stp>
        <tr r="AI18" s="5"/>
        <tr r="AI18" s="4"/>
      </tp>
      <tp t="s">
        <v>#N/A N/A</v>
        <stp/>
        <stp>BDH|3990807300918891367</stp>
        <tr r="C22" s="5"/>
        <tr r="C22" s="4"/>
      </tp>
      <tp t="s">
        <v>#N/A N/A</v>
        <stp/>
        <stp>BDH|6645259645797119703</stp>
        <tr r="AD14" s="5"/>
        <tr r="AD14" s="4"/>
      </tp>
      <tp t="s">
        <v>#N/A N/A</v>
        <stp/>
        <stp>BDH|4380285664418942817</stp>
        <tr r="W26" s="2"/>
      </tp>
      <tp t="s">
        <v>#N/A N/A</v>
        <stp/>
        <stp>BDH|6518034466691620126</stp>
        <tr r="I26" s="5"/>
        <tr r="I26" s="4"/>
      </tp>
      <tp t="s">
        <v>#N/A N/A</v>
        <stp/>
        <stp>BDH|2050366704341162078</stp>
        <tr r="AK14" s="2"/>
      </tp>
      <tp t="s">
        <v>#N/A N/A</v>
        <stp/>
        <stp>BDH|5739417563186294123</stp>
        <tr r="Y9" s="5"/>
        <tr r="Y9" s="4"/>
      </tp>
    </main>
    <main first="bofaddin.rtdserver">
      <tp t="s">
        <v>#N/A N/A</v>
        <stp/>
        <stp>BDH|9271672783515510391</stp>
        <tr r="L17" s="5"/>
        <tr r="L17" s="4"/>
      </tp>
      <tp t="s">
        <v>#N/A N/A</v>
        <stp/>
        <stp>BDH|8347765228388747400</stp>
        <tr r="D16" s="2"/>
      </tp>
      <tp t="s">
        <v>#N/A N/A</v>
        <stp/>
        <stp>BDP|9339995693671901980</stp>
        <tr r="AN9" s="3"/>
      </tp>
      <tp t="s">
        <v>#N/A N/A</v>
        <stp/>
        <stp>BDP|1861023047172454605</stp>
        <tr r="L17" s="3"/>
      </tp>
      <tp t="s">
        <v>#N/A N/A</v>
        <stp/>
        <stp>BDH|7777116082209923643</stp>
        <tr r="AC16" s="5"/>
        <tr r="AC16" s="4"/>
      </tp>
      <tp t="s">
        <v>#N/A N/A</v>
        <stp/>
        <stp>BDH|5988139544634627564</stp>
        <tr r="L26" s="5"/>
        <tr r="L26" s="4"/>
      </tp>
      <tp t="s">
        <v>#N/A N/A</v>
        <stp/>
        <stp>BDH|9519451632127462881</stp>
        <tr r="AA9" s="5"/>
        <tr r="AA9" s="4"/>
      </tp>
      <tp t="s">
        <v>#N/A N/A</v>
        <stp/>
        <stp>BDH|6492335527124995261</stp>
        <tr r="N26" s="2"/>
      </tp>
      <tp t="s">
        <v>#N/A N/A</v>
        <stp/>
        <stp>BDH|4710947098813471604</stp>
        <tr r="AG13" s="5"/>
        <tr r="AG13" s="4"/>
      </tp>
      <tp t="s">
        <v>#N/A N/A</v>
        <stp/>
        <stp>BDH|2508764769943039150</stp>
        <tr r="I9" s="2"/>
      </tp>
      <tp t="s">
        <v>#N/A N/A</v>
        <stp/>
        <stp>BDP|3494918090367157580</stp>
        <tr r="AP9" s="3"/>
      </tp>
      <tp t="s">
        <v>#N/A N/A</v>
        <stp/>
        <stp>BDP|9446831145505977171</stp>
        <tr r="AA9" s="3"/>
      </tp>
      <tp t="s">
        <v>#N/A N/A</v>
        <stp/>
        <stp>BDH|6168980237415651840</stp>
        <tr r="M8" s="2"/>
      </tp>
      <tp t="s">
        <v>#N/A N/A</v>
        <stp/>
        <stp>BDH|3257087721968084878</stp>
        <tr r="U26" s="2"/>
      </tp>
      <tp t="s">
        <v>#N/A N/A</v>
        <stp/>
        <stp>BDH|6022494353441561738</stp>
        <tr r="AM24" s="5"/>
        <tr r="AM24" s="4"/>
      </tp>
      <tp t="s">
        <v>#N/A N/A</v>
        <stp/>
        <stp>BDH|4259442496800806840</stp>
        <tr r="U20" s="2"/>
      </tp>
      <tp t="s">
        <v>#N/A N/A</v>
        <stp/>
        <stp>BDH|8323299702209151248</stp>
        <tr r="AM16" s="2"/>
      </tp>
      <tp t="s">
        <v>#N/A N/A</v>
        <stp/>
        <stp>BDH|1180691225950583455</stp>
        <tr r="AH16" s="5"/>
        <tr r="AH16" s="4"/>
      </tp>
      <tp t="s">
        <v>#N/A N/A</v>
        <stp/>
        <stp>BDH|3648052375405859039</stp>
        <tr r="AH13" s="5"/>
        <tr r="AH13" s="4"/>
      </tp>
    </main>
    <main first="bofaddin.rtdserver">
      <tp t="s">
        <v>#N/A N/A</v>
        <stp/>
        <stp>BDP|3592223715196054713</stp>
        <tr r="S9" s="3"/>
      </tp>
      <tp t="s">
        <v>#N/A N/A</v>
        <stp/>
        <stp>BDH|8210383396181851276</stp>
        <tr r="AD19" s="2"/>
      </tp>
      <tp t="s">
        <v>#N/A N/A</v>
        <stp/>
        <stp>BDH|2504497662910559184</stp>
        <tr r="F12" s="5"/>
        <tr r="F12" s="4"/>
      </tp>
      <tp t="s">
        <v>#N/A N/A</v>
        <stp/>
        <stp>BDP|9189693014859870644</stp>
        <tr r="J12" s="3"/>
      </tp>
      <tp t="s">
        <v>#N/A N/A</v>
        <stp/>
        <stp>BDH|5684727160676140355</stp>
        <tr r="AG25" s="2"/>
      </tp>
      <tp t="s">
        <v>#N/A N/A</v>
        <stp/>
        <stp>BDH|3254916212792152809</stp>
        <tr r="O9" s="5"/>
        <tr r="O9" s="4"/>
      </tp>
      <tp t="s">
        <v>#N/A N/A</v>
        <stp/>
        <stp>BDH|1618248373827233225</stp>
        <tr r="Z24" s="5"/>
        <tr r="Z24" s="4"/>
      </tp>
      <tp t="s">
        <v>#N/A N/A</v>
        <stp/>
        <stp>BDH|9291519027688647734</stp>
        <tr r="D24" s="2"/>
      </tp>
      <tp t="s">
        <v>#N/A N/A</v>
        <stp/>
        <stp>BDH|4774208536230458443</stp>
        <tr r="AB17" s="2"/>
      </tp>
      <tp t="s">
        <v>#N/A N/A</v>
        <stp/>
        <stp>BDH|1939953469218113759</stp>
        <tr r="C10" s="5"/>
        <tr r="C10" s="4"/>
      </tp>
      <tp t="s">
        <v>#N/A N/A</v>
        <stp/>
        <stp>BDH|1775639391098302771</stp>
        <tr r="L14" s="5"/>
        <tr r="L14" s="4"/>
      </tp>
      <tp t="s">
        <v>#N/A N/A</v>
        <stp/>
        <stp>BDP|6831631480968996143</stp>
        <tr r="S16" s="3"/>
      </tp>
      <tp t="s">
        <v>#N/A N/A</v>
        <stp/>
        <stp>BDH|6082770215372167355</stp>
        <tr r="Z20" s="5"/>
        <tr r="Z20" s="4"/>
      </tp>
      <tp t="s">
        <v>#N/A N/A</v>
        <stp/>
        <stp>BDH|2514191042117834109</stp>
        <tr r="AL18" s="5"/>
        <tr r="AL18" s="4"/>
      </tp>
      <tp t="s">
        <v>#N/A N/A</v>
        <stp/>
        <stp>BDH|1862085666806893093</stp>
        <tr r="H9" s="2"/>
      </tp>
      <tp t="s">
        <v>#N/A N/A</v>
        <stp/>
        <stp>BDH|8120388698953273044</stp>
        <tr r="I8" s="2"/>
      </tp>
      <tp t="s">
        <v>#N/A N/A</v>
        <stp/>
        <stp>BDH|3836095909690989268</stp>
        <tr r="AK26" s="2"/>
      </tp>
      <tp t="s">
        <v>#N/A N/A</v>
        <stp/>
        <stp>BDH|4366074700876706349</stp>
        <tr r="AA9" s="2"/>
      </tp>
      <tp t="s">
        <v>#N/A N/A</v>
        <stp/>
        <stp>BDH|9849680592586399162</stp>
        <tr r="I25" s="2"/>
      </tp>
      <tp t="s">
        <v>#N/A N/A</v>
        <stp/>
        <stp>BDH|4595915332707690844</stp>
        <tr r="Q12" s="5"/>
        <tr r="Q12" s="4"/>
      </tp>
      <tp t="s">
        <v>#N/A N/A</v>
        <stp/>
        <stp>BDH|1106248441594587240</stp>
        <tr r="AG21" s="2"/>
      </tp>
    </main>
    <main first="bofaddin.rtdserver">
      <tp t="s">
        <v>#N/A N/A</v>
        <stp/>
        <stp>BDH|15617277155851881</stp>
        <tr r="AM7" s="2"/>
      </tp>
      <tp t="s">
        <v>#N/A N/A</v>
        <stp/>
        <stp>BDH|5515000011184918279</stp>
        <tr r="AG10" s="2"/>
      </tp>
      <tp t="s">
        <v>#N/A N/A</v>
        <stp/>
        <stp>BDH|8477896428968605890</stp>
        <tr r="K21" s="5"/>
        <tr r="K21" s="4"/>
      </tp>
      <tp t="s">
        <v>#N/A N/A</v>
        <stp/>
        <stp>BDH|3519893525779516269</stp>
        <tr r="J18" s="5"/>
        <tr r="J18" s="4"/>
      </tp>
      <tp t="s">
        <v>#N/A N/A</v>
        <stp/>
        <stp>BDH|4092540431428912863</stp>
        <tr r="P21" s="5"/>
        <tr r="P21" s="4"/>
      </tp>
      <tp t="s">
        <v>#N/A N/A</v>
        <stp/>
        <stp>BDH|4231480216811044261</stp>
        <tr r="D21" s="2"/>
      </tp>
      <tp t="s">
        <v>#N/A N/A</v>
        <stp/>
        <stp>BDH|1875132669811357599</stp>
        <tr r="AD16" s="5"/>
        <tr r="AD16" s="4"/>
      </tp>
      <tp t="s">
        <v>#N/A N/A</v>
        <stp/>
        <stp>BDH|7614228612664885265</stp>
        <tr r="AM8" s="5"/>
        <tr r="AM8" s="4"/>
      </tp>
      <tp t="s">
        <v>#N/A N/A</v>
        <stp/>
        <stp>BDH|4074204941778172881</stp>
        <tr r="Q8" s="2"/>
      </tp>
      <tp t="s">
        <v>#N/A N/A</v>
        <stp/>
        <stp>BDH|7533097627895480272</stp>
        <tr r="S19" s="2"/>
      </tp>
      <tp t="s">
        <v>#N/A N/A</v>
        <stp/>
        <stp>BDH|9640154127340224882</stp>
        <tr r="I20" s="5"/>
        <tr r="I20" s="4"/>
      </tp>
      <tp t="s">
        <v>#N/A N/A</v>
        <stp/>
        <stp>BDH|1060665308923810683</stp>
        <tr r="AI25" s="5"/>
        <tr r="AI25" s="4"/>
      </tp>
      <tp t="s">
        <v>#N/A N/A</v>
        <stp/>
        <stp>BDP|1354626031673788586</stp>
        <tr r="U9" s="3"/>
      </tp>
      <tp t="s">
        <v>#N/A N/A</v>
        <stp/>
        <stp>BDP|9583458895397312194</stp>
        <tr r="X13" s="3"/>
      </tp>
      <tp t="s">
        <v>#N/A N/A</v>
        <stp/>
        <stp>BDH|8501412149043340924</stp>
        <tr r="M18" s="5"/>
        <tr r="M18" s="4"/>
      </tp>
      <tp t="s">
        <v>#N/A N/A</v>
        <stp/>
        <stp>BDH|8445893201493090103</stp>
        <tr r="G13" s="5"/>
        <tr r="G13" s="4"/>
      </tp>
      <tp t="s">
        <v>#N/A N/A</v>
        <stp/>
        <stp>BDH|2528548662634853772</stp>
        <tr r="F8" s="5"/>
        <tr r="F8" s="4"/>
      </tp>
      <tp t="s">
        <v>#N/A N/A</v>
        <stp/>
        <stp>BDH|4669957662720934948</stp>
        <tr r="AI17" s="5"/>
        <tr r="AI17" s="4"/>
      </tp>
      <tp t="s">
        <v>#N/A N/A</v>
        <stp/>
        <stp>BDH|3640091406424285576</stp>
        <tr r="O17" s="2"/>
      </tp>
      <tp t="s">
        <v>#N/A N/A</v>
        <stp/>
        <stp>BDP|9448426794337685199</stp>
        <tr r="X17" s="3"/>
      </tp>
      <tp t="s">
        <v>#N/A N/A</v>
        <stp/>
        <stp>BDH|4361593858231709780</stp>
        <tr r="L10" s="5"/>
        <tr r="L10" s="4"/>
      </tp>
      <tp t="s">
        <v>#N/A N/A</v>
        <stp/>
        <stp>BDH|3877156066490603609</stp>
        <tr r="AN24" s="5"/>
        <tr r="AN24" s="4"/>
      </tp>
      <tp t="s">
        <v>#N/A N/A</v>
        <stp/>
        <stp>BDH|7866175184588596433</stp>
        <tr r="O13" s="2"/>
      </tp>
      <tp t="s">
        <v>#N/A N/A</v>
        <stp/>
        <stp>BDP|5544434496919744353</stp>
        <tr r="AC16" s="3"/>
      </tp>
      <tp t="s">
        <v>#N/A N/A</v>
        <stp/>
        <stp>BDH|7432661765802197740</stp>
        <tr r="I25" s="5"/>
        <tr r="I25" s="4"/>
      </tp>
      <tp t="s">
        <v>#N/A N/A</v>
        <stp/>
        <stp>BDH|9164108090695082635</stp>
        <tr r="AL14" s="2"/>
      </tp>
      <tp t="s">
        <v>#N/A N/A</v>
        <stp/>
        <stp>BDH|9587275860227009806</stp>
        <tr r="N26" s="5"/>
        <tr r="N26" s="4"/>
      </tp>
      <tp t="s">
        <v>#N/A N/A</v>
        <stp/>
        <stp>BDH|2279345016963743155</stp>
        <tr r="S17" s="2"/>
      </tp>
      <tp t="s">
        <v>#N/A N/A</v>
        <stp/>
        <stp>BDH|3214681078943963393</stp>
        <tr r="AD26" s="5"/>
        <tr r="AD26" s="4"/>
      </tp>
      <tp t="s">
        <v>#N/A N/A</v>
        <stp/>
        <stp>BDH|5732062822336257326</stp>
        <tr r="G8" s="5"/>
        <tr r="G8" s="4"/>
      </tp>
      <tp t="s">
        <v>#N/A N/A</v>
        <stp/>
        <stp>BDH|8051928140871388629</stp>
        <tr r="AK21" s="5"/>
        <tr r="AK21" s="4"/>
      </tp>
      <tp t="s">
        <v>#N/A N/A</v>
        <stp/>
        <stp>BDH|3806366036185228492</stp>
        <tr r="AM22" s="5"/>
        <tr r="AM22" s="4"/>
      </tp>
      <tp t="s">
        <v>#N/A N/A</v>
        <stp/>
        <stp>BDP|1116983982395387784</stp>
        <tr r="M10" s="3"/>
      </tp>
      <tp t="s">
        <v>#N/A N/A</v>
        <stp/>
        <stp>BDP|8715557386213347473</stp>
        <tr r="AM16" s="3"/>
      </tp>
      <tp t="s">
        <v>#N/A N/A</v>
        <stp/>
        <stp>BDH|7912410594160511896</stp>
        <tr r="C8" s="2"/>
      </tp>
      <tp t="s">
        <v>#N/A N/A</v>
        <stp/>
        <stp>BDH|4695444702851988395</stp>
        <tr r="J8" s="2"/>
      </tp>
      <tp t="s">
        <v>#N/A N/A</v>
        <stp/>
        <stp>BDH|2786389203073591092</stp>
        <tr r="AN8" s="2"/>
      </tp>
      <tp t="s">
        <v>#N/A N/A</v>
        <stp/>
        <stp>BDP|1754831122820418935</stp>
        <tr r="AG10" s="3"/>
      </tp>
      <tp t="s">
        <v>#N/A N/A</v>
        <stp/>
        <stp>BDH|8582556619147010988</stp>
        <tr r="M19" s="2"/>
      </tp>
      <tp t="s">
        <v>#N/A N/A</v>
        <stp/>
        <stp>BDH|6583899126149578797</stp>
        <tr r="AK24" s="2"/>
      </tp>
      <tp t="s">
        <v>#N/A N/A</v>
        <stp/>
        <stp>BDH|4461223016135495028</stp>
        <tr r="D9" s="5"/>
        <tr r="D9" s="4"/>
      </tp>
      <tp t="s">
        <v>#N/A N/A</v>
        <stp/>
        <stp>BDH|2216969818141858929</stp>
        <tr r="E8" s="5"/>
        <tr r="E8" s="4"/>
      </tp>
      <tp t="s">
        <v>#N/A N/A</v>
        <stp/>
        <stp>BDH|1240536066037139705</stp>
        <tr r="L12" s="5"/>
        <tr r="L12" s="4"/>
      </tp>
      <tp t="s">
        <v>#N/A N/A</v>
        <stp/>
        <stp>BDH|6468506656182415608</stp>
        <tr r="F14" s="5"/>
        <tr r="F14" s="4"/>
      </tp>
      <tp t="s">
        <v>#N/A N/A</v>
        <stp/>
        <stp>BDH|6503554757945420150</stp>
        <tr r="AN18" s="5"/>
        <tr r="AN18" s="4"/>
      </tp>
      <tp t="s">
        <v>#N/A N/A</v>
        <stp/>
        <stp>BDP|1494645558213969366</stp>
        <tr r="N13" s="3"/>
      </tp>
      <tp t="s">
        <v>#N/A N/A</v>
        <stp/>
        <stp>BDP|6228790409104763722</stp>
        <tr r="H13" s="3"/>
      </tp>
      <tp t="s">
        <v>#N/A N/A</v>
        <stp/>
        <stp>BDH|4378015118660497798</stp>
        <tr r="J14" s="5"/>
        <tr r="J14" s="4"/>
      </tp>
      <tp t="s">
        <v>#N/A N/A</v>
        <stp/>
        <stp>BDH|6693140044226410753</stp>
        <tr r="AJ8" s="5"/>
        <tr r="AJ8" s="4"/>
      </tp>
      <tp t="s">
        <v>#N/A N/A</v>
        <stp/>
        <stp>BDH|5322771715545180476</stp>
        <tr r="AL20" s="2"/>
      </tp>
      <tp t="s">
        <v>#N/A N/A</v>
        <stp/>
        <stp>BDH|8530255426703361929</stp>
        <tr r="V26" s="2"/>
      </tp>
      <tp t="s">
        <v>#N/A N/A</v>
        <stp/>
        <stp>BDH|8257623392010564530</stp>
        <tr r="M22" s="5"/>
        <tr r="M22" s="4"/>
      </tp>
      <tp t="s">
        <v>#N/A N/A</v>
        <stp/>
        <stp>BDH|6504407504051270176</stp>
        <tr r="AP8" s="2"/>
      </tp>
      <tp t="s">
        <v>#N/A N/A</v>
        <stp/>
        <stp>BDH|6903626243022890443</stp>
        <tr r="AK19" s="2"/>
      </tp>
      <tp t="s">
        <v>#N/A N/A</v>
        <stp/>
        <stp>BDH|7081157751768075901</stp>
        <tr r="F18" s="5"/>
        <tr r="F18" s="4"/>
      </tp>
      <tp t="s">
        <v>#N/A N/A</v>
        <stp/>
        <stp>BDH|9132374101851401971</stp>
        <tr r="O7" s="2"/>
      </tp>
      <tp t="s">
        <v>#N/A N/A</v>
        <stp/>
        <stp>BDH|6182937335899772752</stp>
        <tr r="AC18" s="5"/>
        <tr r="AC18" s="4"/>
      </tp>
      <tp t="s">
        <v>#N/A N/A</v>
        <stp/>
        <stp>BDH|5036712174701149614</stp>
        <tr r="Y17" s="2"/>
      </tp>
      <tp t="s">
        <v>#N/A N/A</v>
        <stp/>
        <stp>BDH|9625982686969960346</stp>
        <tr r="H18" s="5"/>
        <tr r="H18" s="4"/>
      </tp>
      <tp t="s">
        <v>#N/A N/A</v>
        <stp/>
        <stp>BDH|3258338901627500506</stp>
        <tr r="T24" s="2"/>
      </tp>
      <tp t="s">
        <v>#N/A N/A</v>
        <stp/>
        <stp>BDH|24366789736078294</stp>
        <tr r="AE13" s="5"/>
        <tr r="AE13" s="4"/>
      </tp>
      <tp t="s">
        <v>#N/A N/A</v>
        <stp/>
        <stp>BDP|6887243126167620263</stp>
        <tr r="T17" s="3"/>
      </tp>
      <tp t="s">
        <v>#N/A N/A</v>
        <stp/>
        <stp>BDH|5042001496177887845</stp>
        <tr r="G17" s="5"/>
        <tr r="G17" s="4"/>
      </tp>
      <tp t="s">
        <v>#N/A N/A</v>
        <stp/>
        <stp>BDH|5676230888909450537</stp>
        <tr r="K9" s="2"/>
      </tp>
      <tp t="s">
        <v>#N/A N/A</v>
        <stp/>
        <stp>BDP|2509293227320805183</stp>
        <tr r="AG12" s="3"/>
      </tp>
      <tp t="s">
        <v>#N/A N/A</v>
        <stp/>
        <stp>BDH|6248689064190187545</stp>
        <tr r="AG24" s="2"/>
      </tp>
      <tp t="s">
        <v>#N/A N/A</v>
        <stp/>
        <stp>BDH|8481397490980213148</stp>
        <tr r="N18" s="5"/>
        <tr r="N18" s="4"/>
      </tp>
      <tp t="s">
        <v>#N/A N/A</v>
        <stp/>
        <stp>BDH|9915554354322205818</stp>
        <tr r="F9" s="5"/>
        <tr r="F9" s="4"/>
      </tp>
      <tp t="s">
        <v>#N/A N/A</v>
        <stp/>
        <stp>BDH|9806634087022653622</stp>
        <tr r="AO10" s="2"/>
      </tp>
      <tp t="s">
        <v>#N/A N/A</v>
        <stp/>
        <stp>BDH|8418178989694794653</stp>
        <tr r="X6" s="5"/>
        <tr r="X6" s="4"/>
      </tp>
      <tp t="s">
        <v>#N/A N/A</v>
        <stp/>
        <stp>BDP|2360257148306521128</stp>
        <tr r="H9" s="3"/>
      </tp>
      <tp t="s">
        <v>#N/A N/A</v>
        <stp/>
        <stp>BDH|2835222261592578772</stp>
        <tr r="C14" s="5"/>
        <tr r="C14" s="4"/>
      </tp>
      <tp t="s">
        <v>#N/A N/A</v>
        <stp/>
        <stp>BDH|3764660390777857802</stp>
        <tr r="AE18" s="2"/>
      </tp>
      <tp t="s">
        <v>#N/A N/A</v>
        <stp/>
        <stp>BDH|2290062963657813061</stp>
        <tr r="F7" s="5"/>
        <tr r="F7" s="4"/>
      </tp>
      <tp t="s">
        <v>#N/A N/A</v>
        <stp/>
        <stp>BDP|3643751700121451698</stp>
        <tr r="D12" s="3"/>
      </tp>
      <tp t="s">
        <v>#N/A N/A</v>
        <stp/>
        <stp>BDH|9743941555210068688</stp>
        <tr r="D8" s="5"/>
        <tr r="D8" s="4"/>
      </tp>
      <tp t="s">
        <v>#N/A N/A</v>
        <stp/>
        <stp>BDH|5348109539154012041</stp>
        <tr r="H24" s="2"/>
      </tp>
      <tp t="s">
        <v>#N/A N/A</v>
        <stp/>
        <stp>BDP|9068951344872779598</stp>
        <tr r="K12" s="3"/>
      </tp>
      <tp t="s">
        <v>#N/A N/A</v>
        <stp/>
        <stp>BDP|1251246732947205499</stp>
        <tr r="AC13" s="3"/>
      </tp>
      <tp t="s">
        <v>#N/A N/A</v>
        <stp/>
        <stp>BDH|1078074124142556296</stp>
        <tr r="H14" s="5"/>
        <tr r="H14" s="4"/>
      </tp>
      <tp t="s">
        <v>#N/A N/A</v>
        <stp/>
        <stp>BDH|4622545804723858115</stp>
        <tr r="AH26" s="5"/>
        <tr r="AH26" s="4"/>
      </tp>
      <tp t="s">
        <v>#N/A N/A</v>
        <stp/>
        <stp>BDH|2489857593845963546</stp>
        <tr r="E18" s="2"/>
      </tp>
      <tp t="s">
        <v>#N/A N/A</v>
        <stp/>
        <stp>BDH|2942183412268936959</stp>
        <tr r="AC26" s="2"/>
      </tp>
      <tp t="s">
        <v>#N/A N/A</v>
        <stp/>
        <stp>BDH|1436945325539862014</stp>
        <tr r="M20" s="5"/>
        <tr r="M20" s="4"/>
      </tp>
      <tp t="s">
        <v>#N/A N/A</v>
        <stp/>
        <stp>BDH|5728947784766267192</stp>
        <tr r="AI22" s="5"/>
        <tr r="AI22" s="4"/>
      </tp>
      <tp t="s">
        <v>#N/A N/A</v>
        <stp/>
        <stp>BDP|4310763818640753178</stp>
        <tr r="AM13" s="3"/>
      </tp>
      <tp t="s">
        <v>#N/A N/A</v>
        <stp/>
        <stp>BDH|4377834170768404093</stp>
        <tr r="AC9" s="5"/>
        <tr r="AC9" s="4"/>
      </tp>
      <tp t="s">
        <v>#N/A N/A</v>
        <stp/>
        <stp>BDH|5794326246811159008</stp>
        <tr r="F13" s="2"/>
      </tp>
      <tp t="s">
        <v>#N/A N/A</v>
        <stp/>
        <stp>BDH|2996616281009944627</stp>
        <tr r="AM21" s="5"/>
        <tr r="AM21" s="4"/>
      </tp>
      <tp t="s">
        <v>#N/A N/A</v>
        <stp/>
        <stp>BDH|6944414035050814260</stp>
        <tr r="Z22" s="5"/>
        <tr r="Z22" s="4"/>
      </tp>
      <tp t="s">
        <v>#N/A N/A</v>
        <stp/>
        <stp>BDH|5068507736402369266</stp>
        <tr r="K21" s="2"/>
      </tp>
      <tp t="s">
        <v>#N/A N/A</v>
        <stp/>
        <stp>BDH|5720723854581750555</stp>
        <tr r="AP16" s="2"/>
      </tp>
      <tp t="s">
        <v>#N/A N/A</v>
        <stp/>
        <stp>BDH|8767968981809689355</stp>
        <tr r="M10" s="2"/>
      </tp>
      <tp t="s">
        <v>#N/A N/A</v>
        <stp/>
        <stp>BDH|7063355955993662152</stp>
        <tr r="I10" s="2"/>
      </tp>
      <tp t="s">
        <v>#N/A N/A</v>
        <stp/>
        <stp>BDH|8439569714899219641</stp>
        <tr r="N14" s="2"/>
      </tp>
      <tp t="s">
        <v>#N/A N/A</v>
        <stp/>
        <stp>BDH|2655764565147567700</stp>
        <tr r="AD20" s="2"/>
      </tp>
      <tp t="s">
        <v>#N/A N/A</v>
        <stp/>
        <stp>BDH|3594969482715492457</stp>
        <tr r="AE21" s="2"/>
      </tp>
      <tp t="s">
        <v>#N/A N/A</v>
        <stp/>
        <stp>BDH|3234659679750859163</stp>
        <tr r="AL25" s="2"/>
      </tp>
      <tp t="s">
        <v>#N/A N/A</v>
        <stp/>
        <stp>BDP|8856853349514627332</stp>
        <tr r="AL10" s="3"/>
      </tp>
      <tp t="s">
        <v>#N/A N/A</v>
        <stp/>
        <stp>BDP|9245775061202068957</stp>
        <tr r="AJ9" s="3"/>
      </tp>
      <tp t="s">
        <v>#N/A N/A</v>
        <stp/>
        <stp>BDH|2204382868734577065</stp>
        <tr r="T25" s="5"/>
        <tr r="T25" s="4"/>
      </tp>
      <tp t="s">
        <v>#N/A N/A</v>
        <stp/>
        <stp>BDH|5753604121920255252</stp>
        <tr r="N18" s="2"/>
      </tp>
      <tp t="s">
        <v>#N/A N/A</v>
        <stp/>
        <stp>BDP|3179314559664820277</stp>
        <tr r="J16" s="3"/>
      </tp>
      <tp t="s">
        <v>#N/A N/A</v>
        <stp/>
        <stp>BDP|6627575499569675081</stp>
        <tr r="AD10" s="3"/>
      </tp>
      <tp t="s">
        <v>#N/A N/A</v>
        <stp/>
        <stp>BDH|5339172326756018344</stp>
        <tr r="N17" s="2"/>
      </tp>
      <tp t="s">
        <v>#N/A N/A</v>
        <stp/>
        <stp>BDH|5269894146802956828</stp>
        <tr r="AN6" s="5"/>
        <tr r="AN6" s="4"/>
      </tp>
      <tp t="s">
        <v>#N/A N/A</v>
        <stp/>
        <stp>BDH|1379024464821303504</stp>
        <tr r="Z20" s="2"/>
      </tp>
      <tp t="s">
        <v>#N/A N/A</v>
        <stp/>
        <stp>BDP|8048249681704256504</stp>
        <tr r="AD13" s="3"/>
      </tp>
      <tp t="s">
        <v>#N/A N/A</v>
        <stp/>
        <stp>BDP|1661822161204215803</stp>
        <tr r="AO16" s="3"/>
      </tp>
      <tp t="s">
        <v>#N/A N/A</v>
        <stp/>
        <stp>BDH|3199516470961136360</stp>
        <tr r="AD6" s="5"/>
        <tr r="AD6" s="4"/>
      </tp>
      <tp t="s">
        <v>#N/A N/A</v>
        <stp/>
        <stp>BDH|5135890994076385187</stp>
        <tr r="L10" s="2"/>
      </tp>
      <tp t="s">
        <v>#N/A N/A</v>
        <stp/>
        <stp>BDH|6422684819922320011</stp>
        <tr r="F21" s="2"/>
      </tp>
      <tp t="s">
        <v>#N/A N/A</v>
        <stp/>
        <stp>BDH|1201114388473979859</stp>
        <tr r="AN12" s="5"/>
        <tr r="AN12" s="4"/>
      </tp>
      <tp t="s">
        <v>#N/A N/A</v>
        <stp/>
        <stp>BDP|2494063020515079661</stp>
        <tr r="W16" s="3"/>
      </tp>
      <tp t="s">
        <v>#N/A N/A</v>
        <stp/>
        <stp>BDH|1032369166605041249</stp>
        <tr r="N24" s="5"/>
        <tr r="N24" s="4"/>
      </tp>
      <tp t="s">
        <v>#N/A N/A</v>
        <stp/>
        <stp>BDP|5735706965745722201</stp>
        <tr r="Q12" s="3"/>
      </tp>
      <tp t="s">
        <v>#N/A N/A</v>
        <stp/>
        <stp>BDH|3338526832815113378</stp>
        <tr r="X26" s="2"/>
      </tp>
      <tp t="s">
        <v>#N/A N/A</v>
        <stp/>
        <stp>BDH|7292209506522457459</stp>
        <tr r="Z7" s="2"/>
      </tp>
      <tp t="s">
        <v>#N/A N/A</v>
        <stp/>
        <stp>BDH|5203491847906165083</stp>
        <tr r="S25" s="2"/>
      </tp>
    </main>
    <main first="bofaddin.rtdserver">
      <tp t="s">
        <v>#N/A N/A</v>
        <stp/>
        <stp>BDH|790078091264816868</stp>
        <tr r="Y20" s="5"/>
        <tr r="Y20" s="4"/>
      </tp>
      <tp t="s">
        <v>#N/A N/A</v>
        <stp/>
        <stp>BDH|134748869742144646</stp>
        <tr r="Z9" s="2"/>
      </tp>
      <tp t="s">
        <v>#N/A N/A</v>
        <stp/>
        <stp>BDH|681592444777822385</stp>
        <tr r="AP21" s="5"/>
        <tr r="AP21" s="4"/>
      </tp>
      <tp t="s">
        <v>#N/A N/A</v>
        <stp/>
        <stp>BDH|422845990296054249</stp>
        <tr r="AF25" s="2"/>
      </tp>
      <tp t="s">
        <v>#N/A N/A</v>
        <stp/>
        <stp>BDH|708159641589200946</stp>
        <tr r="AM17" s="2"/>
      </tp>
      <tp t="s">
        <v>#N/A N/A</v>
        <stp/>
        <stp>BDH|448457860965162252</stp>
        <tr r="I7" s="5"/>
        <tr r="I7" s="4"/>
      </tp>
      <tp t="s">
        <v>#N/A N/A</v>
        <stp/>
        <stp>BDH|408437343720230480</stp>
        <tr r="U22" s="5"/>
        <tr r="U22" s="4"/>
      </tp>
      <tp t="s">
        <v>#N/A N/A</v>
        <stp/>
        <stp>BDH|916624418803611000</stp>
        <tr r="AF6" s="5"/>
        <tr r="AF6" s="4"/>
      </tp>
      <tp t="s">
        <v>#N/A N/A</v>
        <stp/>
        <stp>BDH|951336929970361519</stp>
        <tr r="L16" s="2"/>
      </tp>
      <tp t="s">
        <v>#N/A N/A</v>
        <stp/>
        <stp>BDP|720262422932041628</stp>
        <tr r="AO13" s="3"/>
      </tp>
      <tp t="s">
        <v>#N/A N/A</v>
        <stp/>
        <stp>BDP|224523191400040838</stp>
        <tr r="R16" s="3"/>
      </tp>
      <tp t="s">
        <v>#N/A N/A</v>
        <stp/>
        <stp>BDH|808748393561259810</stp>
        <tr r="S21" s="2"/>
      </tp>
      <tp t="s">
        <v>#N/A N/A</v>
        <stp/>
        <stp>BDH|339806362450548988</stp>
        <tr r="AE10" s="5"/>
        <tr r="AE10" s="4"/>
      </tp>
      <tp t="s">
        <v>#N/A N/A</v>
        <stp/>
        <stp>BDH|863501527556014666</stp>
        <tr r="AN13" s="2"/>
      </tp>
      <tp t="s">
        <v>#N/A N/A</v>
        <stp/>
        <stp>BDH|499206515483456716</stp>
        <tr r="E24" s="5"/>
        <tr r="E24" s="4"/>
      </tp>
      <tp t="s">
        <v>#N/A N/A</v>
        <stp/>
        <stp>BDH|770764365942581407</stp>
        <tr r="O24" s="2"/>
      </tp>
    </main>
    <main first="bofaddin.rtdserver">
      <tp t="s">
        <v>#N/A N/A</v>
        <stp/>
        <stp>BDH|466300711370383490</stp>
        <tr r="K20" s="5"/>
        <tr r="K20" s="4"/>
      </tp>
      <tp t="s">
        <v>#N/A N/A</v>
        <stp/>
        <stp>BDH|868127645073150079</stp>
        <tr r="O20" s="5"/>
        <tr r="O20" s="4"/>
      </tp>
      <tp t="s">
        <v>#N/A N/A</v>
        <stp/>
        <stp>BDH|344585014916819429</stp>
        <tr r="O8" s="5"/>
        <tr r="O8" s="4"/>
      </tp>
      <tp t="s">
        <v>#N/A N/A</v>
        <stp/>
        <stp>BDH|383365242907132668</stp>
        <tr r="I14" s="2"/>
      </tp>
    </main>
    <main first="bofaddin.rtdserver">
      <tp t="s">
        <v>#N/A N/A</v>
        <stp/>
        <stp>BDH|884482428460453719</stp>
        <tr r="O14" s="2"/>
      </tp>
      <tp t="s">
        <v>#N/A N/A</v>
        <stp/>
        <stp>BDH|996338250115334242</stp>
        <tr r="E18" s="5"/>
        <tr r="E18" s="4"/>
      </tp>
      <tp t="s">
        <v>#N/A N/A</v>
        <stp/>
        <stp>BDH|557493519822213629</stp>
        <tr r="AE18" s="5"/>
        <tr r="AE18" s="4"/>
      </tp>
      <tp t="s">
        <v>#N/A N/A</v>
        <stp/>
        <stp>BDH|287340642595732357</stp>
        <tr r="AM18" s="5"/>
        <tr r="AM18" s="4"/>
      </tp>
    </main>
    <main first="bofaddin.rtdserver">
      <tp t="s">
        <v>#N/A N/A</v>
        <stp/>
        <stp>BDH|369536862073669084</stp>
        <tr r="Y12" s="5"/>
        <tr r="Y12" s="4"/>
      </tp>
      <tp t="s">
        <v>#N/A N/A</v>
        <stp/>
        <stp>BDH|755073727041506385</stp>
        <tr r="AD7" s="2"/>
      </tp>
      <tp t="s">
        <v>#N/A N/A</v>
        <stp/>
        <stp>BDH|875091579506107137</stp>
        <tr r="AH20" s="5"/>
        <tr r="AH20" s="4"/>
      </tp>
      <tp t="s">
        <v>#N/A N/A</v>
        <stp/>
        <stp>BDH|689472791778790532</stp>
        <tr r="C20" s="2"/>
      </tp>
      <tp t="s">
        <v>#N/A N/A</v>
        <stp/>
        <stp>BDH|454519751865461557</stp>
        <tr r="S26" s="5"/>
        <tr r="S26" s="4"/>
      </tp>
      <tp t="s">
        <v>#N/A N/A</v>
        <stp/>
        <stp>BDH|177090662860883659</stp>
        <tr r="AF13" s="5"/>
        <tr r="AF13" s="4"/>
      </tp>
    </main>
    <main first="bofaddin.rtdserver">
      <tp t="s">
        <v>#N/A N/A</v>
        <stp/>
        <stp>BDH|211582832083004650</stp>
        <tr r="K18" s="5"/>
        <tr r="K18" s="4"/>
      </tp>
      <tp t="s">
        <v>#N/A N/A</v>
        <stp/>
        <stp>BDH|123637869117133459</stp>
        <tr r="G24" s="5"/>
        <tr r="G24" s="4"/>
      </tp>
      <tp t="s">
        <v>#N/A N/A</v>
        <stp/>
        <stp>BDH|114278507239481850</stp>
        <tr r="AH13" s="2"/>
      </tp>
      <tp t="s">
        <v>#N/A N/A</v>
        <stp/>
        <stp>BDH|799065713034712677</stp>
        <tr r="AP7" s="2"/>
      </tp>
    </main>
    <main first="bofaddin.rtdserver">
      <tp t="s">
        <v>#N/A N/A</v>
        <stp/>
        <stp>BDH|473582782946071916</stp>
        <tr r="AB20" s="5"/>
        <tr r="AB20" s="4"/>
      </tp>
      <tp t="s">
        <v>#N/A N/A</v>
        <stp/>
        <stp>BDH|469454533294134191</stp>
        <tr r="AM25" s="2"/>
      </tp>
      <tp t="s">
        <v>#N/A N/A</v>
        <stp/>
        <stp>BDP|832409365392165272</stp>
        <tr r="AN12" s="3"/>
      </tp>
      <tp t="s">
        <v>#N/A N/A</v>
        <stp/>
        <stp>BDH|155379907890162179</stp>
        <tr r="AF7" s="5"/>
        <tr r="AF7" s="4"/>
      </tp>
      <tp t="s">
        <v>#N/A N/A</v>
        <stp/>
        <stp>BDH|387162616396355404</stp>
        <tr r="R10" s="5"/>
        <tr r="R10" s="4"/>
      </tp>
    </main>
    <main first="bofaddin.rtdserver">
      <tp t="s">
        <v>#N/A N/A</v>
        <stp/>
        <stp>BDH|276559536538809335</stp>
        <tr r="AH14" s="5"/>
        <tr r="AH14" s="4"/>
      </tp>
      <tp t="s">
        <v>#N/A N/A</v>
        <stp/>
        <stp>BDP|143674750266979846</stp>
        <tr r="F10" s="3"/>
      </tp>
      <tp t="s">
        <v>#N/A N/A</v>
        <stp/>
        <stp>BDH|585189429297150922</stp>
        <tr r="AI26" s="5"/>
        <tr r="AI26" s="4"/>
      </tp>
      <tp t="s">
        <v>#N/A N/A</v>
        <stp/>
        <stp>BDH|398153894733240622</stp>
        <tr r="AJ9" s="2"/>
      </tp>
      <tp t="s">
        <v>#N/A N/A</v>
        <stp/>
        <stp>BDH|659405240155078848</stp>
        <tr r="L24" s="2"/>
      </tp>
      <tp t="s">
        <v>#N/A N/A</v>
        <stp/>
        <stp>BDP|427557152064007902</stp>
        <tr r="AK13" s="3"/>
      </tp>
      <tp t="s">
        <v>#N/A N/A</v>
        <stp/>
        <stp>BDH|909838709061848546</stp>
        <tr r="AD7" s="5"/>
        <tr r="AD7" s="4"/>
      </tp>
    </main>
    <main first="bofaddin.rtdserver">
      <tp t="s">
        <v>#N/A N/A</v>
        <stp/>
        <stp>BDH|254652460504688850</stp>
        <tr r="U12" s="5"/>
        <tr r="U12" s="4"/>
      </tp>
    </main>
    <main first="bofaddin.rtdserver">
      <tp t="s">
        <v>#N/A N/A</v>
        <stp/>
        <stp>BDH|810067886466252145</stp>
        <tr r="W25" s="5"/>
        <tr r="W25" s="4"/>
      </tp>
    </main>
    <main first="bofaddin.rtdserver">
      <tp t="s">
        <v>#N/A N/A</v>
        <stp/>
        <stp>BDH|935822439952910631</stp>
        <tr r="AH20" s="2"/>
      </tp>
      <tp t="s">
        <v>#N/A N/A</v>
        <stp/>
        <stp>BDH|702223832746236823</stp>
        <tr r="AO24" s="2"/>
      </tp>
      <tp t="s">
        <v>#N/A N/A</v>
        <stp/>
        <stp>BDH|863021551823489824</stp>
        <tr r="K14" s="5"/>
        <tr r="K14" s="4"/>
      </tp>
      <tp t="s">
        <v>#N/A N/A</v>
        <stp/>
        <stp>BDH|405299100934078801</stp>
        <tr r="T7" s="5"/>
        <tr r="T7" s="4"/>
      </tp>
      <tp t="s">
        <v>#N/A N/A</v>
        <stp/>
        <stp>BDH|665956669699195868</stp>
        <tr r="AI7" s="5"/>
        <tr r="AI7" s="4"/>
      </tp>
      <tp t="s">
        <v>#N/A N/A</v>
        <stp/>
        <stp>BDH|476913064182845369</stp>
        <tr r="S20" s="2"/>
      </tp>
    </main>
    <main first="bofaddin.rtdserver">
      <tp t="s">
        <v>#N/A N/A</v>
        <stp/>
        <stp>BDH|409200308934542817</stp>
        <tr r="Z18" s="2"/>
      </tp>
      <tp t="s">
        <v>#N/A N/A</v>
        <stp/>
        <stp>BDP|495241660283062964</stp>
        <tr r="J17" s="3"/>
      </tp>
    </main>
    <main first="bofaddin.rtdserver">
      <tp t="s">
        <v>#N/A N/A</v>
        <stp/>
        <stp>BDH|713986631150579336</stp>
        <tr r="D13" s="5"/>
        <tr r="D13" s="4"/>
      </tp>
      <tp t="s">
        <v>#N/A N/A</v>
        <stp/>
        <stp>BDH|797934704050852013</stp>
        <tr r="M13" s="2"/>
      </tp>
      <tp t="s">
        <v>#N/A N/A</v>
        <stp/>
        <stp>BDH|108112999084273432</stp>
        <tr r="D14" s="2"/>
      </tp>
      <tp t="s">
        <v>#N/A N/A</v>
        <stp/>
        <stp>BDH|556209125549116179</stp>
        <tr r="V6" s="5"/>
        <tr r="V6" s="4"/>
      </tp>
      <tp t="s">
        <v>#N/A N/A</v>
        <stp/>
        <stp>BDH|828610428865266921</stp>
        <tr r="AG21" s="5"/>
        <tr r="AG21" s="4"/>
      </tp>
    </main>
    <main first="bofaddin.rtdserver">
      <tp t="s">
        <v>#N/A N/A</v>
        <stp/>
        <stp>BDH|954367251199257479</stp>
        <tr r="AK16" s="2"/>
      </tp>
      <tp t="s">
        <v>#N/A N/A</v>
        <stp/>
        <stp>BDH|849409190546935055</stp>
        <tr r="P10" s="5"/>
        <tr r="P10" s="4"/>
      </tp>
      <tp t="s">
        <v>#N/A N/A</v>
        <stp/>
        <stp>BDP|926386400699032149</stp>
        <tr r="AN17" s="3"/>
      </tp>
      <tp t="s">
        <v>#N/A N/A</v>
        <stp/>
        <stp>BDH|139708819039477492</stp>
        <tr r="Y21" s="5"/>
        <tr r="Y21" s="4"/>
      </tp>
      <tp t="s">
        <v>#N/A N/A</v>
        <stp/>
        <stp>BDH|299573581920533647</stp>
        <tr r="U9" s="2"/>
      </tp>
    </main>
    <main first="bofaddin.rtdserver">
      <tp t="s">
        <v>#N/A N/A</v>
        <stp/>
        <stp>BDH|715339604141818800</stp>
        <tr r="AM20" s="5"/>
        <tr r="AM20" s="4"/>
      </tp>
      <tp t="s">
        <v>#N/A N/A</v>
        <stp/>
        <stp>BDH|429773445560914979</stp>
        <tr r="J22" s="5"/>
        <tr r="J22" s="4"/>
      </tp>
      <tp t="s">
        <v>#N/A N/A</v>
        <stp/>
        <stp>BDH|332828907472573053</stp>
        <tr r="AB16" s="2"/>
      </tp>
      <tp t="s">
        <v>#N/A N/A</v>
        <stp/>
        <stp>BDH|848366784324943541</stp>
        <tr r="AI20" s="5"/>
        <tr r="AI2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opLeftCell="U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_xll.BDH("CRM US Equity","RETURN_COM_EQY","FQ2 2012","FQ2 2012","Currency=USD","Period=FQ","BEST_FPERIOD_OVERRIDE=FQ","FILING_STATUS=MR","FA_ADJUSTED=GAAP","Sort=A","Dates=H","DateFormat=P","Fill=—","Direction=H","UseDPDF=Y")</f>
        <v>2.0547</v>
      </c>
      <c r="D7" s="21">
        <f>_xll.BDH("CRM US Equity","RETURN_COM_EQY","FQ3 2012","FQ3 2012","Currency=USD","Period=FQ","BEST_FPERIOD_OVERRIDE=FQ","FILING_STATUS=MR","FA_ADJUSTED=GAAP","Sort=A","Dates=H","DateFormat=P","Fill=—","Direction=H","UseDPDF=Y")</f>
        <v>0.24479999999999999</v>
      </c>
      <c r="E7" s="21">
        <f>_xll.BDH("CRM US Equity","RETURN_COM_EQY","FQ4 2012","FQ4 2012","Currency=USD","Period=FQ","BEST_FPERIOD_OVERRIDE=FQ","FILING_STATUS=MR","FA_ADJUSTED=GAAP","Sort=A","Dates=H","DateFormat=P","Fill=—","Direction=H","UseDPDF=Y")</f>
        <v>-0.78649999999999998</v>
      </c>
      <c r="F7" s="21">
        <f>_xll.BDH("CRM US Equity","RETURN_COM_EQY","FQ1 2013","FQ1 2013","Currency=USD","Period=FQ","BEST_FPERIOD_OVERRIDE=FQ","FILING_STATUS=MR","FA_ADJUSTED=GAAP","Sort=A","Dates=H","DateFormat=P","Fill=—","Direction=H","UseDPDF=Y")</f>
        <v>-1.9973000000000001</v>
      </c>
      <c r="G7" s="21">
        <f>_xll.BDH("CRM US Equity","RETURN_COM_EQY","FQ2 2013","FQ2 2013","Currency=USD","Period=FQ","BEST_FPERIOD_OVERRIDE=FQ","FILING_STATUS=MR","FA_ADJUSTED=GAAP","Sort=A","Dates=H","DateFormat=P","Fill=—","Direction=H","UseDPDF=Y")</f>
        <v>-2.1419999999999999</v>
      </c>
      <c r="H7" s="21">
        <f>_xll.BDH("CRM US Equity","RETURN_COM_EQY","FQ3 2013","FQ3 2013","Currency=USD","Period=FQ","BEST_FPERIOD_OVERRIDE=FQ","FILING_STATUS=MR","FA_ADJUSTED=GAAP","Sort=A","Dates=H","DateFormat=P","Fill=—","Direction=H","UseDPDF=Y")</f>
        <v>-13.613899999999999</v>
      </c>
      <c r="I7" s="21">
        <f>_xll.BDH("CRM US Equity","RETURN_COM_EQY","FQ4 2013","FQ4 2013","Currency=USD","Period=FQ","BEST_FPERIOD_OVERRIDE=FQ","FILING_STATUS=MR","FA_ADJUSTED=GAAP","Sort=A","Dates=H","DateFormat=P","Fill=—","Direction=H","UseDPDF=Y")</f>
        <v>-13.3972</v>
      </c>
      <c r="J7" s="21">
        <f>_xll.BDH("CRM US Equity","RETURN_COM_EQY","FQ1 2014","FQ1 2014","Currency=USD","Period=FQ","BEST_FPERIOD_OVERRIDE=FQ","FILING_STATUS=MR","FA_ADJUSTED=GAAP","Sort=A","Dates=H","DateFormat=P","Fill=—","Direction=H","UseDPDF=Y")</f>
        <v>-14.7554</v>
      </c>
      <c r="K7" s="21">
        <f>_xll.BDH("CRM US Equity","RETURN_COM_EQY","FQ2 2014","FQ2 2014","Currency=USD","Period=FQ","BEST_FPERIOD_OVERRIDE=FQ","FILING_STATUS=MR","FA_ADJUSTED=GAAP","Sort=A","Dates=H","DateFormat=P","Fill=—","Direction=H","UseDPDF=Y")</f>
        <v>-9.6417000000000002</v>
      </c>
      <c r="L7" s="21">
        <f>_xll.BDH("CRM US Equity","RETURN_COM_EQY","FQ3 2014","FQ3 2014","Currency=USD","Period=FQ","BEST_FPERIOD_OVERRIDE=FQ","FILING_STATUS=MR","FA_ADJUSTED=GAAP","Sort=A","Dates=H","DateFormat=P","Fill=—","Direction=H","UseDPDF=Y")</f>
        <v>-5.3597000000000001</v>
      </c>
      <c r="M7" s="21">
        <f>_xll.BDH("CRM US Equity","RETURN_COM_EQY","FQ4 2014","FQ4 2014","Currency=USD","Period=FQ","BEST_FPERIOD_OVERRIDE=FQ","FILING_STATUS=MR","FA_ADJUSTED=GAAP","Sort=A","Dates=H","DateFormat=P","Fill=—","Direction=H","UseDPDF=Y")</f>
        <v>-8.5413999999999994</v>
      </c>
      <c r="N7" s="21">
        <f>_xll.BDH("CRM US Equity","RETURN_COM_EQY","FQ1 2015","FQ1 2015","Currency=USD","Period=FQ","BEST_FPERIOD_OVERRIDE=FQ","FILING_STATUS=MR","FA_ADJUSTED=GAAP","Sort=A","Dates=H","DateFormat=P","Fill=—","Direction=H","UseDPDF=Y")</f>
        <v>-9.2490000000000006</v>
      </c>
      <c r="O7" s="21">
        <f>_xll.BDH("CRM US Equity","RETURN_COM_EQY","FQ2 2015","FQ2 2015","Currency=USD","Period=FQ","BEST_FPERIOD_OVERRIDE=FQ","FILING_STATUS=MR","FA_ADJUSTED=GAAP","Sort=A","Dates=H","DateFormat=P","Fill=—","Direction=H","UseDPDF=Y")</f>
        <v>-12.943999999999999</v>
      </c>
      <c r="P7" s="21">
        <f>_xll.BDH("CRM US Equity","RETURN_COM_EQY","FQ3 2015","FQ3 2015","Currency=USD","Period=FQ","BEST_FPERIOD_OVERRIDE=FQ","FILING_STATUS=MR","FA_ADJUSTED=GAAP","Sort=A","Dates=H","DateFormat=P","Fill=—","Direction=H","UseDPDF=Y")</f>
        <v>-9.3059999999999992</v>
      </c>
      <c r="Q7" s="21">
        <f>_xll.BDH("CRM US Equity","RETURN_COM_EQY","FQ4 2015","FQ4 2015","Currency=USD","Period=FQ","BEST_FPERIOD_OVERRIDE=FQ","FILING_STATUS=MR","FA_ADJUSTED=GAAP","Sort=A","Dates=H","DateFormat=P","Fill=—","Direction=H","UseDPDF=Y")</f>
        <v>-7.4622999999999999</v>
      </c>
      <c r="R7" s="21">
        <f>_xll.BDH("CRM US Equity","RETURN_COM_EQY","FQ1 2016","FQ1 2016","Currency=USD","Period=FQ","BEST_FPERIOD_OVERRIDE=FQ","FILING_STATUS=MR","FA_ADJUSTED=GAAP","Sort=A","Dates=H","DateFormat=P","Fill=—","Direction=H","UseDPDF=Y")</f>
        <v>-4.3834999999999997</v>
      </c>
      <c r="S7" s="21">
        <f>_xll.BDH("CRM US Equity","RETURN_COM_EQY","FQ2 2016","FQ2 2016","Currency=USD","Period=FQ","BEST_FPERIOD_OVERRIDE=FQ","FILING_STATUS=MR","FA_ADJUSTED=GAAP","Sort=A","Dates=H","DateFormat=P","Fill=—","Direction=H","UseDPDF=Y")</f>
        <v>-2.5871</v>
      </c>
      <c r="T7" s="21">
        <f>_xll.BDH("CRM US Equity","RETURN_COM_EQY","FQ3 2016","FQ3 2016","Currency=USD","Period=FQ","BEST_FPERIOD_OVERRIDE=FQ","FILING_STATUS=MR","FA_ADJUSTED=GAAP","Sort=A","Dates=H","DateFormat=P","Fill=—","Direction=H","UseDPDF=Y")</f>
        <v>-2.0529000000000002</v>
      </c>
      <c r="U7" s="21">
        <f>_xll.BDH("CRM US Equity","RETURN_COM_EQY","FQ4 2016","FQ4 2016","Currency=USD","Period=FQ","BEST_FPERIOD_OVERRIDE=FQ","FILING_STATUS=MR","FA_ADJUSTED=GAAP","Sort=A","Dates=H","DateFormat=P","Fill=—","Direction=H","UseDPDF=Y")</f>
        <v>-1.0565</v>
      </c>
      <c r="V7" s="21">
        <f>_xll.BDH("CRM US Equity","RETURN_COM_EQY","FQ1 2017","FQ1 2017","Currency=USD","Period=FQ","BEST_FPERIOD_OVERRIDE=FQ","FILING_STATUS=MR","FA_ADJUSTED=GAAP","Sort=A","Dates=H","DateFormat=P","Fill=—","Direction=H","UseDPDF=Y")</f>
        <v>-0.25990000000000002</v>
      </c>
      <c r="W7" s="21">
        <f>_xll.BDH("CRM US Equity","RETURN_COM_EQY","FQ2 2017","FQ2 2017","Currency=USD","Period=FQ","BEST_FPERIOD_OVERRIDE=FQ","FILING_STATUS=MR","FA_ADJUSTED=GAAP","Sort=A","Dates=H","DateFormat=P","Fill=—","Direction=H","UseDPDF=Y")</f>
        <v>4.0815000000000001</v>
      </c>
      <c r="X7" s="21">
        <f>_xll.BDH("CRM US Equity","RETURN_COM_EQY","FQ3 2017","FQ3 2017","Currency=USD","Period=FQ","BEST_FPERIOD_OVERRIDE=FQ","FILING_STATUS=MR","FA_ADJUSTED=GAAP","Sort=A","Dates=H","DateFormat=P","Fill=—","Direction=H","UseDPDF=Y")</f>
        <v>3.5577000000000001</v>
      </c>
      <c r="Y7" s="21">
        <f>_xll.BDH("CRM US Equity","RETURN_COM_EQY","FQ4 2017","FQ4 2017","Currency=USD","Period=FQ","BEST_FPERIOD_OVERRIDE=FQ","FILING_STATUS=MR","FA_ADJUSTED=GAAP","Sort=A","Dates=H","DateFormat=P","Fill=—","Direction=H","UseDPDF=Y")</f>
        <v>5.1668000000000003</v>
      </c>
      <c r="Z7" s="21">
        <f>_xll.BDH("CRM US Equity","RETURN_COM_EQY","FQ1 2018","FQ1 2018","Currency=USD","Period=FQ","BEST_FPERIOD_OVERRIDE=FQ","FILING_STATUS=MR","FA_ADJUSTED=GAAP","Sort=A","Dates=H","DateFormat=P","Fill=—","Direction=H","UseDPDF=Y")</f>
        <v>4.2199</v>
      </c>
      <c r="AA7" s="21">
        <f>_xll.BDH("CRM US Equity","RETURN_COM_EQY","FQ2 2018","FQ2 2018","Currency=USD","Period=FQ","BEST_FPERIOD_OVERRIDE=FQ","FILING_STATUS=MR","FA_ADJUSTED=GAAP","Sort=A","Dates=H","DateFormat=P","Fill=—","Direction=H","UseDPDF=Y")</f>
        <v>1.3919000000000001</v>
      </c>
      <c r="AB7" s="21">
        <f>_xll.BDH("CRM US Equity","RETURN_COM_EQY","FQ3 2018","FQ3 2018","Currency=USD","Period=FQ","BEST_FPERIOD_OVERRIDE=FQ","FILING_STATUS=MR","FA_ADJUSTED=GAAP","Sort=A","Dates=H","DateFormat=P","Fill=—","Direction=H","UseDPDF=Y")</f>
        <v>3.1457999999999999</v>
      </c>
      <c r="AC7" s="21">
        <f>_xll.BDH("CRM US Equity","RETURN_COM_EQY","FQ4 2018","FQ4 2018","Currency=USD","Period=FQ","BEST_FPERIOD_OVERRIDE=FQ","FILING_STATUS=MR","FA_ADJUSTED=GAAP","Sort=A","Dates=H","DateFormat=P","Fill=—","Direction=H","UseDPDF=Y")</f>
        <v>4.0277000000000003</v>
      </c>
      <c r="AD7" s="21">
        <f>_xll.BDH("CRM US Equity","RETURN_COM_EQY","FQ1 2019","FQ1 2019","Currency=USD","Period=FQ","BEST_FPERIOD_OVERRIDE=FQ","FILING_STATUS=MR","FA_ADJUSTED=GAAP","Sort=A","Dates=H","DateFormat=P","Fill=—","Direction=H","UseDPDF=Y")</f>
        <v>7.4020999999999999</v>
      </c>
      <c r="AE7" s="21">
        <f>_xll.BDH("CRM US Equity","RETURN_COM_EQY","FQ2 2019","FQ2 2019","Currency=USD","Period=FQ","BEST_FPERIOD_OVERRIDE=FQ","FILING_STATUS=MR","FA_ADJUSTED=GAAP","Sort=A","Dates=H","DateFormat=P","Fill=—","Direction=H","UseDPDF=Y")</f>
        <v>8.6922999999999995</v>
      </c>
      <c r="AF7" s="21">
        <f>_xll.BDH("CRM US Equity","RETURN_COM_EQY","FQ3 2019","FQ3 2019","Currency=USD","Period=FQ","BEST_FPERIOD_OVERRIDE=FQ","FILING_STATUS=MR","FA_ADJUSTED=GAAP","Sort=A","Dates=H","DateFormat=P","Fill=—","Direction=H","UseDPDF=Y")</f>
        <v>8.1113999999999997</v>
      </c>
      <c r="AG7" s="21">
        <f>_xll.BDH("CRM US Equity","RETURN_COM_EQY","FQ4 2019","FQ4 2019","Currency=USD","Period=FQ","BEST_FPERIOD_OVERRIDE=FQ","FILING_STATUS=MR","FA_ADJUSTED=GAAP","Sort=A","Dates=H","DateFormat=P","Fill=—","Direction=H","UseDPDF=Y")</f>
        <v>8.5447000000000006</v>
      </c>
      <c r="AH7" s="21">
        <f>_xll.BDH("CRM US Equity","RETURN_COM_EQY","FQ1 2020","FQ1 2020","Currency=USD","Period=FQ","BEST_FPERIOD_OVERRIDE=FQ","FILING_STATUS=MR","FA_ADJUSTED=GAAP","Sort=A","Dates=H","DateFormat=P","Fill=—","Direction=H","UseDPDF=Y")</f>
        <v>8.42</v>
      </c>
      <c r="AI7" s="21">
        <f>_xll.BDH("CRM US Equity","RETURN_COM_EQY","FQ2 2020","FQ2 2020","Currency=USD","Period=FQ","BEST_FPERIOD_OVERRIDE=FQ","FILING_STATUS=MR","FA_ADJUSTED=GAAP","Sort=A","Dates=H","DateFormat=P","Fill=—","Direction=H","UseDPDF=Y")</f>
        <v>6.1901000000000002</v>
      </c>
      <c r="AJ7" s="21">
        <f>_xll.BDH("CRM US Equity","RETURN_COM_EQY","FQ3 2020","FQ3 2020","Currency=USD","Period=FQ","BEST_FPERIOD_OVERRIDE=FQ","FILING_STATUS=MR","FA_ADJUSTED=GAAP","Sort=A","Dates=H","DateFormat=P","Fill=—","Direction=H","UseDPDF=Y")</f>
        <v>3.0685000000000002</v>
      </c>
      <c r="AK7" s="21">
        <f>_xll.BDH("CRM US Equity","RETURN_COM_EQY","FQ4 2020","FQ4 2020","Currency=USD","Period=FQ","BEST_FPERIOD_OVERRIDE=FQ","FILING_STATUS=MR","FA_ADJUSTED=GAAP","Sort=A","Dates=H","DateFormat=P","Fill=—","Direction=H","UseDPDF=Y")</f>
        <v>0.50919999999999999</v>
      </c>
      <c r="AL7" s="21">
        <f>_xll.BDH("CRM US Equity","RETURN_COM_EQY","FQ1 2021","FQ1 2021","Currency=USD","Period=FQ","BEST_FPERIOD_OVERRIDE=FQ","FILING_STATUS=MR","FA_ADJUSTED=GAAP","Sort=A","Dates=H","DateFormat=P","Fill=—","Direction=H","UseDPDF=Y")</f>
        <v>-0.65480000000000005</v>
      </c>
      <c r="AM7" s="21">
        <f>_xll.BDH("CRM US Equity","RETURN_COM_EQY","FQ2 2021","FQ2 2021","Currency=USD","Period=FQ","BEST_FPERIOD_OVERRIDE=FQ","FILING_STATUS=MR","FA_ADJUSTED=GAAP","Sort=A","Dates=H","DateFormat=P","Fill=—","Direction=H","UseDPDF=Y")</f>
        <v>8.5135000000000005</v>
      </c>
      <c r="AN7" s="21">
        <f>_xll.BDH("CRM US Equity","RETURN_COM_EQY","FQ3 2021","FQ3 2021","Currency=USD","Period=FQ","BEST_FPERIOD_OVERRIDE=FQ","FILING_STATUS=MR","FA_ADJUSTED=GAAP","Sort=A","Dates=H","DateFormat=P","Fill=—","Direction=H","UseDPDF=Y")</f>
        <v>9.6671999999999993</v>
      </c>
      <c r="AO7" s="21">
        <f>_xll.BDH("CRM US Equity","RETURN_COM_EQY","FQ4 2021","FQ4 2021","Currency=USD","Period=FQ","BEST_FPERIOD_OVERRIDE=FQ","FILING_STATUS=MR","FA_ADJUSTED=GAAP","Sort=A","Dates=H","DateFormat=P","Fill=—","Direction=H","UseDPDF=Y")</f>
        <v>10.8042</v>
      </c>
      <c r="AP7" s="21">
        <f>_xll.BDH("CRM US Equity","RETURN_COM_EQY","FQ1 2022","FQ1 2022","Currency=USD","Period=FQ","BEST_FPERIOD_OVERRIDE=FQ","FILING_STATUS=MR","FA_ADJUSTED=GAAP","Sort=A","Dates=H","DateFormat=P","Fill=—","Direction=H","UseDPDF=Y")</f>
        <v>11.517900000000001</v>
      </c>
    </row>
    <row r="8" spans="1:42" x14ac:dyDescent="0.25">
      <c r="A8" s="18" t="s">
        <v>87</v>
      </c>
      <c r="B8" s="18" t="s">
        <v>88</v>
      </c>
      <c r="C8" s="21">
        <f>_xll.BDH("CRM US Equity","RETURN_ON_ASSET","FQ2 2012","FQ2 2012","Currency=USD","Period=FQ","BEST_FPERIOD_OVERRIDE=FQ","FILING_STATUS=MR","FA_ADJUSTED=GAAP","Sort=A","Dates=H","DateFormat=P","Fill=—","Direction=H","UseDPDF=Y")</f>
        <v>0.92310000000000003</v>
      </c>
      <c r="D8" s="21">
        <f>_xll.BDH("CRM US Equity","RETURN_ON_ASSET","FQ3 2012","FQ3 2012","Currency=USD","Period=FQ","BEST_FPERIOD_OVERRIDE=FQ","FILING_STATUS=MR","FA_ADJUSTED=GAAP","Sort=A","Dates=H","DateFormat=P","Fill=—","Direction=H","UseDPDF=Y")</f>
        <v>0.1094</v>
      </c>
      <c r="E8" s="21">
        <f>_xll.BDH("CRM US Equity","RETURN_ON_ASSET","FQ4 2012","FQ4 2012","Currency=USD","Period=FQ","BEST_FPERIOD_OVERRIDE=FQ","FILING_STATUS=MR","FA_ADJUSTED=GAAP","Sort=A","Dates=H","DateFormat=P","Fill=—","Direction=H","UseDPDF=Y")</f>
        <v>-0.31900000000000001</v>
      </c>
      <c r="F8" s="21">
        <f>_xll.BDH("CRM US Equity","RETURN_ON_ASSET","FQ1 2013","FQ1 2013","Currency=USD","Period=FQ","BEST_FPERIOD_OVERRIDE=FQ","FILING_STATUS=MR","FA_ADJUSTED=GAAP","Sort=A","Dates=H","DateFormat=P","Fill=—","Direction=H","UseDPDF=Y")</f>
        <v>-0.86699999999999999</v>
      </c>
      <c r="G8" s="21">
        <f>_xll.BDH("CRM US Equity","RETURN_ON_ASSET","FQ2 2013","FQ2 2013","Currency=USD","Period=FQ","BEST_FPERIOD_OVERRIDE=FQ","FILING_STATUS=MR","FA_ADJUSTED=GAAP","Sort=A","Dates=H","DateFormat=P","Fill=—","Direction=H","UseDPDF=Y")</f>
        <v>-0.94320000000000004</v>
      </c>
      <c r="H8" s="21">
        <f>_xll.BDH("CRM US Equity","RETURN_ON_ASSET","FQ3 2013","FQ3 2013","Currency=USD","Period=FQ","BEST_FPERIOD_OVERRIDE=FQ","FILING_STATUS=MR","FA_ADJUSTED=GAAP","Sort=A","Dates=H","DateFormat=P","Fill=—","Direction=H","UseDPDF=Y")</f>
        <v>-6.2225000000000001</v>
      </c>
      <c r="I8" s="21">
        <f>_xll.BDH("CRM US Equity","RETURN_ON_ASSET","FQ4 2013","FQ4 2013","Currency=USD","Period=FQ","BEST_FPERIOD_OVERRIDE=FQ","FILING_STATUS=MR","FA_ADJUSTED=GAAP","Sort=A","Dates=H","DateFormat=P","Fill=—","Direction=H","UseDPDF=Y")</f>
        <v>-5.5800999999999998</v>
      </c>
      <c r="J8" s="21">
        <f>_xll.BDH("CRM US Equity","RETURN_ON_ASSET","FQ1 2014","FQ1 2014","Currency=USD","Period=FQ","BEST_FPERIOD_OVERRIDE=FQ","FILING_STATUS=MR","FA_ADJUSTED=GAAP","Sort=A","Dates=H","DateFormat=P","Fill=—","Direction=H","UseDPDF=Y")</f>
        <v>-5.9737</v>
      </c>
      <c r="K8" s="21">
        <f>_xll.BDH("CRM US Equity","RETURN_ON_ASSET","FQ2 2014","FQ2 2014","Currency=USD","Period=FQ","BEST_FPERIOD_OVERRIDE=FQ","FILING_STATUS=MR","FA_ADJUSTED=GAAP","Sort=A","Dates=H","DateFormat=P","Fill=—","Direction=H","UseDPDF=Y")</f>
        <v>-3.7389999999999999</v>
      </c>
      <c r="L8" s="21">
        <f>_xll.BDH("CRM US Equity","RETURN_ON_ASSET","FQ3 2014","FQ3 2014","Currency=USD","Period=FQ","BEST_FPERIOD_OVERRIDE=FQ","FILING_STATUS=MR","FA_ADJUSTED=GAAP","Sort=A","Dates=H","DateFormat=P","Fill=—","Direction=H","UseDPDF=Y")</f>
        <v>-2.1412</v>
      </c>
      <c r="M8" s="21">
        <f>_xll.BDH("CRM US Equity","RETURN_ON_ASSET","FQ4 2014","FQ4 2014","Currency=USD","Period=FQ","BEST_FPERIOD_OVERRIDE=FQ","FILING_STATUS=MR","FA_ADJUSTED=GAAP","Sort=A","Dates=H","DateFormat=P","Fill=—","Direction=H","UseDPDF=Y")</f>
        <v>-3.1627000000000001</v>
      </c>
      <c r="N8" s="21">
        <f>_xll.BDH("CRM US Equity","RETURN_ON_ASSET","FQ1 2015","FQ1 2015","Currency=USD","Period=FQ","BEST_FPERIOD_OVERRIDE=FQ","FILING_STATUS=MR","FA_ADJUSTED=GAAP","Sort=A","Dates=H","DateFormat=P","Fill=—","Direction=H","UseDPDF=Y")</f>
        <v>-3.4491999999999998</v>
      </c>
      <c r="O8" s="21">
        <f>_xll.BDH("CRM US Equity","RETURN_ON_ASSET","FQ2 2015","FQ2 2015","Currency=USD","Period=FQ","BEST_FPERIOD_OVERRIDE=FQ","FILING_STATUS=MR","FA_ADJUSTED=GAAP","Sort=A","Dates=H","DateFormat=P","Fill=—","Direction=H","UseDPDF=Y")</f>
        <v>-4.7004000000000001</v>
      </c>
      <c r="P8" s="21">
        <f>_xll.BDH("CRM US Equity","RETURN_ON_ASSET","FQ3 2015","FQ3 2015","Currency=USD","Period=FQ","BEST_FPERIOD_OVERRIDE=FQ","FILING_STATUS=MR","FA_ADJUSTED=GAAP","Sort=A","Dates=H","DateFormat=P","Fill=—","Direction=H","UseDPDF=Y")</f>
        <v>-3.5813000000000001</v>
      </c>
      <c r="Q8" s="21">
        <f>_xll.BDH("CRM US Equity","RETURN_ON_ASSET","FQ4 2015","FQ4 2015","Currency=USD","Period=FQ","BEST_FPERIOD_OVERRIDE=FQ","FILING_STATUS=MR","FA_ADJUSTED=GAAP","Sort=A","Dates=H","DateFormat=P","Fill=—","Direction=H","UseDPDF=Y")</f>
        <v>-2.6509999999999998</v>
      </c>
      <c r="R8" s="21">
        <f>_xll.BDH("CRM US Equity","RETURN_ON_ASSET","FQ1 2016","FQ1 2016","Currency=USD","Period=FQ","BEST_FPERIOD_OVERRIDE=FQ","FILING_STATUS=MR","FA_ADJUSTED=GAAP","Sort=A","Dates=H","DateFormat=P","Fill=—","Direction=H","UseDPDF=Y")</f>
        <v>-1.7013</v>
      </c>
      <c r="S8" s="21">
        <f>_xll.BDH("CRM US Equity","RETURN_ON_ASSET","FQ2 2016","FQ2 2016","Currency=USD","Period=FQ","BEST_FPERIOD_OVERRIDE=FQ","FILING_STATUS=MR","FA_ADJUSTED=GAAP","Sort=A","Dates=H","DateFormat=P","Fill=—","Direction=H","UseDPDF=Y")</f>
        <v>-1.0245</v>
      </c>
      <c r="T8" s="21">
        <f>_xll.BDH("CRM US Equity","RETURN_ON_ASSET","FQ3 2016","FQ3 2016","Currency=USD","Period=FQ","BEST_FPERIOD_OVERRIDE=FQ","FILING_STATUS=MR","FA_ADJUSTED=GAAP","Sort=A","Dates=H","DateFormat=P","Fill=—","Direction=H","UseDPDF=Y")</f>
        <v>-0.86280000000000001</v>
      </c>
      <c r="U8" s="21">
        <f>_xll.BDH("CRM US Equity","RETURN_ON_ASSET","FQ4 2016","FQ4 2016","Currency=USD","Period=FQ","BEST_FPERIOD_OVERRIDE=FQ","FILING_STATUS=MR","FA_ADJUSTED=GAAP","Sort=A","Dates=H","DateFormat=P","Fill=—","Direction=H","UseDPDF=Y")</f>
        <v>-0.40489999999999998</v>
      </c>
      <c r="V8" s="21">
        <f>_xll.BDH("CRM US Equity","RETURN_ON_ASSET","FQ1 2017","FQ1 2017","Currency=USD","Period=FQ","BEST_FPERIOD_OVERRIDE=FQ","FILING_STATUS=MR","FA_ADJUSTED=GAAP","Sort=A","Dates=H","DateFormat=P","Fill=—","Direction=H","UseDPDF=Y")</f>
        <v>-0.1101</v>
      </c>
      <c r="W8" s="21">
        <f>_xll.BDH("CRM US Equity","RETURN_ON_ASSET","FQ2 2017","FQ2 2017","Currency=USD","Period=FQ","BEST_FPERIOD_OVERRIDE=FQ","FILING_STATUS=MR","FA_ADJUSTED=GAAP","Sort=A","Dates=H","DateFormat=P","Fill=—","Direction=H","UseDPDF=Y")</f>
        <v>1.7296</v>
      </c>
      <c r="X8" s="21">
        <f>_xll.BDH("CRM US Equity","RETURN_ON_ASSET","FQ3 2017","FQ3 2017","Currency=USD","Period=FQ","BEST_FPERIOD_OVERRIDE=FQ","FILING_STATUS=MR","FA_ADJUSTED=GAAP","Sort=A","Dates=H","DateFormat=P","Fill=—","Direction=H","UseDPDF=Y")</f>
        <v>1.625</v>
      </c>
      <c r="Y8" s="21">
        <f>_xll.BDH("CRM US Equity","RETURN_ON_ASSET","FQ4 2017","FQ4 2017","Currency=USD","Period=FQ","BEST_FPERIOD_OVERRIDE=FQ","FILING_STATUS=MR","FA_ADJUSTED=GAAP","Sort=A","Dates=H","DateFormat=P","Fill=—","Direction=H","UseDPDF=Y")</f>
        <v>2.1286999999999998</v>
      </c>
      <c r="Z8" s="21">
        <f>_xll.BDH("CRM US Equity","RETURN_ON_ASSET","FQ1 2018","FQ1 2018","Currency=USD","Period=FQ","BEST_FPERIOD_OVERRIDE=FQ","FILING_STATUS=MR","FA_ADJUSTED=GAAP","Sort=A","Dates=H","DateFormat=P","Fill=—","Direction=H","UseDPDF=Y")</f>
        <v>1.9095</v>
      </c>
      <c r="AA8" s="21">
        <f>_xll.BDH("CRM US Equity","RETURN_ON_ASSET","FQ2 2018","FQ2 2018","Currency=USD","Period=FQ","BEST_FPERIOD_OVERRIDE=FQ","FILING_STATUS=MR","FA_ADJUSTED=GAAP","Sort=A","Dates=H","DateFormat=P","Fill=—","Direction=H","UseDPDF=Y")</f>
        <v>0.6391</v>
      </c>
      <c r="AB8" s="21">
        <f>_xll.BDH("CRM US Equity","RETURN_ON_ASSET","FQ3 2018","FQ3 2018","Currency=USD","Period=FQ","BEST_FPERIOD_OVERRIDE=FQ","FILING_STATUS=MR","FA_ADJUSTED=GAAP","Sort=A","Dates=H","DateFormat=P","Fill=—","Direction=H","UseDPDF=Y")</f>
        <v>1.5428999999999999</v>
      </c>
      <c r="AC8" s="21">
        <f>_xll.BDH("CRM US Equity","RETURN_ON_ASSET","FQ4 2018","FQ4 2018","Currency=USD","Period=FQ","BEST_FPERIOD_OVERRIDE=FQ","FILING_STATUS=MR","FA_ADJUSTED=GAAP","Sort=A","Dates=H","DateFormat=P","Fill=—","Direction=H","UseDPDF=Y")</f>
        <v>1.8195999999999999</v>
      </c>
      <c r="AD8" s="21">
        <f>_xll.BDH("CRM US Equity","RETURN_ON_ASSET","FQ1 2019","FQ1 2019","Currency=USD","Period=FQ","BEST_FPERIOD_OVERRIDE=FQ","FILING_STATUS=MR","FA_ADJUSTED=GAAP","Sort=A","Dates=H","DateFormat=P","Fill=—","Direction=H","UseDPDF=Y")</f>
        <v>3.5131000000000001</v>
      </c>
      <c r="AE8" s="21">
        <f>_xll.BDH("CRM US Equity","RETURN_ON_ASSET","FQ2 2019","FQ2 2019","Currency=USD","Period=FQ","BEST_FPERIOD_OVERRIDE=FQ","FILING_STATUS=MR","FA_ADJUSTED=GAAP","Sort=A","Dates=H","DateFormat=P","Fill=—","Direction=H","UseDPDF=Y")</f>
        <v>4.4215999999999998</v>
      </c>
      <c r="AF8" s="21">
        <f>_xll.BDH("CRM US Equity","RETURN_ON_ASSET","FQ3 2019","FQ3 2019","Currency=USD","Period=FQ","BEST_FPERIOD_OVERRIDE=FQ","FILING_STATUS=MR","FA_ADJUSTED=GAAP","Sort=A","Dates=H","DateFormat=P","Fill=—","Direction=H","UseDPDF=Y")</f>
        <v>4.3286999999999995</v>
      </c>
      <c r="AG8" s="21">
        <f>_xll.BDH("CRM US Equity","RETURN_ON_ASSET","FQ4 2019","FQ4 2019","Currency=USD","Period=FQ","BEST_FPERIOD_OVERRIDE=FQ","FILING_STATUS=MR","FA_ADJUSTED=GAAP","Sort=A","Dates=H","DateFormat=P","Fill=—","Direction=H","UseDPDF=Y")</f>
        <v>4.2107999999999999</v>
      </c>
      <c r="AH8" s="21">
        <f>_xll.BDH("CRM US Equity","RETURN_ON_ASSET","FQ1 2020","FQ1 2020","Currency=USD","Period=FQ","BEST_FPERIOD_OVERRIDE=FQ","FILING_STATUS=MR","FA_ADJUSTED=GAAP","Sort=A","Dates=H","DateFormat=P","Fill=—","Direction=H","UseDPDF=Y")</f>
        <v>4.1271000000000004</v>
      </c>
      <c r="AI8" s="21">
        <f>_xll.BDH("CRM US Equity","RETURN_ON_ASSET","FQ2 2020","FQ2 2020","Currency=USD","Period=FQ","BEST_FPERIOD_OVERRIDE=FQ","FILING_STATUS=MR","FA_ADJUSTED=GAAP","Sort=A","Dates=H","DateFormat=P","Fill=—","Direction=H","UseDPDF=Y")</f>
        <v>3.2117</v>
      </c>
      <c r="AJ8" s="21">
        <f>_xll.BDH("CRM US Equity","RETURN_ON_ASSET","FQ3 2020","FQ3 2020","Currency=USD","Period=FQ","BEST_FPERIOD_OVERRIDE=FQ","FILING_STATUS=MR","FA_ADJUSTED=GAAP","Sort=A","Dates=H","DateFormat=P","Fill=—","Direction=H","UseDPDF=Y")</f>
        <v>1.9234</v>
      </c>
      <c r="AK8" s="21">
        <f>_xll.BDH("CRM US Equity","RETURN_ON_ASSET","FQ4 2020","FQ4 2020","Currency=USD","Period=FQ","BEST_FPERIOD_OVERRIDE=FQ","FILING_STATUS=MR","FA_ADJUSTED=GAAP","Sort=A","Dates=H","DateFormat=P","Fill=—","Direction=H","UseDPDF=Y")</f>
        <v>0.29349999999999998</v>
      </c>
      <c r="AL8" s="21">
        <f>_xll.BDH("CRM US Equity","RETURN_ON_ASSET","FQ1 2021","FQ1 2021","Currency=USD","Period=FQ","BEST_FPERIOD_OVERRIDE=FQ","FILING_STATUS=MR","FA_ADJUSTED=GAAP","Sort=A","Dates=H","DateFormat=P","Fill=—","Direction=H","UseDPDF=Y")</f>
        <v>-0.38490000000000002</v>
      </c>
      <c r="AM8" s="21">
        <f>_xll.BDH("CRM US Equity","RETURN_ON_ASSET","FQ2 2021","FQ2 2021","Currency=USD","Period=FQ","BEST_FPERIOD_OVERRIDE=FQ","FILING_STATUS=MR","FA_ADJUSTED=GAAP","Sort=A","Dates=H","DateFormat=P","Fill=—","Direction=H","UseDPDF=Y")</f>
        <v>5.1955999999999998</v>
      </c>
      <c r="AN8" s="21">
        <f>_xll.BDH("CRM US Equity","RETURN_ON_ASSET","FQ3 2021","FQ3 2021","Currency=USD","Period=FQ","BEST_FPERIOD_OVERRIDE=FQ","FILING_STATUS=MR","FA_ADJUSTED=GAAP","Sort=A","Dates=H","DateFormat=P","Fill=—","Direction=H","UseDPDF=Y")</f>
        <v>6.5219000000000005</v>
      </c>
      <c r="AO8" s="21">
        <f>_xll.BDH("CRM US Equity","RETURN_ON_ASSET","FQ4 2021","FQ4 2021","Currency=USD","Period=FQ","BEST_FPERIOD_OVERRIDE=FQ","FILING_STATUS=MR","FA_ADJUSTED=GAAP","Sort=A","Dates=H","DateFormat=P","Fill=—","Direction=H","UseDPDF=Y")</f>
        <v>6.7069000000000001</v>
      </c>
      <c r="AP8" s="21">
        <f>_xll.BDH("CRM US Equity","RETURN_ON_ASSET","FQ1 2022","FQ1 2022","Currency=USD","Period=FQ","BEST_FPERIOD_OVERRIDE=FQ","FILING_STATUS=MR","FA_ADJUSTED=GAAP","Sort=A","Dates=H","DateFormat=P","Fill=—","Direction=H","UseDPDF=Y")</f>
        <v>7.4965000000000002</v>
      </c>
    </row>
    <row r="9" spans="1:42" x14ac:dyDescent="0.25">
      <c r="A9" s="18" t="s">
        <v>89</v>
      </c>
      <c r="B9" s="18" t="s">
        <v>90</v>
      </c>
      <c r="C9" s="21">
        <f>_xll.BDH("CRM US Equity","RETURN_ON_CAP","FQ2 2012","FQ2 2012","Currency=USD","Period=FQ","BEST_FPERIOD_OVERRIDE=FQ","FILING_STATUS=MR","FA_ADJUSTED=GAAP","Sort=A","Dates=H","DateFormat=P","Fill=—","Direction=H","UseDPDF=Y")</f>
        <v>2.16</v>
      </c>
      <c r="D9" s="21">
        <f>_xll.BDH("CRM US Equity","RETURN_ON_CAP","FQ3 2012","FQ3 2012","Currency=USD","Period=FQ","BEST_FPERIOD_OVERRIDE=FQ","FILING_STATUS=MR","FA_ADJUSTED=GAAP","Sort=A","Dates=H","DateFormat=P","Fill=—","Direction=H","UseDPDF=Y")</f>
        <v>0.69030000000000002</v>
      </c>
      <c r="E9" s="21">
        <f>_xll.BDH("CRM US Equity","RETURN_ON_CAP","FQ4 2012","FQ4 2012","Currency=USD","Period=FQ","BEST_FPERIOD_OVERRIDE=FQ","FILING_STATUS=MR","FA_ADJUSTED=GAAP","Sort=A","Dates=H","DateFormat=P","Fill=—","Direction=H","UseDPDF=Y")</f>
        <v>-2.52E-2</v>
      </c>
      <c r="F9" s="21">
        <f>_xll.BDH("CRM US Equity","RETURN_ON_CAP","FQ1 2013","FQ1 2013","Currency=USD","Period=FQ","BEST_FPERIOD_OVERRIDE=FQ","FILING_STATUS=MR","FA_ADJUSTED=GAAP","Sort=A","Dates=H","DateFormat=P","Fill=—","Direction=H","UseDPDF=Y")</f>
        <v>-0.90490000000000004</v>
      </c>
      <c r="G9" s="21">
        <f>_xll.BDH("CRM US Equity","RETURN_ON_CAP","FQ2 2013","FQ2 2013","Currency=USD","Period=FQ","BEST_FPERIOD_OVERRIDE=FQ","FILING_STATUS=MR","FA_ADJUSTED=GAAP","Sort=A","Dates=H","DateFormat=P","Fill=—","Direction=H","UseDPDF=Y")</f>
        <v>-0.96779999999999999</v>
      </c>
      <c r="H9" s="21">
        <f>_xll.BDH("CRM US Equity","RETURN_ON_CAP","FQ3 2013","FQ3 2013","Currency=USD","Period=FQ","BEST_FPERIOD_OVERRIDE=FQ","FILING_STATUS=MR","FA_ADJUSTED=GAAP","Sort=A","Dates=H","DateFormat=P","Fill=—","Direction=H","UseDPDF=Y")</f>
        <v>-9.9459</v>
      </c>
      <c r="I9" s="21">
        <f>_xll.BDH("CRM US Equity","RETURN_ON_CAP","FQ4 2013","FQ4 2013","Currency=USD","Period=FQ","BEST_FPERIOD_OVERRIDE=FQ","FILING_STATUS=MR","FA_ADJUSTED=GAAP","Sort=A","Dates=H","DateFormat=P","Fill=—","Direction=H","UseDPDF=Y")</f>
        <v>-9.6207999999999991</v>
      </c>
      <c r="J9" s="21">
        <f>_xll.BDH("CRM US Equity","RETURN_ON_CAP","FQ1 2014","FQ1 2014","Currency=USD","Period=FQ","BEST_FPERIOD_OVERRIDE=FQ","FILING_STATUS=MR","FA_ADJUSTED=GAAP","Sort=A","Dates=H","DateFormat=P","Fill=—","Direction=H","UseDPDF=Y")</f>
        <v>-8.8455999999999992</v>
      </c>
      <c r="K9" s="21">
        <f>_xll.BDH("CRM US Equity","RETURN_ON_CAP","FQ2 2014","FQ2 2014","Currency=USD","Period=FQ","BEST_FPERIOD_OVERRIDE=FQ","FILING_STATUS=MR","FA_ADJUSTED=GAAP","Sort=A","Dates=H","DateFormat=P","Fill=—","Direction=H","UseDPDF=Y")</f>
        <v>-4.7404000000000002</v>
      </c>
      <c r="L9" s="21">
        <f>_xll.BDH("CRM US Equity","RETURN_ON_CAP","FQ3 2014","FQ3 2014","Currency=USD","Period=FQ","BEST_FPERIOD_OVERRIDE=FQ","FILING_STATUS=MR","FA_ADJUSTED=GAAP","Sort=A","Dates=H","DateFormat=P","Fill=—","Direction=H","UseDPDF=Y")</f>
        <v>-1.7309000000000001</v>
      </c>
      <c r="M9" s="21">
        <f>_xll.BDH("CRM US Equity","RETURN_ON_CAP","FQ4 2014","FQ4 2014","Currency=USD","Period=FQ","BEST_FPERIOD_OVERRIDE=FQ","FILING_STATUS=MR","FA_ADJUSTED=GAAP","Sort=A","Dates=H","DateFormat=P","Fill=—","Direction=H","UseDPDF=Y")</f>
        <v>-3.601</v>
      </c>
      <c r="N9" s="21">
        <f>_xll.BDH("CRM US Equity","RETURN_ON_CAP","FQ1 2015","FQ1 2015","Currency=USD","Period=FQ","BEST_FPERIOD_OVERRIDE=FQ","FILING_STATUS=MR","FA_ADJUSTED=GAAP","Sort=A","Dates=H","DateFormat=P","Fill=—","Direction=H","UseDPDF=Y")</f>
        <v>-3.8073999999999999</v>
      </c>
      <c r="O9" s="21">
        <f>_xll.BDH("CRM US Equity","RETURN_ON_CAP","FQ2 2015","FQ2 2015","Currency=USD","Period=FQ","BEST_FPERIOD_OVERRIDE=FQ","FILING_STATUS=MR","FA_ADJUSTED=GAAP","Sort=A","Dates=H","DateFormat=P","Fill=—","Direction=H","UseDPDF=Y")</f>
        <v>-5.8856999999999999</v>
      </c>
      <c r="P9" s="21">
        <f>_xll.BDH("CRM US Equity","RETURN_ON_CAP","FQ3 2015","FQ3 2015","Currency=USD","Period=FQ","BEST_FPERIOD_OVERRIDE=FQ","FILING_STATUS=MR","FA_ADJUSTED=GAAP","Sort=A","Dates=H","DateFormat=P","Fill=—","Direction=H","UseDPDF=Y")</f>
        <v>-4.1792999999999996</v>
      </c>
      <c r="Q9" s="21">
        <f>_xll.BDH("CRM US Equity","RETURN_ON_CAP","FQ4 2015","FQ4 2015","Currency=USD","Period=FQ","BEST_FPERIOD_OVERRIDE=FQ","FILING_STATUS=MR","FA_ADJUSTED=GAAP","Sort=A","Dates=H","DateFormat=P","Fill=—","Direction=H","UseDPDF=Y")</f>
        <v>-3.3651</v>
      </c>
      <c r="R9" s="21">
        <f>_xll.BDH("CRM US Equity","RETURN_ON_CAP","FQ1 2016","FQ1 2016","Currency=USD","Period=FQ","BEST_FPERIOD_OVERRIDE=FQ","FILING_STATUS=MR","FA_ADJUSTED=GAAP","Sort=A","Dates=H","DateFormat=P","Fill=—","Direction=H","UseDPDF=Y")</f>
        <v>-1.8576000000000001</v>
      </c>
      <c r="S9" s="21">
        <f>_xll.BDH("CRM US Equity","RETURN_ON_CAP","FQ2 2016","FQ2 2016","Currency=USD","Period=FQ","BEST_FPERIOD_OVERRIDE=FQ","FILING_STATUS=MR","FA_ADJUSTED=GAAP","Sort=A","Dates=H","DateFormat=P","Fill=—","Direction=H","UseDPDF=Y")</f>
        <v>-0.64229999999999998</v>
      </c>
      <c r="T9" s="21">
        <f>_xll.BDH("CRM US Equity","RETURN_ON_CAP","FQ3 2016","FQ3 2016","Currency=USD","Period=FQ","BEST_FPERIOD_OVERRIDE=FQ","FILING_STATUS=MR","FA_ADJUSTED=GAAP","Sort=A","Dates=H","DateFormat=P","Fill=—","Direction=H","UseDPDF=Y")</f>
        <v>-10.460699999999999</v>
      </c>
      <c r="U9" s="21">
        <f>_xll.BDH("CRM US Equity","RETURN_ON_CAP","FQ4 2016","FQ4 2016","Currency=USD","Period=FQ","BEST_FPERIOD_OVERRIDE=FQ","FILING_STATUS=MR","FA_ADJUSTED=GAAP","Sort=A","Dates=H","DateFormat=P","Fill=—","Direction=H","UseDPDF=Y")</f>
        <v>-1.9502999999999999</v>
      </c>
      <c r="V9" s="21">
        <f>_xll.BDH("CRM US Equity","RETURN_ON_CAP","FQ1 2017","FQ1 2017","Currency=USD","Period=FQ","BEST_FPERIOD_OVERRIDE=FQ","FILING_STATUS=MR","FA_ADJUSTED=GAAP","Sort=A","Dates=H","DateFormat=P","Fill=—","Direction=H","UseDPDF=Y")</f>
        <v>-0.45019999999999999</v>
      </c>
      <c r="W9" s="21">
        <f>_xll.BDH("CRM US Equity","RETURN_ON_CAP","FQ2 2017","FQ2 2017","Currency=USD","Period=FQ","BEST_FPERIOD_OVERRIDE=FQ","FILING_STATUS=MR","FA_ADJUSTED=GAAP","Sort=A","Dates=H","DateFormat=P","Fill=—","Direction=H","UseDPDF=Y")</f>
        <v>4.0124000000000004</v>
      </c>
      <c r="X9" s="21">
        <f>_xll.BDH("CRM US Equity","RETURN_ON_CAP","FQ3 2017","FQ3 2017","Currency=USD","Period=FQ","BEST_FPERIOD_OVERRIDE=FQ","FILING_STATUS=MR","FA_ADJUSTED=GAAP","Sort=A","Dates=H","DateFormat=P","Fill=—","Direction=H","UseDPDF=Y")</f>
        <v>3.6484999999999999</v>
      </c>
      <c r="Y9" s="21">
        <f>_xll.BDH("CRM US Equity","RETURN_ON_CAP","FQ4 2017","FQ4 2017","Currency=USD","Period=FQ","BEST_FPERIOD_OVERRIDE=FQ","FILING_STATUS=MR","FA_ADJUSTED=GAAP","Sort=A","Dates=H","DateFormat=P","Fill=—","Direction=H","UseDPDF=Y")</f>
        <v>4.9763000000000002</v>
      </c>
      <c r="Z9" s="21">
        <f>_xll.BDH("CRM US Equity","RETURN_ON_CAP","FQ1 2018","FQ1 2018","Currency=USD","Period=FQ","BEST_FPERIOD_OVERRIDE=FQ","FILING_STATUS=MR","FA_ADJUSTED=GAAP","Sort=A","Dates=H","DateFormat=P","Fill=—","Direction=H","UseDPDF=Y")</f>
        <v>4.1662999999999997</v>
      </c>
      <c r="AA9" s="21">
        <f>_xll.BDH("CRM US Equity","RETURN_ON_CAP","FQ2 2018","FQ2 2018","Currency=USD","Period=FQ","BEST_FPERIOD_OVERRIDE=FQ","FILING_STATUS=MR","FA_ADJUSTED=GAAP","Sort=A","Dates=H","DateFormat=P","Fill=—","Direction=H","UseDPDF=Y")</f>
        <v>1.8315999999999999</v>
      </c>
      <c r="AB9" s="21">
        <f>_xll.BDH("CRM US Equity","RETURN_ON_CAP","FQ3 2018","FQ3 2018","Currency=USD","Period=FQ","BEST_FPERIOD_OVERRIDE=FQ","FILING_STATUS=MR","FA_ADJUSTED=GAAP","Sort=A","Dates=H","DateFormat=P","Fill=—","Direction=H","UseDPDF=Y")</f>
        <v>3.3898999999999999</v>
      </c>
      <c r="AC9" s="21">
        <f>_xll.BDH("CRM US Equity","RETURN_ON_CAP","FQ4 2018","FQ4 2018","Currency=USD","Period=FQ","BEST_FPERIOD_OVERRIDE=FQ","FILING_STATUS=MR","FA_ADJUSTED=GAAP","Sort=A","Dates=H","DateFormat=P","Fill=—","Direction=H","UseDPDF=Y")</f>
        <v>4.2293000000000003</v>
      </c>
      <c r="AD9" s="21">
        <f>_xll.BDH("CRM US Equity","RETURN_ON_CAP","FQ1 2019","FQ1 2019","Currency=USD","Period=FQ","BEST_FPERIOD_OVERRIDE=FQ","FILING_STATUS=MR","FA_ADJUSTED=GAAP","Sort=A","Dates=H","DateFormat=P","Fill=—","Direction=H","UseDPDF=Y")</f>
        <v>6.7384000000000004</v>
      </c>
      <c r="AE9" s="21">
        <f>_xll.BDH("CRM US Equity","RETURN_ON_CAP","FQ2 2019","FQ2 2019","Currency=USD","Period=FQ","BEST_FPERIOD_OVERRIDE=FQ","FILING_STATUS=MR","FA_ADJUSTED=GAAP","Sort=A","Dates=H","DateFormat=P","Fill=—","Direction=H","UseDPDF=Y")</f>
        <v>7.8369999999999997</v>
      </c>
      <c r="AF9" s="21">
        <f>_xll.BDH("CRM US Equity","RETURN_ON_CAP","FQ3 2019","FQ3 2019","Currency=USD","Period=FQ","BEST_FPERIOD_OVERRIDE=FQ","FILING_STATUS=MR","FA_ADJUSTED=GAAP","Sort=A","Dates=H","DateFormat=P","Fill=—","Direction=H","UseDPDF=Y")</f>
        <v>7.4543999999999997</v>
      </c>
      <c r="AG9" s="21">
        <f>_xll.BDH("CRM US Equity","RETURN_ON_CAP","FQ4 2019","FQ4 2019","Currency=USD","Period=FQ","BEST_FPERIOD_OVERRIDE=FQ","FILING_STATUS=MR","FA_ADJUSTED=GAAP","Sort=A","Dates=H","DateFormat=P","Fill=—","Direction=H","UseDPDF=Y")</f>
        <v>7.8228</v>
      </c>
      <c r="AH9" s="21">
        <f>_xll.BDH("CRM US Equity","RETURN_ON_CAP","FQ1 2020","FQ1 2020","Currency=USD","Period=FQ","BEST_FPERIOD_OVERRIDE=FQ","FILING_STATUS=MR","FA_ADJUSTED=GAAP","Sort=A","Dates=H","DateFormat=P","Fill=—","Direction=H","UseDPDF=Y")</f>
        <v>6.7034000000000002</v>
      </c>
      <c r="AI9" s="21">
        <f>_xll.BDH("CRM US Equity","RETURN_ON_CAP","FQ2 2020","FQ2 2020","Currency=USD","Period=FQ","BEST_FPERIOD_OVERRIDE=FQ","FILING_STATUS=MR","FA_ADJUSTED=GAAP","Sort=A","Dates=H","DateFormat=P","Fill=—","Direction=H","UseDPDF=Y")</f>
        <v>5.2083000000000004</v>
      </c>
      <c r="AJ9" s="21">
        <f>_xll.BDH("CRM US Equity","RETURN_ON_CAP","FQ3 2020","FQ3 2020","Currency=USD","Period=FQ","BEST_FPERIOD_OVERRIDE=FQ","FILING_STATUS=MR","FA_ADJUSTED=GAAP","Sort=A","Dates=H","DateFormat=P","Fill=—","Direction=H","UseDPDF=Y")</f>
        <v>2.8359000000000001</v>
      </c>
      <c r="AK9" s="21">
        <f>_xll.BDH("CRM US Equity","RETURN_ON_CAP","FQ4 2020","FQ4 2020","Currency=USD","Period=FQ","BEST_FPERIOD_OVERRIDE=FQ","FILING_STATUS=MR","FA_ADJUSTED=GAAP","Sort=A","Dates=H","DateFormat=P","Fill=—","Direction=H","UseDPDF=Y")</f>
        <v>0.4904</v>
      </c>
      <c r="AL9" s="21">
        <f>_xll.BDH("CRM US Equity","RETURN_ON_CAP","FQ1 2021","FQ1 2021","Currency=USD","Period=FQ","BEST_FPERIOD_OVERRIDE=FQ","FILING_STATUS=MR","FA_ADJUSTED=GAAP","Sort=A","Dates=H","DateFormat=P","Fill=—","Direction=H","UseDPDF=Y")</f>
        <v>-0.72260000000000002</v>
      </c>
      <c r="AM9" s="21">
        <f>_xll.BDH("CRM US Equity","RETURN_ON_CAP","FQ2 2021","FQ2 2021","Currency=USD","Period=FQ","BEST_FPERIOD_OVERRIDE=FQ","FILING_STATUS=MR","FA_ADJUSTED=GAAP","Sort=A","Dates=H","DateFormat=P","Fill=—","Direction=H","UseDPDF=Y")</f>
        <v>7.1660000000000004</v>
      </c>
      <c r="AN9" s="21">
        <f>_xll.BDH("CRM US Equity","RETURN_ON_CAP","FQ3 2021","FQ3 2021","Currency=USD","Period=FQ","BEST_FPERIOD_OVERRIDE=FQ","FILING_STATUS=MR","FA_ADJUSTED=GAAP","Sort=A","Dates=H","DateFormat=P","Fill=—","Direction=H","UseDPDF=Y")</f>
        <v>8.4185999999999996</v>
      </c>
      <c r="AO9" s="21">
        <f>_xll.BDH("CRM US Equity","RETURN_ON_CAP","FQ4 2021","FQ4 2021","Currency=USD","Period=FQ","BEST_FPERIOD_OVERRIDE=FQ","FILING_STATUS=MR","FA_ADJUSTED=GAAP","Sort=A","Dates=H","DateFormat=P","Fill=—","Direction=H","UseDPDF=Y")</f>
        <v>9.4225999999999992</v>
      </c>
      <c r="AP9" s="21">
        <f>_xll.BDH("CRM US Equity","RETURN_ON_CAP","FQ1 2022","FQ1 2022","Currency=USD","Period=FQ","BEST_FPERIOD_OVERRIDE=FQ","FILING_STATUS=MR","FA_ADJUSTED=GAAP","Sort=A","Dates=H","DateFormat=P","Fill=—","Direction=H","UseDPDF=Y")</f>
        <v>10.1427</v>
      </c>
    </row>
    <row r="10" spans="1:42" x14ac:dyDescent="0.25">
      <c r="A10" s="18" t="s">
        <v>91</v>
      </c>
      <c r="B10" s="18" t="s">
        <v>92</v>
      </c>
      <c r="C10" s="21">
        <f>_xll.BDH("CRM US Equity","RETURN_ON_INV_CAPITAL","FQ2 2012","FQ2 2012","Currency=USD","Period=FQ","BEST_FPERIOD_OVERRIDE=FQ","FILING_STATUS=MR","FA_ADJUSTED=GAAP","Sort=A","Dates=H","DateFormat=P","Fill=—","Direction=H","UseDPDF=Y")</f>
        <v>1.2258</v>
      </c>
      <c r="D10" s="21">
        <f>_xll.BDH("CRM US Equity","RETURN_ON_INV_CAPITAL","FQ3 2012","FQ3 2012","Currency=USD","Period=FQ","BEST_FPERIOD_OVERRIDE=FQ","FILING_STATUS=MR","FA_ADJUSTED=GAAP","Sort=A","Dates=H","DateFormat=P","Fill=—","Direction=H","UseDPDF=Y")</f>
        <v>-9.5100000000000004E-2</v>
      </c>
      <c r="E10" s="21">
        <f>_xll.BDH("CRM US Equity","RETURN_ON_INV_CAPITAL","FQ4 2012","FQ4 2012","Currency=USD","Period=FQ","BEST_FPERIOD_OVERRIDE=FQ","FILING_STATUS=MR","FA_ADJUSTED=GAAP","Sort=A","Dates=H","DateFormat=P","Fill=—","Direction=H","UseDPDF=Y")</f>
        <v>-0.65820000000000001</v>
      </c>
      <c r="F10" s="21">
        <f>_xll.BDH("CRM US Equity","RETURN_ON_INV_CAPITAL","FQ1 2013","FQ1 2013","Currency=USD","Period=FQ","BEST_FPERIOD_OVERRIDE=FQ","FILING_STATUS=MR","FA_ADJUSTED=GAAP","Sort=A","Dates=H","DateFormat=P","Fill=—","Direction=H","UseDPDF=Y")</f>
        <v>-1.3793</v>
      </c>
      <c r="G10" s="21">
        <f>_xll.BDH("CRM US Equity","RETURN_ON_INV_CAPITAL","FQ2 2013","FQ2 2013","Currency=USD","Period=FQ","BEST_FPERIOD_OVERRIDE=FQ","FILING_STATUS=MR","FA_ADJUSTED=GAAP","Sort=A","Dates=H","DateFormat=P","Fill=—","Direction=H","UseDPDF=Y")</f>
        <v>-1.5554999999999999</v>
      </c>
      <c r="H10" s="21">
        <f>_xll.BDH("CRM US Equity","RETURN_ON_INV_CAPITAL","FQ3 2013","FQ3 2013","Currency=USD","Period=FQ","BEST_FPERIOD_OVERRIDE=FQ","FILING_STATUS=MR","FA_ADJUSTED=GAAP","Sort=A","Dates=H","DateFormat=P","Fill=—","Direction=H","UseDPDF=Y")</f>
        <v>-10.1936</v>
      </c>
      <c r="I10" s="21">
        <f>_xll.BDH("CRM US Equity","RETURN_ON_INV_CAPITAL","FQ4 2013","FQ4 2013","Currency=USD","Period=FQ","BEST_FPERIOD_OVERRIDE=FQ","FILING_STATUS=MR","FA_ADJUSTED=GAAP","Sort=A","Dates=H","DateFormat=P","Fill=—","Direction=H","UseDPDF=Y")</f>
        <v>-10.137600000000001</v>
      </c>
      <c r="J10" s="21">
        <f>_xll.BDH("CRM US Equity","RETURN_ON_INV_CAPITAL","FQ1 2014","FQ1 2014","Currency=USD","Period=FQ","BEST_FPERIOD_OVERRIDE=FQ","FILING_STATUS=MR","FA_ADJUSTED=GAAP","Sort=A","Dates=H","DateFormat=P","Fill=—","Direction=H","UseDPDF=Y")</f>
        <v>-9.2584999999999997</v>
      </c>
      <c r="K10" s="21">
        <f>_xll.BDH("CRM US Equity","RETURN_ON_INV_CAPITAL","FQ2 2014","FQ2 2014","Currency=USD","Period=FQ","BEST_FPERIOD_OVERRIDE=FQ","FILING_STATUS=MR","FA_ADJUSTED=GAAP","Sort=A","Dates=H","DateFormat=P","Fill=—","Direction=H","UseDPDF=Y")</f>
        <v>-5.2576999999999998</v>
      </c>
      <c r="L10" s="21">
        <f>_xll.BDH("CRM US Equity","RETURN_ON_INV_CAPITAL","FQ3 2014","FQ3 2014","Currency=USD","Period=FQ","BEST_FPERIOD_OVERRIDE=FQ","FILING_STATUS=MR","FA_ADJUSTED=GAAP","Sort=A","Dates=H","DateFormat=P","Fill=—","Direction=H","UseDPDF=Y")</f>
        <v>-2.4323999999999999</v>
      </c>
      <c r="M10" s="21">
        <f>_xll.BDH("CRM US Equity","RETURN_ON_INV_CAPITAL","FQ4 2014","FQ4 2014","Currency=USD","Period=FQ","BEST_FPERIOD_OVERRIDE=FQ","FILING_STATUS=MR","FA_ADJUSTED=GAAP","Sort=A","Dates=H","DateFormat=P","Fill=—","Direction=H","UseDPDF=Y")</f>
        <v>-4.3489000000000004</v>
      </c>
      <c r="N10" s="21">
        <f>_xll.BDH("CRM US Equity","RETURN_ON_INV_CAPITAL","FQ1 2015","FQ1 2015","Currency=USD","Period=FQ","BEST_FPERIOD_OVERRIDE=FQ","FILING_STATUS=MR","FA_ADJUSTED=GAAP","Sort=A","Dates=H","DateFormat=P","Fill=—","Direction=H","UseDPDF=Y")</f>
        <v>-4.3646000000000003</v>
      </c>
      <c r="O10" s="21">
        <f>_xll.BDH("CRM US Equity","RETURN_ON_INV_CAPITAL","FQ2 2015","FQ2 2015","Currency=USD","Period=FQ","BEST_FPERIOD_OVERRIDE=FQ","FILING_STATUS=MR","FA_ADJUSTED=GAAP","Sort=A","Dates=H","DateFormat=P","Fill=—","Direction=H","UseDPDF=Y")</f>
        <v>-6.0580999999999996</v>
      </c>
      <c r="P10" s="21">
        <f>_xll.BDH("CRM US Equity","RETURN_ON_INV_CAPITAL","FQ3 2015","FQ3 2015","Currency=USD","Period=FQ","BEST_FPERIOD_OVERRIDE=FQ","FILING_STATUS=MR","FA_ADJUSTED=GAAP","Sort=A","Dates=H","DateFormat=P","Fill=—","Direction=H","UseDPDF=Y")</f>
        <v>-4.7324000000000002</v>
      </c>
      <c r="Q10" s="21">
        <f>_xll.BDH("CRM US Equity","RETURN_ON_INV_CAPITAL","FQ4 2015","FQ4 2015","Currency=USD","Period=FQ","BEST_FPERIOD_OVERRIDE=FQ","FILING_STATUS=MR","FA_ADJUSTED=GAAP","Sort=A","Dates=H","DateFormat=P","Fill=—","Direction=H","UseDPDF=Y")</f>
        <v>-3.8216000000000001</v>
      </c>
      <c r="R10" s="21">
        <f>_xll.BDH("CRM US Equity","RETURN_ON_INV_CAPITAL","FQ1 2016","FQ1 2016","Currency=USD","Period=FQ","BEST_FPERIOD_OVERRIDE=FQ","FILING_STATUS=MR","FA_ADJUSTED=GAAP","Sort=A","Dates=H","DateFormat=P","Fill=—","Direction=H","UseDPDF=Y")</f>
        <v>-2.5960000000000001</v>
      </c>
      <c r="S10" s="21">
        <f>_xll.BDH("CRM US Equity","RETURN_ON_INV_CAPITAL","FQ2 2016","FQ2 2016","Currency=USD","Period=FQ","BEST_FPERIOD_OVERRIDE=FQ","FILING_STATUS=MR","FA_ADJUSTED=GAAP","Sort=A","Dates=H","DateFormat=P","Fill=—","Direction=H","UseDPDF=Y")</f>
        <v>-1.4537</v>
      </c>
      <c r="T10" s="21">
        <f>_xll.BDH("CRM US Equity","RETURN_ON_INV_CAPITAL","FQ3 2016","FQ3 2016","Currency=USD","Period=FQ","BEST_FPERIOD_OVERRIDE=FQ","FILING_STATUS=MR","FA_ADJUSTED=GAAP","Sort=A","Dates=H","DateFormat=P","Fill=—","Direction=H","UseDPDF=Y")</f>
        <v>-1.1877</v>
      </c>
      <c r="U10" s="21">
        <f>_xll.BDH("CRM US Equity","RETURN_ON_INV_CAPITAL","FQ4 2016","FQ4 2016","Currency=USD","Period=FQ","BEST_FPERIOD_OVERRIDE=FQ","FILING_STATUS=MR","FA_ADJUSTED=GAAP","Sort=A","Dates=H","DateFormat=P","Fill=—","Direction=H","UseDPDF=Y")</f>
        <v>-1.0524</v>
      </c>
      <c r="V10" s="21">
        <f>_xll.BDH("CRM US Equity","RETURN_ON_INV_CAPITAL","FQ1 2017","FQ1 2017","Currency=USD","Period=FQ","BEST_FPERIOD_OVERRIDE=FQ","FILING_STATUS=MR","FA_ADJUSTED=GAAP","Sort=A","Dates=H","DateFormat=P","Fill=—","Direction=H","UseDPDF=Y")</f>
        <v>-0.55159999999999998</v>
      </c>
      <c r="W10" s="21">
        <f>_xll.BDH("CRM US Equity","RETURN_ON_INV_CAPITAL","FQ2 2017","FQ2 2017","Currency=USD","Period=FQ","BEST_FPERIOD_OVERRIDE=FQ","FILING_STATUS=MR","FA_ADJUSTED=GAAP","Sort=A","Dates=H","DateFormat=P","Fill=—","Direction=H","UseDPDF=Y")</f>
        <v>2.8406000000000002</v>
      </c>
      <c r="X10" s="21">
        <f>_xll.BDH("CRM US Equity","RETURN_ON_INV_CAPITAL","FQ3 2017","FQ3 2017","Currency=USD","Period=FQ","BEST_FPERIOD_OVERRIDE=FQ","FILING_STATUS=MR","FA_ADJUSTED=GAAP","Sort=A","Dates=H","DateFormat=P","Fill=—","Direction=H","UseDPDF=Y")</f>
        <v>2.6471</v>
      </c>
      <c r="Y10" s="21">
        <f>_xll.BDH("CRM US Equity","RETURN_ON_INV_CAPITAL","FQ4 2017","FQ4 2017","Currency=USD","Period=FQ","BEST_FPERIOD_OVERRIDE=FQ","FILING_STATUS=MR","FA_ADJUSTED=GAAP","Sort=A","Dates=H","DateFormat=P","Fill=—","Direction=H","UseDPDF=Y")</f>
        <v>4.2534999999999998</v>
      </c>
      <c r="Z10" s="21">
        <f>_xll.BDH("CRM US Equity","RETURN_ON_INV_CAPITAL","FQ1 2018","FQ1 2018","Currency=USD","Period=FQ","BEST_FPERIOD_OVERRIDE=FQ","FILING_STATUS=MR","FA_ADJUSTED=GAAP","Sort=A","Dates=H","DateFormat=P","Fill=—","Direction=H","UseDPDF=Y")</f>
        <v>3.6307999999999998</v>
      </c>
      <c r="AA10" s="21">
        <f>_xll.BDH("CRM US Equity","RETURN_ON_INV_CAPITAL","FQ2 2018","FQ2 2018","Currency=USD","Period=FQ","BEST_FPERIOD_OVERRIDE=FQ","FILING_STATUS=MR","FA_ADJUSTED=GAAP","Sort=A","Dates=H","DateFormat=P","Fill=—","Direction=H","UseDPDF=Y")</f>
        <v>1.4969000000000001</v>
      </c>
      <c r="AB10" s="21">
        <f>_xll.BDH("CRM US Equity","RETURN_ON_INV_CAPITAL","FQ3 2018","FQ3 2018","Currency=USD","Period=FQ","BEST_FPERIOD_OVERRIDE=FQ","FILING_STATUS=MR","FA_ADJUSTED=GAAP","Sort=A","Dates=H","DateFormat=P","Fill=—","Direction=H","UseDPDF=Y")</f>
        <v>2.8742999999999999</v>
      </c>
      <c r="AC10" s="21">
        <f>_xll.BDH("CRM US Equity","RETURN_ON_INV_CAPITAL","FQ4 2018","FQ4 2018","Currency=USD","Period=FQ","BEST_FPERIOD_OVERRIDE=FQ","FILING_STATUS=MR","FA_ADJUSTED=GAAP","Sort=A","Dates=H","DateFormat=P","Fill=—","Direction=H","UseDPDF=Y")</f>
        <v>3.5282</v>
      </c>
      <c r="AD10" s="21">
        <f>_xll.BDH("CRM US Equity","RETURN_ON_INV_CAPITAL","FQ1 2019","FQ1 2019","Currency=USD","Period=FQ","BEST_FPERIOD_OVERRIDE=FQ","FILING_STATUS=MR","FA_ADJUSTED=GAAP","Sort=A","Dates=H","DateFormat=P","Fill=—","Direction=H","UseDPDF=Y")</f>
        <v>4.5209999999999999</v>
      </c>
      <c r="AE10" s="21">
        <f>_xll.BDH("CRM US Equity","RETURN_ON_INV_CAPITAL","FQ2 2019","FQ2 2019","Currency=USD","Period=FQ","BEST_FPERIOD_OVERRIDE=FQ","FILING_STATUS=MR","FA_ADJUSTED=GAAP","Sort=A","Dates=H","DateFormat=P","Fill=—","Direction=H","UseDPDF=Y")</f>
        <v>4.8518999999999997</v>
      </c>
      <c r="AF10" s="21">
        <f>_xll.BDH("CRM US Equity","RETURN_ON_INV_CAPITAL","FQ3 2019","FQ3 2019","Currency=USD","Period=FQ","BEST_FPERIOD_OVERRIDE=FQ","FILING_STATUS=MR","FA_ADJUSTED=GAAP","Sort=A","Dates=H","DateFormat=P","Fill=—","Direction=H","UseDPDF=Y")</f>
        <v>4.3314000000000004</v>
      </c>
      <c r="AG10" s="21">
        <f>_xll.BDH("CRM US Equity","RETURN_ON_INV_CAPITAL","FQ4 2019","FQ4 2019","Currency=USD","Period=FQ","BEST_FPERIOD_OVERRIDE=FQ","FILING_STATUS=MR","FA_ADJUSTED=GAAP","Sort=A","Dates=H","DateFormat=P","Fill=—","Direction=H","UseDPDF=Y")</f>
        <v>4.5888</v>
      </c>
      <c r="AH10" s="21">
        <f>_xll.BDH("CRM US Equity","RETURN_ON_INV_CAPITAL","FQ1 2020","FQ1 2020","Currency=USD","Period=FQ","BEST_FPERIOD_OVERRIDE=FQ","FILING_STATUS=MR","FA_ADJUSTED=GAAP","Sort=A","Dates=H","DateFormat=P","Fill=—","Direction=H","UseDPDF=Y")</f>
        <v>3.8125</v>
      </c>
      <c r="AI10" s="21">
        <f>_xll.BDH("CRM US Equity","RETURN_ON_INV_CAPITAL","FQ2 2020","FQ2 2020","Currency=USD","Period=FQ","BEST_FPERIOD_OVERRIDE=FQ","FILING_STATUS=MR","FA_ADJUSTED=GAAP","Sort=A","Dates=H","DateFormat=P","Fill=—","Direction=H","UseDPDF=Y")</f>
        <v>2.7443</v>
      </c>
      <c r="AJ10" s="21">
        <f>_xll.BDH("CRM US Equity","RETURN_ON_INV_CAPITAL","FQ3 2020","FQ3 2020","Currency=USD","Period=FQ","BEST_FPERIOD_OVERRIDE=FQ","FILING_STATUS=MR","FA_ADJUSTED=GAAP","Sort=A","Dates=H","DateFormat=P","Fill=—","Direction=H","UseDPDF=Y")</f>
        <v>1.2854999999999999</v>
      </c>
      <c r="AK10" s="21">
        <f>_xll.BDH("CRM US Equity","RETURN_ON_INV_CAPITAL","FQ4 2020","FQ4 2020","Currency=USD","Period=FQ","BEST_FPERIOD_OVERRIDE=FQ","FILING_STATUS=MR","FA_ADJUSTED=GAAP","Sort=A","Dates=H","DateFormat=P","Fill=—","Direction=H","UseDPDF=Y")</f>
        <v>-0.54590000000000005</v>
      </c>
      <c r="AL10" s="21">
        <f>_xll.BDH("CRM US Equity","RETURN_ON_INV_CAPITAL","FQ1 2021","FQ1 2021","Currency=USD","Period=FQ","BEST_FPERIOD_OVERRIDE=FQ","FILING_STATUS=MR","FA_ADJUSTED=GAAP","Sort=A","Dates=H","DateFormat=P","Fill=—","Direction=H","UseDPDF=Y")</f>
        <v>-0.371</v>
      </c>
      <c r="AM10" s="21">
        <f>_xll.BDH("CRM US Equity","RETURN_ON_INV_CAPITAL","FQ2 2021","FQ2 2021","Currency=USD","Period=FQ","BEST_FPERIOD_OVERRIDE=FQ","FILING_STATUS=MR","FA_ADJUSTED=GAAP","Sort=A","Dates=H","DateFormat=P","Fill=—","Direction=H","UseDPDF=Y")</f>
        <v>5.7243000000000004</v>
      </c>
      <c r="AN10" s="21">
        <f>_xll.BDH("CRM US Equity","RETURN_ON_INV_CAPITAL","FQ3 2021","FQ3 2021","Currency=USD","Period=FQ","BEST_FPERIOD_OVERRIDE=FQ","FILING_STATUS=MR","FA_ADJUSTED=GAAP","Sort=A","Dates=H","DateFormat=P","Fill=—","Direction=H","UseDPDF=Y")</f>
        <v>5.2304000000000004</v>
      </c>
      <c r="AO10" s="21">
        <f>_xll.BDH("CRM US Equity","RETURN_ON_INV_CAPITAL","FQ4 2021","FQ4 2021","Currency=USD","Period=FQ","BEST_FPERIOD_OVERRIDE=FQ","FILING_STATUS=MR","FA_ADJUSTED=GAAP","Sort=A","Dates=H","DateFormat=P","Fill=—","Direction=H","UseDPDF=Y")</f>
        <v>5.9775999999999998</v>
      </c>
      <c r="AP10" s="21">
        <f>_xll.BDH("CRM US Equity","RETURN_ON_INV_CAPITAL","FQ1 2022","FQ1 2022","Currency=USD","Period=FQ","BEST_FPERIOD_OVERRIDE=FQ","FILING_STATUS=MR","FA_ADJUSTED=GAAP","Sort=A","Dates=H","DateFormat=P","Fill=—","Direction=H","UseDPDF=Y")</f>
        <v>6.0439999999999996</v>
      </c>
    </row>
    <row r="11" spans="1:42" x14ac:dyDescent="0.25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14" t="s">
        <v>93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18" t="s">
        <v>94</v>
      </c>
      <c r="B13" s="18" t="s">
        <v>95</v>
      </c>
      <c r="C13" s="21">
        <f>_xll.BDH("CRM US Equity","GROSS_MARGIN","FQ2 2012","FQ2 2012","Currency=USD","Period=FQ","BEST_FPERIOD_OVERRIDE=FQ","FILING_STATUS=MR","FA_ADJUSTED=GAAP","Sort=A","Dates=H","DateFormat=P","Fill=—","Direction=H","UseDPDF=Y")</f>
        <v>77.855400000000003</v>
      </c>
      <c r="D13" s="21">
        <f>_xll.BDH("CRM US Equity","GROSS_MARGIN","FQ3 2012","FQ3 2012","Currency=USD","Period=FQ","BEST_FPERIOD_OVERRIDE=FQ","FILING_STATUS=MR","FA_ADJUSTED=GAAP","Sort=A","Dates=H","DateFormat=P","Fill=—","Direction=H","UseDPDF=Y")</f>
        <v>77.995199999999997</v>
      </c>
      <c r="E13" s="21">
        <f>_xll.BDH("CRM US Equity","GROSS_MARGIN","FQ4 2012","FQ4 2012","Currency=USD","Period=FQ","BEST_FPERIOD_OVERRIDE=FQ","FILING_STATUS=MR","FA_ADJUSTED=GAAP","Sort=A","Dates=H","DateFormat=P","Fill=—","Direction=H","UseDPDF=Y")</f>
        <v>78.423500000000004</v>
      </c>
      <c r="F13" s="21">
        <f>_xll.BDH("CRM US Equity","GROSS_MARGIN","FQ1 2013","FQ1 2013","Currency=USD","Period=FQ","BEST_FPERIOD_OVERRIDE=FQ","FILING_STATUS=MR","FA_ADJUSTED=GAAP","Sort=A","Dates=H","DateFormat=P","Fill=—","Direction=H","UseDPDF=Y")</f>
        <v>78.208699999999993</v>
      </c>
      <c r="G13" s="21">
        <f>_xll.BDH("CRM US Equity","GROSS_MARGIN","FQ2 2013","FQ2 2013","Currency=USD","Period=FQ","BEST_FPERIOD_OVERRIDE=FQ","FILING_STATUS=MR","FA_ADJUSTED=GAAP","Sort=A","Dates=H","DateFormat=P","Fill=—","Direction=H","UseDPDF=Y")</f>
        <v>77.801100000000005</v>
      </c>
      <c r="H13" s="21">
        <f>_xll.BDH("CRM US Equity","GROSS_MARGIN","FQ3 2013","FQ3 2013","Currency=USD","Period=FQ","BEST_FPERIOD_OVERRIDE=FQ","FILING_STATUS=MR","FA_ADJUSTED=GAAP","Sort=A","Dates=H","DateFormat=P","Fill=—","Direction=H","UseDPDF=Y")</f>
        <v>76.376400000000004</v>
      </c>
      <c r="I13" s="21">
        <f>_xll.BDH("CRM US Equity","GROSS_MARGIN","FQ4 2013","FQ4 2013","Currency=USD","Period=FQ","BEST_FPERIOD_OVERRIDE=FQ","FILING_STATUS=MR","FA_ADJUSTED=GAAP","Sort=A","Dates=H","DateFormat=P","Fill=—","Direction=H","UseDPDF=Y")</f>
        <v>78.0321</v>
      </c>
      <c r="J13" s="21">
        <f>_xll.BDH("CRM US Equity","GROSS_MARGIN","FQ1 2014","FQ1 2014","Currency=USD","Period=FQ","BEST_FPERIOD_OVERRIDE=FQ","FILING_STATUS=MR","FA_ADJUSTED=GAAP","Sort=A","Dates=H","DateFormat=P","Fill=—","Direction=H","UseDPDF=Y")</f>
        <v>76.586799999999997</v>
      </c>
      <c r="K13" s="21">
        <f>_xll.BDH("CRM US Equity","GROSS_MARGIN","FQ2 2014","FQ2 2014","Currency=USD","Period=FQ","BEST_FPERIOD_OVERRIDE=FQ","FILING_STATUS=MR","FA_ADJUSTED=GAAP","Sort=A","Dates=H","DateFormat=P","Fill=—","Direction=H","UseDPDF=Y")</f>
        <v>77.252300000000005</v>
      </c>
      <c r="L13" s="21">
        <f>_xll.BDH("CRM US Equity","GROSS_MARGIN","FQ3 2014","FQ3 2014","Currency=USD","Period=FQ","BEST_FPERIOD_OVERRIDE=FQ","FILING_STATUS=MR","FA_ADJUSTED=GAAP","Sort=A","Dates=H","DateFormat=P","Fill=—","Direction=H","UseDPDF=Y")</f>
        <v>75.076300000000003</v>
      </c>
      <c r="M13" s="21">
        <f>_xll.BDH("CRM US Equity","GROSS_MARGIN","FQ4 2014","FQ4 2014","Currency=USD","Period=FQ","BEST_FPERIOD_OVERRIDE=FQ","FILING_STATUS=MR","FA_ADJUSTED=GAAP","Sort=A","Dates=H","DateFormat=P","Fill=—","Direction=H","UseDPDF=Y")</f>
        <v>76.116</v>
      </c>
      <c r="N13" s="21">
        <f>_xll.BDH("CRM US Equity","GROSS_MARGIN","FQ1 2015","FQ1 2015","Currency=USD","Period=FQ","BEST_FPERIOD_OVERRIDE=FQ","FILING_STATUS=MR","FA_ADJUSTED=GAAP","Sort=A","Dates=H","DateFormat=P","Fill=—","Direction=H","UseDPDF=Y")</f>
        <v>76.172799999999995</v>
      </c>
      <c r="O13" s="21">
        <f>_xll.BDH("CRM US Equity","GROSS_MARGIN","FQ2 2015","FQ2 2015","Currency=USD","Period=FQ","BEST_FPERIOD_OVERRIDE=FQ","FILING_STATUS=MR","FA_ADJUSTED=GAAP","Sort=A","Dates=H","DateFormat=P","Fill=—","Direction=H","UseDPDF=Y")</f>
        <v>76.653800000000004</v>
      </c>
      <c r="P13" s="21">
        <f>_xll.BDH("CRM US Equity","GROSS_MARGIN","FQ3 2015","FQ3 2015","Currency=USD","Period=FQ","BEST_FPERIOD_OVERRIDE=FQ","FILING_STATUS=MR","FA_ADJUSTED=GAAP","Sort=A","Dates=H","DateFormat=P","Fill=—","Direction=H","UseDPDF=Y")</f>
        <v>75.918099999999995</v>
      </c>
      <c r="Q13" s="21">
        <f>_xll.BDH("CRM US Equity","GROSS_MARGIN","FQ4 2015","FQ4 2015","Currency=USD","Period=FQ","BEST_FPERIOD_OVERRIDE=FQ","FILING_STATUS=MR","FA_ADJUSTED=GAAP","Sort=A","Dates=H","DateFormat=P","Fill=—","Direction=H","UseDPDF=Y")</f>
        <v>75.361999999999995</v>
      </c>
      <c r="R13" s="21">
        <f>_xll.BDH("CRM US Equity","GROSS_MARGIN","FQ1 2016","FQ1 2016","Currency=USD","Period=FQ","BEST_FPERIOD_OVERRIDE=FQ","FILING_STATUS=MR","FA_ADJUSTED=GAAP","Sort=A","Dates=H","DateFormat=P","Fill=—","Direction=H","UseDPDF=Y")</f>
        <v>74.7346</v>
      </c>
      <c r="S13" s="21">
        <f>_xll.BDH("CRM US Equity","GROSS_MARGIN","FQ2 2016","FQ2 2016","Currency=USD","Period=FQ","BEST_FPERIOD_OVERRIDE=FQ","FILING_STATUS=MR","FA_ADJUSTED=GAAP","Sort=A","Dates=H","DateFormat=P","Fill=—","Direction=H","UseDPDF=Y")</f>
        <v>75.201099999999997</v>
      </c>
      <c r="T13" s="21">
        <f>_xll.BDH("CRM US Equity","GROSS_MARGIN","FQ3 2016","FQ3 2016","Currency=USD","Period=FQ","BEST_FPERIOD_OVERRIDE=FQ","FILING_STATUS=MR","FA_ADJUSTED=GAAP","Sort=A","Dates=H","DateFormat=P","Fill=—","Direction=H","UseDPDF=Y")</f>
        <v>75.2517</v>
      </c>
      <c r="U13" s="21">
        <f>_xll.BDH("CRM US Equity","GROSS_MARGIN","FQ4 2016","FQ4 2016","Currency=USD","Period=FQ","BEST_FPERIOD_OVERRIDE=FQ","FILING_STATUS=MR","FA_ADJUSTED=GAAP","Sort=A","Dates=H","DateFormat=P","Fill=—","Direction=H","UseDPDF=Y")</f>
        <v>75.479200000000006</v>
      </c>
      <c r="V13" s="21">
        <f>_xll.BDH("CRM US Equity","GROSS_MARGIN","FQ1 2017","FQ1 2017","Currency=USD","Period=FQ","BEST_FPERIOD_OVERRIDE=FQ","FILING_STATUS=MR","FA_ADJUSTED=GAAP","Sort=A","Dates=H","DateFormat=P","Fill=—","Direction=H","UseDPDF=Y")</f>
        <v>74.069699999999997</v>
      </c>
      <c r="W13" s="21">
        <f>_xll.BDH("CRM US Equity","GROSS_MARGIN","FQ2 2017","FQ2 2017","Currency=USD","Period=FQ","BEST_FPERIOD_OVERRIDE=FQ","FILING_STATUS=MR","FA_ADJUSTED=GAAP","Sort=A","Dates=H","DateFormat=P","Fill=—","Direction=H","UseDPDF=Y")</f>
        <v>74.1935</v>
      </c>
      <c r="X13" s="21">
        <f>_xll.BDH("CRM US Equity","GROSS_MARGIN","FQ3 2017","FQ3 2017","Currency=USD","Period=FQ","BEST_FPERIOD_OVERRIDE=FQ","FILING_STATUS=MR","FA_ADJUSTED=GAAP","Sort=A","Dates=H","DateFormat=P","Fill=—","Direction=H","UseDPDF=Y")</f>
        <v>72.700100000000006</v>
      </c>
      <c r="Y13" s="21">
        <f>_xll.BDH("CRM US Equity","GROSS_MARGIN","FQ4 2017","FQ4 2017","Currency=USD","Period=FQ","BEST_FPERIOD_OVERRIDE=FQ","FILING_STATUS=MR","FA_ADJUSTED=GAAP","Sort=A","Dates=H","DateFormat=P","Fill=—","Direction=H","UseDPDF=Y")</f>
        <v>73.239999999999995</v>
      </c>
      <c r="Z13" s="21">
        <f>_xll.BDH("CRM US Equity","GROSS_MARGIN","FQ1 2018","FQ1 2018","Currency=USD","Period=FQ","BEST_FPERIOD_OVERRIDE=FQ","FILING_STATUS=MR","FA_ADJUSTED=GAAP","Sort=A","Dates=H","DateFormat=P","Fill=—","Direction=H","UseDPDF=Y")</f>
        <v>72.841099999999997</v>
      </c>
      <c r="AA13" s="21">
        <f>_xll.BDH("CRM US Equity","GROSS_MARGIN","FQ2 2018","FQ2 2018","Currency=USD","Period=FQ","BEST_FPERIOD_OVERRIDE=FQ","FILING_STATUS=MR","FA_ADJUSTED=GAAP","Sort=A","Dates=H","DateFormat=P","Fill=—","Direction=H","UseDPDF=Y")</f>
        <v>74.000799999999998</v>
      </c>
      <c r="AB13" s="21">
        <f>_xll.BDH("CRM US Equity","GROSS_MARGIN","FQ3 2018","FQ3 2018","Currency=USD","Period=FQ","BEST_FPERIOD_OVERRIDE=FQ","FILING_STATUS=MR","FA_ADJUSTED=GAAP","Sort=A","Dates=H","DateFormat=P","Fill=—","Direction=H","UseDPDF=Y")</f>
        <v>73.565299999999993</v>
      </c>
      <c r="AC13" s="21">
        <f>_xll.BDH("CRM US Equity","GROSS_MARGIN","FQ4 2018","FQ4 2018","Currency=USD","Period=FQ","BEST_FPERIOD_OVERRIDE=FQ","FILING_STATUS=MR","FA_ADJUSTED=GAAP","Sort=A","Dates=H","DateFormat=P","Fill=—","Direction=H","UseDPDF=Y")</f>
        <v>74.240799999999993</v>
      </c>
      <c r="AD13" s="21">
        <f>_xll.BDH("CRM US Equity","GROSS_MARGIN","FQ1 2019","FQ1 2019","Currency=USD","Period=FQ","BEST_FPERIOD_OVERRIDE=FQ","FILING_STATUS=MR","FA_ADJUSTED=GAAP","Sort=A","Dates=H","DateFormat=P","Fill=—","Direction=H","UseDPDF=Y")</f>
        <v>74.484399999999994</v>
      </c>
      <c r="AE13" s="21">
        <f>_xll.BDH("CRM US Equity","GROSS_MARGIN","FQ2 2019","FQ2 2019","Currency=USD","Period=FQ","BEST_FPERIOD_OVERRIDE=FQ","FILING_STATUS=MR","FA_ADJUSTED=GAAP","Sort=A","Dates=H","DateFormat=P","Fill=—","Direction=H","UseDPDF=Y")</f>
        <v>74.123699999999999</v>
      </c>
      <c r="AF13" s="21">
        <f>_xll.BDH("CRM US Equity","GROSS_MARGIN","FQ3 2019","FQ3 2019","Currency=USD","Period=FQ","BEST_FPERIOD_OVERRIDE=FQ","FILING_STATUS=MR","FA_ADJUSTED=GAAP","Sort=A","Dates=H","DateFormat=P","Fill=—","Direction=H","UseDPDF=Y")</f>
        <v>73.791300000000007</v>
      </c>
      <c r="AG13" s="21">
        <f>_xll.BDH("CRM US Equity","GROSS_MARGIN","FQ4 2019","FQ4 2019","Currency=USD","Period=FQ","BEST_FPERIOD_OVERRIDE=FQ","FILING_STATUS=MR","FA_ADJUSTED=GAAP","Sort=A","Dates=H","DateFormat=P","Fill=—","Direction=H","UseDPDF=Y")</f>
        <v>73.744100000000003</v>
      </c>
      <c r="AH13" s="21">
        <f>_xll.BDH("CRM US Equity","GROSS_MARGIN","FQ1 2020","FQ1 2020","Currency=USD","Period=FQ","BEST_FPERIOD_OVERRIDE=FQ","FILING_STATUS=MR","FA_ADJUSTED=GAAP","Sort=A","Dates=H","DateFormat=P","Fill=—","Direction=H","UseDPDF=Y")</f>
        <v>75.541899999999998</v>
      </c>
      <c r="AI13" s="21">
        <f>_xll.BDH("CRM US Equity","GROSS_MARGIN","FQ2 2020","FQ2 2020","Currency=USD","Period=FQ","BEST_FPERIOD_OVERRIDE=FQ","FILING_STATUS=MR","FA_ADJUSTED=GAAP","Sort=A","Dates=H","DateFormat=P","Fill=—","Direction=H","UseDPDF=Y")</f>
        <v>75.806899999999999</v>
      </c>
      <c r="AJ13" s="21">
        <f>_xll.BDH("CRM US Equity","GROSS_MARGIN","FQ3 2020","FQ3 2020","Currency=USD","Period=FQ","BEST_FPERIOD_OVERRIDE=FQ","FILING_STATUS=MR","FA_ADJUSTED=GAAP","Sort=A","Dates=H","DateFormat=P","Fill=—","Direction=H","UseDPDF=Y")</f>
        <v>74.872600000000006</v>
      </c>
      <c r="AK13" s="21">
        <f>_xll.BDH("CRM US Equity","GROSS_MARGIN","FQ4 2020","FQ4 2020","Currency=USD","Period=FQ","BEST_FPERIOD_OVERRIDE=FQ","FILING_STATUS=MR","FA_ADJUSTED=GAAP","Sort=A","Dates=H","DateFormat=P","Fill=—","Direction=H","UseDPDF=Y")</f>
        <v>74.850499999999997</v>
      </c>
      <c r="AL13" s="21">
        <f>_xll.BDH("CRM US Equity","GROSS_MARGIN","FQ1 2021","FQ1 2021","Currency=USD","Period=FQ","BEST_FPERIOD_OVERRIDE=FQ","FILING_STATUS=MR","FA_ADJUSTED=GAAP","Sort=A","Dates=H","DateFormat=P","Fill=—","Direction=H","UseDPDF=Y")</f>
        <v>74.224000000000004</v>
      </c>
      <c r="AM13" s="21">
        <f>_xll.BDH("CRM US Equity","GROSS_MARGIN","FQ2 2021","FQ2 2021","Currency=USD","Period=FQ","BEST_FPERIOD_OVERRIDE=FQ","FILING_STATUS=MR","FA_ADJUSTED=GAAP","Sort=A","Dates=H","DateFormat=P","Fill=—","Direction=H","UseDPDF=Y")</f>
        <v>74.548599999999993</v>
      </c>
      <c r="AN13" s="21">
        <f>_xll.BDH("CRM US Equity","GROSS_MARGIN","FQ3 2021","FQ3 2021","Currency=USD","Period=FQ","BEST_FPERIOD_OVERRIDE=FQ","FILING_STATUS=MR","FA_ADJUSTED=GAAP","Sort=A","Dates=H","DateFormat=P","Fill=—","Direction=H","UseDPDF=Y")</f>
        <v>74.275700000000001</v>
      </c>
      <c r="AO13" s="21">
        <f>_xll.BDH("CRM US Equity","GROSS_MARGIN","FQ4 2021","FQ4 2021","Currency=USD","Period=FQ","BEST_FPERIOD_OVERRIDE=FQ","FILING_STATUS=MR","FA_ADJUSTED=GAAP","Sort=A","Dates=H","DateFormat=P","Fill=—","Direction=H","UseDPDF=Y")</f>
        <v>74.5745</v>
      </c>
      <c r="AP13" s="21">
        <f>_xll.BDH("CRM US Equity","GROSS_MARGIN","FQ1 2022","FQ1 2022","Currency=USD","Period=FQ","BEST_FPERIOD_OVERRIDE=FQ","FILING_STATUS=MR","FA_ADJUSTED=GAAP","Sort=A","Dates=H","DateFormat=P","Fill=—","Direction=H","UseDPDF=Y")</f>
        <v>73.922499999999999</v>
      </c>
    </row>
    <row r="14" spans="1:42" x14ac:dyDescent="0.25">
      <c r="A14" s="18" t="s">
        <v>96</v>
      </c>
      <c r="B14" s="18" t="s">
        <v>97</v>
      </c>
      <c r="C14" s="21">
        <f>_xll.BDH("CRM US Equity","EBITDA_TO_REVENUE","FQ2 2012","FQ2 2012","Currency=USD","Period=FQ","BEST_FPERIOD_OVERRIDE=FQ","FILING_STATUS=MR","FA_ADJUSTED=GAAP","Sort=A","Dates=H","DateFormat=P","Fill=—","Direction=H","UseDPDF=Y")</f>
        <v>4.4855</v>
      </c>
      <c r="D14" s="21">
        <f>_xll.BDH("CRM US Equity","EBITDA_TO_REVENUE","FQ3 2012","FQ3 2012","Currency=USD","Period=FQ","BEST_FPERIOD_OVERRIDE=FQ","FILING_STATUS=MR","FA_ADJUSTED=GAAP","Sort=A","Dates=H","DateFormat=P","Fill=—","Direction=H","UseDPDF=Y")</f>
        <v>5.3735999999999997</v>
      </c>
      <c r="E14" s="21">
        <f>_xll.BDH("CRM US Equity","EBITDA_TO_REVENUE","FQ4 2012","FQ4 2012","Currency=USD","Period=FQ","BEST_FPERIOD_OVERRIDE=FQ","FILING_STATUS=MR","FA_ADJUSTED=GAAP","Sort=A","Dates=H","DateFormat=P","Fill=—","Direction=H","UseDPDF=Y")</f>
        <v>6.2546999999999997</v>
      </c>
      <c r="F14" s="21">
        <f>_xll.BDH("CRM US Equity","EBITDA_TO_REVENUE","FQ1 2013","FQ1 2013","Currency=USD","Period=FQ","BEST_FPERIOD_OVERRIDE=FQ","FILING_STATUS=MR","FA_ADJUSTED=GAAP","Sort=A","Dates=H","DateFormat=P","Fill=—","Direction=H","UseDPDF=Y")</f>
        <v>3.9098999999999999</v>
      </c>
      <c r="G14" s="21">
        <f>_xll.BDH("CRM US Equity","EBITDA_TO_REVENUE","FQ2 2013","FQ2 2013","Currency=USD","Period=FQ","BEST_FPERIOD_OVERRIDE=FQ","FILING_STATUS=MR","FA_ADJUSTED=GAAP","Sort=A","Dates=H","DateFormat=P","Fill=—","Direction=H","UseDPDF=Y")</f>
        <v>4.9931999999999999</v>
      </c>
      <c r="H14" s="21">
        <f>_xll.BDH("CRM US Equity","EBITDA_TO_REVENUE","FQ3 2013","FQ3 2013","Currency=USD","Period=FQ","BEST_FPERIOD_OVERRIDE=FQ","FILING_STATUS=MR","FA_ADJUSTED=GAAP","Sort=A","Dates=H","DateFormat=P","Fill=—","Direction=H","UseDPDF=Y")</f>
        <v>0.73209999999999997</v>
      </c>
      <c r="I14" s="21">
        <f>_xll.BDH("CRM US Equity","EBITDA_TO_REVENUE","FQ4 2013","FQ4 2013","Currency=USD","Period=FQ","BEST_FPERIOD_OVERRIDE=FQ","FILING_STATUS=MR","FA_ADJUSTED=GAAP","Sort=A","Dates=H","DateFormat=P","Fill=—","Direction=H","UseDPDF=Y")</f>
        <v>4.3834999999999997</v>
      </c>
      <c r="J14" s="21">
        <f>_xll.BDH("CRM US Equity","EBITDA_TO_REVENUE","FQ1 2014","FQ1 2014","Currency=USD","Period=FQ","BEST_FPERIOD_OVERRIDE=FQ","FILING_STATUS=MR","FA_ADJUSTED=GAAP","Sort=A","Dates=H","DateFormat=P","Fill=—","Direction=H","UseDPDF=Y")</f>
        <v>1.9893000000000001</v>
      </c>
      <c r="K14" s="21">
        <f>_xll.BDH("CRM US Equity","EBITDA_TO_REVENUE","FQ2 2014","FQ2 2014","Currency=USD","Period=FQ","BEST_FPERIOD_OVERRIDE=FQ","FILING_STATUS=MR","FA_ADJUSTED=GAAP","Sort=A","Dates=H","DateFormat=P","Fill=—","Direction=H","UseDPDF=Y")</f>
        <v>3.9817</v>
      </c>
      <c r="L14" s="21">
        <f>_xll.BDH("CRM US Equity","EBITDA_TO_REVENUE","FQ3 2014","FQ3 2014","Currency=USD","Period=FQ","BEST_FPERIOD_OVERRIDE=FQ","FILING_STATUS=MR","FA_ADJUSTED=GAAP","Sort=A","Dates=H","DateFormat=P","Fill=—","Direction=H","UseDPDF=Y")</f>
        <v>1.5255999999999998</v>
      </c>
      <c r="M14" s="21">
        <f>_xll.BDH("CRM US Equity","EBITDA_TO_REVENUE","FQ4 2014","FQ4 2014","Currency=USD","Period=FQ","BEST_FPERIOD_OVERRIDE=FQ","FILING_STATUS=MR","FA_ADJUSTED=GAAP","Sort=A","Dates=H","DateFormat=P","Fill=—","Direction=H","UseDPDF=Y")</f>
        <v>0.96630000000000005</v>
      </c>
      <c r="N14" s="21">
        <f>_xll.BDH("CRM US Equity","EBITDA_TO_REVENUE","FQ1 2015","FQ1 2015","Currency=USD","Period=FQ","BEST_FPERIOD_OVERRIDE=FQ","FILING_STATUS=MR","FA_ADJUSTED=GAAP","Sort=A","Dates=H","DateFormat=P","Fill=—","Direction=H","UseDPDF=Y")</f>
        <v>4.5213999999999999</v>
      </c>
      <c r="O14" s="21">
        <f>_xll.BDH("CRM US Equity","EBITDA_TO_REVENUE","FQ2 2015","FQ2 2015","Currency=USD","Period=FQ","BEST_FPERIOD_OVERRIDE=FQ","FILING_STATUS=MR","FA_ADJUSTED=GAAP","Sort=A","Dates=H","DateFormat=P","Fill=—","Direction=H","UseDPDF=Y")</f>
        <v>5.6245000000000003</v>
      </c>
      <c r="P14" s="21">
        <f>_xll.BDH("CRM US Equity","EBITDA_TO_REVENUE","FQ3 2015","FQ3 2015","Currency=USD","Period=FQ","BEST_FPERIOD_OVERRIDE=FQ","FILING_STATUS=MR","FA_ADJUSTED=GAAP","Sort=A","Dates=H","DateFormat=P","Fill=—","Direction=H","UseDPDF=Y")</f>
        <v>6.4981999999999998</v>
      </c>
      <c r="Q14" s="21">
        <f>_xll.BDH("CRM US Equity","EBITDA_TO_REVENUE","FQ4 2015","FQ4 2015","Currency=USD","Period=FQ","BEST_FPERIOD_OVERRIDE=FQ","FILING_STATUS=MR","FA_ADJUSTED=GAAP","Sort=A","Dates=H","DateFormat=P","Fill=—","Direction=H","UseDPDF=Y")</f>
        <v>5.7538999999999998</v>
      </c>
      <c r="R14" s="21">
        <f>_xll.BDH("CRM US Equity","EBITDA_TO_REVENUE","FQ1 2016","FQ1 2016","Currency=USD","Period=FQ","BEST_FPERIOD_OVERRIDE=FQ","FILING_STATUS=MR","FA_ADJUSTED=GAAP","Sort=A","Dates=H","DateFormat=P","Fill=—","Direction=H","UseDPDF=Y")</f>
        <v>10.5238</v>
      </c>
      <c r="S14" s="21">
        <f>_xll.BDH("CRM US Equity","EBITDA_TO_REVENUE","FQ2 2016","FQ2 2016","Currency=USD","Period=FQ","BEST_FPERIOD_OVERRIDE=FQ","FILING_STATUS=MR","FA_ADJUSTED=GAAP","Sort=A","Dates=H","DateFormat=P","Fill=—","Direction=H","UseDPDF=Y")</f>
        <v>9.2677999999999994</v>
      </c>
      <c r="T14" s="21">
        <f>_xll.BDH("CRM US Equity","EBITDA_TO_REVENUE","FQ3 2016","FQ3 2016","Currency=USD","Period=FQ","BEST_FPERIOD_OVERRIDE=FQ","FILING_STATUS=MR","FA_ADJUSTED=GAAP","Sort=A","Dates=H","DateFormat=P","Fill=—","Direction=H","UseDPDF=Y")</f>
        <v>10.3781</v>
      </c>
      <c r="U14" s="21">
        <f>_xll.BDH("CRM US Equity","EBITDA_TO_REVENUE","FQ4 2016","FQ4 2016","Currency=USD","Period=FQ","BEST_FPERIOD_OVERRIDE=FQ","FILING_STATUS=MR","FA_ADJUSTED=GAAP","Sort=A","Dates=H","DateFormat=P","Fill=—","Direction=H","UseDPDF=Y")</f>
        <v>8.4267000000000003</v>
      </c>
      <c r="V14" s="21">
        <f>_xll.BDH("CRM US Equity","EBITDA_TO_REVENUE","FQ1 2017","FQ1 2017","Currency=USD","Period=FQ","BEST_FPERIOD_OVERRIDE=FQ","FILING_STATUS=MR","FA_ADJUSTED=GAAP","Sort=A","Dates=H","DateFormat=P","Fill=—","Direction=H","UseDPDF=Y")</f>
        <v>9.6399000000000008</v>
      </c>
      <c r="W14" s="21">
        <f>_xll.BDH("CRM US Equity","EBITDA_TO_REVENUE","FQ2 2017","FQ2 2017","Currency=USD","Period=FQ","BEST_FPERIOD_OVERRIDE=FQ","FILING_STATUS=MR","FA_ADJUSTED=GAAP","Sort=A","Dates=H","DateFormat=P","Fill=—","Direction=H","UseDPDF=Y")</f>
        <v>8.9321000000000002</v>
      </c>
      <c r="X14" s="21">
        <f>_xll.BDH("CRM US Equity","EBITDA_TO_REVENUE","FQ3 2017","FQ3 2017","Currency=USD","Period=FQ","BEST_FPERIOD_OVERRIDE=FQ","FILING_STATUS=MR","FA_ADJUSTED=GAAP","Sort=A","Dates=H","DateFormat=P","Fill=—","Direction=H","UseDPDF=Y")</f>
        <v>8.0373000000000001</v>
      </c>
      <c r="Y14" s="21">
        <f>_xll.BDH("CRM US Equity","EBITDA_TO_REVENUE","FQ4 2017","FQ4 2017","Currency=USD","Period=FQ","BEST_FPERIOD_OVERRIDE=FQ","FILING_STATUS=MR","FA_ADJUSTED=GAAP","Sort=A","Dates=H","DateFormat=P","Fill=—","Direction=H","UseDPDF=Y")</f>
        <v>13.294</v>
      </c>
      <c r="Z14" s="21">
        <f>_xll.BDH("CRM US Equity","EBITDA_TO_REVENUE","FQ1 2018","FQ1 2018","Currency=USD","Period=FQ","BEST_FPERIOD_OVERRIDE=FQ","FILING_STATUS=MR","FA_ADJUSTED=GAAP","Sort=A","Dates=H","DateFormat=P","Fill=—","Direction=H","UseDPDF=Y")</f>
        <v>7.8849</v>
      </c>
      <c r="AA14" s="21">
        <f>_xll.BDH("CRM US Equity","EBITDA_TO_REVENUE","FQ2 2018","FQ2 2018","Currency=USD","Period=FQ","BEST_FPERIOD_OVERRIDE=FQ","FILING_STATUS=MR","FA_ADJUSTED=GAAP","Sort=A","Dates=H","DateFormat=P","Fill=—","Direction=H","UseDPDF=Y")</f>
        <v>10.710100000000001</v>
      </c>
      <c r="AB14" s="21">
        <f>_xll.BDH("CRM US Equity","EBITDA_TO_REVENUE","FQ3 2018","FQ3 2018","Currency=USD","Period=FQ","BEST_FPERIOD_OVERRIDE=FQ","FILING_STATUS=MR","FA_ADJUSTED=GAAP","Sort=A","Dates=H","DateFormat=P","Fill=—","Direction=H","UseDPDF=Y")</f>
        <v>12.699</v>
      </c>
      <c r="AC14" s="21">
        <f>_xll.BDH("CRM US Equity","EBITDA_TO_REVENUE","FQ4 2018","FQ4 2018","Currency=USD","Period=FQ","BEST_FPERIOD_OVERRIDE=FQ","FILING_STATUS=MR","FA_ADJUSTED=GAAP","Sort=A","Dates=H","DateFormat=P","Fill=—","Direction=H","UseDPDF=Y")</f>
        <v>13.9267</v>
      </c>
      <c r="AD14" s="21">
        <f>_xll.BDH("CRM US Equity","EBITDA_TO_REVENUE","FQ1 2019","FQ1 2019","Currency=USD","Period=FQ","BEST_FPERIOD_OVERRIDE=FQ","FILING_STATUS=MR","FA_ADJUSTED=GAAP","Sort=A","Dates=H","DateFormat=P","Fill=—","Direction=H","UseDPDF=Y")</f>
        <v>12.3752</v>
      </c>
      <c r="AE14" s="21">
        <f>_xll.BDH("CRM US Equity","EBITDA_TO_REVENUE","FQ2 2019","FQ2 2019","Currency=USD","Period=FQ","BEST_FPERIOD_OVERRIDE=FQ","FILING_STATUS=MR","FA_ADJUSTED=GAAP","Sort=A","Dates=H","DateFormat=P","Fill=—","Direction=H","UseDPDF=Y")</f>
        <v>11.216100000000001</v>
      </c>
      <c r="AF14" s="21">
        <f>_xll.BDH("CRM US Equity","EBITDA_TO_REVENUE","FQ3 2019","FQ3 2019","Currency=USD","Period=FQ","BEST_FPERIOD_OVERRIDE=FQ","FILING_STATUS=MR","FA_ADJUSTED=GAAP","Sort=A","Dates=H","DateFormat=P","Fill=—","Direction=H","UseDPDF=Y")</f>
        <v>10.2889</v>
      </c>
      <c r="AG14" s="21">
        <f>_xll.BDH("CRM US Equity","EBITDA_TO_REVENUE","FQ4 2019","FQ4 2019","Currency=USD","Period=FQ","BEST_FPERIOD_OVERRIDE=FQ","FILING_STATUS=MR","FA_ADJUSTED=GAAP","Sort=A","Dates=H","DateFormat=P","Fill=—","Direction=H","UseDPDF=Y")</f>
        <v>11.3794</v>
      </c>
      <c r="AH14" s="21">
        <f>_xll.BDH("CRM US Equity","EBITDA_TO_REVENUE","FQ1 2020","FQ1 2020","Currency=USD","Period=FQ","BEST_FPERIOD_OVERRIDE=FQ","FILING_STATUS=MR","FA_ADJUSTED=GAAP","Sort=A","Dates=H","DateFormat=P","Fill=—","Direction=H","UseDPDF=Y")</f>
        <v>22.825800000000001</v>
      </c>
      <c r="AI14" s="21">
        <f>_xll.BDH("CRM US Equity","EBITDA_TO_REVENUE","FQ2 2020","FQ2 2020","Currency=USD","Period=FQ","BEST_FPERIOD_OVERRIDE=FQ","FILING_STATUS=MR","FA_ADJUSTED=GAAP","Sort=A","Dates=H","DateFormat=P","Fill=—","Direction=H","UseDPDF=Y")</f>
        <v>18.313700000000001</v>
      </c>
      <c r="AJ14" s="21">
        <f>_xll.BDH("CRM US Equity","EBITDA_TO_REVENUE","FQ3 2020","FQ3 2020","Currency=USD","Period=FQ","BEST_FPERIOD_OVERRIDE=FQ","FILING_STATUS=MR","FA_ADJUSTED=GAAP","Sort=A","Dates=H","DateFormat=P","Fill=—","Direction=H","UseDPDF=Y")</f>
        <v>20.008900000000001</v>
      </c>
      <c r="AK14" s="21">
        <f>_xll.BDH("CRM US Equity","EBITDA_TO_REVENUE","FQ4 2020","FQ4 2020","Currency=USD","Period=FQ","BEST_FPERIOD_OVERRIDE=FQ","FILING_STATUS=MR","FA_ADJUSTED=GAAP","Sort=A","Dates=H","DateFormat=P","Fill=—","Direction=H","UseDPDF=Y")</f>
        <v>17.666499999999999</v>
      </c>
      <c r="AL14" s="21">
        <f>_xll.BDH("CRM US Equity","EBITDA_TO_REVENUE","FQ1 2021","FQ1 2021","Currency=USD","Period=FQ","BEST_FPERIOD_OVERRIDE=FQ","FILING_STATUS=MR","FA_ADJUSTED=GAAP","Sort=A","Dates=H","DateFormat=P","Fill=—","Direction=H","UseDPDF=Y")</f>
        <v>16.382300000000001</v>
      </c>
      <c r="AM14" s="21">
        <f>_xll.BDH("CRM US Equity","EBITDA_TO_REVENUE","FQ2 2021","FQ2 2021","Currency=USD","Period=FQ","BEST_FPERIOD_OVERRIDE=FQ","FILING_STATUS=MR","FA_ADJUSTED=GAAP","Sort=A","Dates=H","DateFormat=P","Fill=—","Direction=H","UseDPDF=Y")</f>
        <v>21.0639</v>
      </c>
      <c r="AN14" s="21">
        <f>_xll.BDH("CRM US Equity","EBITDA_TO_REVENUE","FQ3 2021","FQ3 2021","Currency=USD","Period=FQ","BEST_FPERIOD_OVERRIDE=FQ","FILING_STATUS=MR","FA_ADJUSTED=GAAP","Sort=A","Dates=H","DateFormat=P","Fill=—","Direction=H","UseDPDF=Y")</f>
        <v>21.627600000000001</v>
      </c>
      <c r="AO14" s="21">
        <f>_xll.BDH("CRM US Equity","EBITDA_TO_REVENUE","FQ4 2021","FQ4 2021","Currency=USD","Period=FQ","BEST_FPERIOD_OVERRIDE=FQ","FILING_STATUS=MR","FA_ADJUSTED=GAAP","Sort=A","Dates=H","DateFormat=P","Fill=—","Direction=H","UseDPDF=Y")</f>
        <v>25.012899999999998</v>
      </c>
      <c r="AP14" s="21">
        <f>_xll.BDH("CRM US Equity","EBITDA_TO_REVENUE","FQ1 2022","FQ1 2022","Currency=USD","Period=FQ","BEST_FPERIOD_OVERRIDE=FQ","FILING_STATUS=MR","FA_ADJUSTED=GAAP","Sort=A","Dates=H","DateFormat=P","Fill=—","Direction=H","UseDPDF=Y")</f>
        <v>21.885000000000002</v>
      </c>
    </row>
    <row r="15" spans="1:42" x14ac:dyDescent="0.25">
      <c r="A15" s="19" t="s">
        <v>98</v>
      </c>
      <c r="B15" s="19" t="s">
        <v>97</v>
      </c>
      <c r="C15" s="23">
        <v>-62.7390924467812</v>
      </c>
      <c r="D15" s="23">
        <v>-57.974757177075801</v>
      </c>
      <c r="E15" s="23">
        <v>22.3946037759479</v>
      </c>
      <c r="F15" s="23">
        <v>-26.390135626661401</v>
      </c>
      <c r="G15" s="23">
        <v>11.319235360934</v>
      </c>
      <c r="H15" s="23">
        <v>-86.375740071664694</v>
      </c>
      <c r="I15" s="23">
        <v>-29.916695685039901</v>
      </c>
      <c r="J15" s="23">
        <v>-49.121778586666501</v>
      </c>
      <c r="K15" s="23">
        <v>-20.257383931598699</v>
      </c>
      <c r="L15" s="23">
        <v>108.381982139491</v>
      </c>
      <c r="M15" s="23">
        <v>-77.954776021102901</v>
      </c>
      <c r="N15" s="23">
        <v>127.28681640571</v>
      </c>
      <c r="O15" s="23">
        <v>41.257505196847298</v>
      </c>
      <c r="P15" s="23">
        <v>325.94018623468003</v>
      </c>
      <c r="Q15" s="23">
        <v>495.43351967100801</v>
      </c>
      <c r="R15" s="23">
        <v>132.756186277723</v>
      </c>
      <c r="S15" s="23">
        <v>64.775034545243798</v>
      </c>
      <c r="T15" s="23">
        <v>59.708806442200803</v>
      </c>
      <c r="U15" s="23">
        <v>46.450228608252999</v>
      </c>
      <c r="V15" s="23">
        <v>-8.3992482934137698</v>
      </c>
      <c r="W15" s="23">
        <v>-3.6224621093389699</v>
      </c>
      <c r="X15" s="23">
        <v>-22.5553450378927</v>
      </c>
      <c r="Y15" s="23">
        <v>57.761428891839799</v>
      </c>
      <c r="Z15" s="23">
        <v>-18.2057679627978</v>
      </c>
      <c r="AA15" s="23">
        <v>19.9065434267537</v>
      </c>
      <c r="AB15" s="23">
        <v>58.000821171288898</v>
      </c>
      <c r="AC15" s="23">
        <v>4.7590291435219001</v>
      </c>
      <c r="AD15" s="23">
        <v>56.949600601456801</v>
      </c>
      <c r="AE15" s="23">
        <v>4.7241732311696101</v>
      </c>
      <c r="AF15" s="23">
        <v>-18.978541617450201</v>
      </c>
      <c r="AG15" s="23">
        <v>-18.290733872240502</v>
      </c>
      <c r="AH15" s="23">
        <v>84.447150562614894</v>
      </c>
      <c r="AI15" s="23">
        <v>63.280876861488203</v>
      </c>
      <c r="AJ15" s="23">
        <v>94.470097187118398</v>
      </c>
      <c r="AK15" s="23">
        <v>55.2494128428145</v>
      </c>
      <c r="AL15" s="23">
        <v>-28.228908205435602</v>
      </c>
      <c r="AM15" s="23">
        <v>15.016794771792901</v>
      </c>
      <c r="AN15" s="23">
        <v>8.0901348567382296</v>
      </c>
      <c r="AO15" s="23">
        <v>41.584061459734301</v>
      </c>
      <c r="AP15" s="23">
        <v>33.588850616606699</v>
      </c>
    </row>
    <row r="16" spans="1:42" x14ac:dyDescent="0.25">
      <c r="A16" s="18" t="s">
        <v>99</v>
      </c>
      <c r="B16" s="18" t="s">
        <v>100</v>
      </c>
      <c r="C16" s="21">
        <f>_xll.BDH("CRM US Equity","OPER_MARGIN","FQ2 2012","FQ2 2012","Currency=USD","Period=FQ","BEST_FPERIOD_OVERRIDE=FQ","FILING_STATUS=MR","FA_ADJUSTED=GAAP","Sort=A","Dates=H","DateFormat=P","Fill=—","Direction=H","UseDPDF=Y")</f>
        <v>-2.8841999999999999</v>
      </c>
      <c r="D16" s="21">
        <f>_xll.BDH("CRM US Equity","OPER_MARGIN","FQ3 2012","FQ3 2012","Currency=USD","Period=FQ","BEST_FPERIOD_OVERRIDE=FQ","FILING_STATUS=MR","FA_ADJUSTED=GAAP","Sort=A","Dates=H","DateFormat=P","Fill=—","Direction=H","UseDPDF=Y")</f>
        <v>-1.7383999999999999</v>
      </c>
      <c r="E16" s="21">
        <f>_xll.BDH("CRM US Equity","OPER_MARGIN","FQ4 2012","FQ4 2012","Currency=USD","Period=FQ","BEST_FPERIOD_OVERRIDE=FQ","FILING_STATUS=MR","FA_ADJUSTED=GAAP","Sort=A","Dates=H","DateFormat=P","Fill=—","Direction=H","UseDPDF=Y")</f>
        <v>-1.0092000000000001</v>
      </c>
      <c r="F16" s="21">
        <f>_xll.BDH("CRM US Equity","OPER_MARGIN","FQ1 2013","FQ1 2013","Currency=USD","Period=FQ","BEST_FPERIOD_OVERRIDE=FQ","FILING_STATUS=MR","FA_ADJUSTED=GAAP","Sort=A","Dates=H","DateFormat=P","Fill=—","Direction=H","UseDPDF=Y")</f>
        <v>-3.1991000000000001</v>
      </c>
      <c r="G16" s="21">
        <f>_xll.BDH("CRM US Equity","OPER_MARGIN","FQ2 2013","FQ2 2013","Currency=USD","Period=FQ","BEST_FPERIOD_OVERRIDE=FQ","FILING_STATUS=MR","FA_ADJUSTED=GAAP","Sort=A","Dates=H","DateFormat=P","Fill=—","Direction=H","UseDPDF=Y")</f>
        <v>-1.8405</v>
      </c>
      <c r="H16" s="21">
        <f>_xll.BDH("CRM US Equity","OPER_MARGIN","FQ3 2013","FQ3 2013","Currency=USD","Period=FQ","BEST_FPERIOD_OVERRIDE=FQ","FILING_STATUS=MR","FA_ADJUSTED=GAAP","Sort=A","Dates=H","DateFormat=P","Fill=—","Direction=H","UseDPDF=Y")</f>
        <v>-6.8731999999999998</v>
      </c>
      <c r="I16" s="21">
        <f>_xll.BDH("CRM US Equity","OPER_MARGIN","FQ4 2013","FQ4 2013","Currency=USD","Period=FQ","BEST_FPERIOD_OVERRIDE=FQ","FILING_STATUS=MR","FA_ADJUSTED=GAAP","Sort=A","Dates=H","DateFormat=P","Fill=—","Direction=H","UseDPDF=Y")</f>
        <v>-2.4927999999999999</v>
      </c>
      <c r="J16" s="21">
        <f>_xll.BDH("CRM US Equity","OPER_MARGIN","FQ1 2014","FQ1 2014","Currency=USD","Period=FQ","BEST_FPERIOD_OVERRIDE=FQ","FILING_STATUS=MR","FA_ADJUSTED=GAAP","Sort=A","Dates=H","DateFormat=P","Fill=—","Direction=H","UseDPDF=Y")</f>
        <v>-4.9897</v>
      </c>
      <c r="K16" s="21">
        <f>_xll.BDH("CRM US Equity","OPER_MARGIN","FQ2 2014","FQ2 2014","Currency=USD","Period=FQ","BEST_FPERIOD_OVERRIDE=FQ","FILING_STATUS=MR","FA_ADJUSTED=GAAP","Sort=A","Dates=H","DateFormat=P","Fill=—","Direction=H","UseDPDF=Y")</f>
        <v>-4.1643999999999997</v>
      </c>
      <c r="L16" s="21">
        <f>_xll.BDH("CRM US Equity","OPER_MARGIN","FQ3 2014","FQ3 2014","Currency=USD","Period=FQ","BEST_FPERIOD_OVERRIDE=FQ","FILING_STATUS=MR","FA_ADJUSTED=GAAP","Sort=A","Dates=H","DateFormat=P","Fill=—","Direction=H","UseDPDF=Y")</f>
        <v>-9.1011000000000006</v>
      </c>
      <c r="M16" s="21">
        <f>_xll.BDH("CRM US Equity","OPER_MARGIN","FQ4 2014","FQ4 2014","Currency=USD","Period=FQ","BEST_FPERIOD_OVERRIDE=FQ","FILING_STATUS=MR","FA_ADJUSTED=GAAP","Sort=A","Dates=H","DateFormat=P","Fill=—","Direction=H","UseDPDF=Y")</f>
        <v>-9.0588999999999995</v>
      </c>
      <c r="N16" s="21">
        <f>_xll.BDH("CRM US Equity","OPER_MARGIN","FQ1 2015","FQ1 2015","Currency=USD","Period=FQ","BEST_FPERIOD_OVERRIDE=FQ","FILING_STATUS=MR","FA_ADJUSTED=GAAP","Sort=A","Dates=H","DateFormat=P","Fill=—","Direction=H","UseDPDF=Y")</f>
        <v>-4.5110999999999999</v>
      </c>
      <c r="O16" s="21">
        <f>_xll.BDH("CRM US Equity","OPER_MARGIN","FQ2 2015","FQ2 2015","Currency=USD","Period=FQ","BEST_FPERIOD_OVERRIDE=FQ","FILING_STATUS=MR","FA_ADJUSTED=GAAP","Sort=A","Dates=H","DateFormat=P","Fill=—","Direction=H","UseDPDF=Y")</f>
        <v>-2.5356999999999998</v>
      </c>
      <c r="P16" s="21">
        <f>_xll.BDH("CRM US Equity","OPER_MARGIN","FQ3 2015","FQ3 2015","Currency=USD","Period=FQ","BEST_FPERIOD_OVERRIDE=FQ","FILING_STATUS=MR","FA_ADJUSTED=GAAP","Sort=A","Dates=H","DateFormat=P","Fill=—","Direction=H","UseDPDF=Y")</f>
        <v>-1.593</v>
      </c>
      <c r="Q16" s="21">
        <f>_xll.BDH("CRM US Equity","OPER_MARGIN","FQ4 2015","FQ4 2015","Currency=USD","Period=FQ","BEST_FPERIOD_OVERRIDE=FQ","FILING_STATUS=MR","FA_ADJUSTED=GAAP","Sort=A","Dates=H","DateFormat=P","Fill=—","Direction=H","UseDPDF=Y")</f>
        <v>-2.4100999999999999</v>
      </c>
      <c r="R16" s="21">
        <f>_xll.BDH("CRM US Equity","OPER_MARGIN","FQ1 2016","FQ1 2016","Currency=USD","Period=FQ","BEST_FPERIOD_OVERRIDE=FQ","FILING_STATUS=MR","FA_ADJUSTED=GAAP","Sort=A","Dates=H","DateFormat=P","Fill=—","Direction=H","UseDPDF=Y")</f>
        <v>2.0583</v>
      </c>
      <c r="S16" s="21">
        <f>_xll.BDH("CRM US Equity","OPER_MARGIN","FQ2 2016","FQ2 2016","Currency=USD","Period=FQ","BEST_FPERIOD_OVERRIDE=FQ","FILING_STATUS=MR","FA_ADJUSTED=GAAP","Sort=A","Dates=H","DateFormat=P","Fill=—","Direction=H","UseDPDF=Y")</f>
        <v>1.2126999999999999</v>
      </c>
      <c r="T16" s="21">
        <f>_xll.BDH("CRM US Equity","OPER_MARGIN","FQ3 2016","FQ3 2016","Currency=USD","Period=FQ","BEST_FPERIOD_OVERRIDE=FQ","FILING_STATUS=MR","FA_ADJUSTED=GAAP","Sort=A","Dates=H","DateFormat=P","Fill=—","Direction=H","UseDPDF=Y")</f>
        <v>2.5371000000000001</v>
      </c>
      <c r="U16" s="21">
        <f>_xll.BDH("CRM US Equity","OPER_MARGIN","FQ4 2016","FQ4 2016","Currency=USD","Period=FQ","BEST_FPERIOD_OVERRIDE=FQ","FILING_STATUS=MR","FA_ADJUSTED=GAAP","Sort=A","Dates=H","DateFormat=P","Fill=—","Direction=H","UseDPDF=Y")</f>
        <v>1.1363000000000001</v>
      </c>
      <c r="V16" s="21">
        <f>_xll.BDH("CRM US Equity","OPER_MARGIN","FQ1 2017","FQ1 2017","Currency=USD","Period=FQ","BEST_FPERIOD_OVERRIDE=FQ","FILING_STATUS=MR","FA_ADJUSTED=GAAP","Sort=A","Dates=H","DateFormat=P","Fill=—","Direction=H","UseDPDF=Y")</f>
        <v>2.7124000000000001</v>
      </c>
      <c r="W16" s="21">
        <f>_xll.BDH("CRM US Equity","OPER_MARGIN","FQ2 2017","FQ2 2017","Currency=USD","Period=FQ","BEST_FPERIOD_OVERRIDE=FQ","FILING_STATUS=MR","FA_ADJUSTED=GAAP","Sort=A","Dates=H","DateFormat=P","Fill=—","Direction=H","UseDPDF=Y")</f>
        <v>1.5983000000000001</v>
      </c>
      <c r="X16" s="21">
        <f>_xll.BDH("CRM US Equity","OPER_MARGIN","FQ3 2017","FQ3 2017","Currency=USD","Period=FQ","BEST_FPERIOD_OVERRIDE=FQ","FILING_STATUS=MR","FA_ADJUSTED=GAAP","Sort=A","Dates=H","DateFormat=P","Fill=—","Direction=H","UseDPDF=Y")</f>
        <v>0.1416</v>
      </c>
      <c r="Y16" s="21">
        <f>_xll.BDH("CRM US Equity","OPER_MARGIN","FQ4 2017","FQ4 2017","Currency=USD","Period=FQ","BEST_FPERIOD_OVERRIDE=FQ","FILING_STATUS=MR","FA_ADJUSTED=GAAP","Sort=A","Dates=H","DateFormat=P","Fill=—","Direction=H","UseDPDF=Y")</f>
        <v>5.5762</v>
      </c>
      <c r="Z16" s="21">
        <f>_xll.BDH("CRM US Equity","OPER_MARGIN","FQ1 2018","FQ1 2018","Currency=USD","Period=FQ","BEST_FPERIOD_OVERRIDE=FQ","FILING_STATUS=MR","FA_ADJUSTED=GAAP","Sort=A","Dates=H","DateFormat=P","Fill=—","Direction=H","UseDPDF=Y")</f>
        <v>0.16689999999999999</v>
      </c>
      <c r="AA16" s="21">
        <f>_xll.BDH("CRM US Equity","OPER_MARGIN","FQ2 2018","FQ2 2018","Currency=USD","Period=FQ","BEST_FPERIOD_OVERRIDE=FQ","FILING_STATUS=MR","FA_ADJUSTED=GAAP","Sort=A","Dates=H","DateFormat=P","Fill=—","Direction=H","UseDPDF=Y")</f>
        <v>3.2595999999999998</v>
      </c>
      <c r="AB16" s="21">
        <f>_xll.BDH("CRM US Equity","OPER_MARGIN","FQ3 2018","FQ3 2018","Currency=USD","Period=FQ","BEST_FPERIOD_OVERRIDE=FQ","FILING_STATUS=MR","FA_ADJUSTED=GAAP","Sort=A","Dates=H","DateFormat=P","Fill=—","Direction=H","UseDPDF=Y")</f>
        <v>5.7385999999999999</v>
      </c>
      <c r="AC16" s="21">
        <f>_xll.BDH("CRM US Equity","OPER_MARGIN","FQ4 2018","FQ4 2018","Currency=USD","Period=FQ","BEST_FPERIOD_OVERRIDE=FQ","FILING_STATUS=MR","FA_ADJUSTED=GAAP","Sort=A","Dates=H","DateFormat=P","Fill=—","Direction=H","UseDPDF=Y")</f>
        <v>7.3647</v>
      </c>
      <c r="AD16" s="21">
        <f>_xll.BDH("CRM US Equity","OPER_MARGIN","FQ1 2019","FQ1 2019","Currency=USD","Period=FQ","BEST_FPERIOD_OVERRIDE=FQ","FILING_STATUS=MR","FA_ADJUSTED=GAAP","Sort=A","Dates=H","DateFormat=P","Fill=—","Direction=H","UseDPDF=Y")</f>
        <v>6.3540000000000001</v>
      </c>
      <c r="AE16" s="21">
        <f>_xll.BDH("CRM US Equity","OPER_MARGIN","FQ2 2019","FQ2 2019","Currency=USD","Period=FQ","BEST_FPERIOD_OVERRIDE=FQ","FILING_STATUS=MR","FA_ADJUSTED=GAAP","Sort=A","Dates=H","DateFormat=P","Fill=—","Direction=H","UseDPDF=Y")</f>
        <v>3.5049999999999999</v>
      </c>
      <c r="AF16" s="21">
        <f>_xll.BDH("CRM US Equity","OPER_MARGIN","FQ3 2019","FQ3 2019","Currency=USD","Period=FQ","BEST_FPERIOD_OVERRIDE=FQ","FILING_STATUS=MR","FA_ADJUSTED=GAAP","Sort=A","Dates=H","DateFormat=P","Fill=—","Direction=H","UseDPDF=Y")</f>
        <v>2.7122999999999999</v>
      </c>
      <c r="AG16" s="21">
        <f>_xll.BDH("CRM US Equity","OPER_MARGIN","FQ4 2019","FQ4 2019","Currency=USD","Period=FQ","BEST_FPERIOD_OVERRIDE=FQ","FILING_STATUS=MR","FA_ADJUSTED=GAAP","Sort=A","Dates=H","DateFormat=P","Fill=—","Direction=H","UseDPDF=Y")</f>
        <v>3.8024</v>
      </c>
      <c r="AH16" s="21">
        <f>_xll.BDH("CRM US Equity","OPER_MARGIN","FQ1 2020","FQ1 2020","Currency=USD","Period=FQ","BEST_FPERIOD_OVERRIDE=FQ","FILING_STATUS=MR","FA_ADJUSTED=GAAP","Sort=A","Dates=H","DateFormat=P","Fill=—","Direction=H","UseDPDF=Y")</f>
        <v>5.6195000000000004</v>
      </c>
      <c r="AI16" s="21">
        <f>_xll.BDH("CRM US Equity","OPER_MARGIN","FQ2 2020","FQ2 2020","Currency=USD","Period=FQ","BEST_FPERIOD_OVERRIDE=FQ","FILING_STATUS=MR","FA_ADJUSTED=GAAP","Sort=A","Dates=H","DateFormat=P","Fill=—","Direction=H","UseDPDF=Y")</f>
        <v>1.4511000000000001</v>
      </c>
      <c r="AJ16" s="21">
        <f>_xll.BDH("CRM US Equity","OPER_MARGIN","FQ3 2020","FQ3 2020","Currency=USD","Period=FQ","BEST_FPERIOD_OVERRIDE=FQ","FILING_STATUS=MR","FA_ADJUSTED=GAAP","Sort=A","Dates=H","DateFormat=P","Fill=—","Direction=H","UseDPDF=Y")</f>
        <v>1.4403000000000001</v>
      </c>
      <c r="AK16" s="21">
        <f>_xll.BDH("CRM US Equity","OPER_MARGIN","FQ4 2020","FQ4 2020","Currency=USD","Period=FQ","BEST_FPERIOD_OVERRIDE=FQ","FILING_STATUS=MR","FA_ADJUSTED=GAAP","Sort=A","Dates=H","DateFormat=P","Fill=—","Direction=H","UseDPDF=Y")</f>
        <v>-0.74209999999999998</v>
      </c>
      <c r="AL16" s="21">
        <f>_xll.BDH("CRM US Equity","OPER_MARGIN","FQ1 2021","FQ1 2021","Currency=USD","Period=FQ","BEST_FPERIOD_OVERRIDE=FQ","FILING_STATUS=MR","FA_ADJUSTED=GAAP","Sort=A","Dates=H","DateFormat=P","Fill=—","Direction=H","UseDPDF=Y")</f>
        <v>-2.8776999999999999</v>
      </c>
      <c r="AM16" s="21">
        <f>_xll.BDH("CRM US Equity","OPER_MARGIN","FQ2 2021","FQ2 2021","Currency=USD","Period=FQ","BEST_FPERIOD_OVERRIDE=FQ","FILING_STATUS=MR","FA_ADJUSTED=GAAP","Sort=A","Dates=H","DateFormat=P","Fill=—","Direction=H","UseDPDF=Y")</f>
        <v>3.4556</v>
      </c>
      <c r="AN16" s="21">
        <f>_xll.BDH("CRM US Equity","OPER_MARGIN","FQ3 2021","FQ3 2021","Currency=USD","Period=FQ","BEST_FPERIOD_OVERRIDE=FQ","FILING_STATUS=MR","FA_ADJUSTED=GAAP","Sort=A","Dates=H","DateFormat=P","Fill=—","Direction=H","UseDPDF=Y")</f>
        <v>4.1336000000000004</v>
      </c>
      <c r="AO16" s="21">
        <f>_xll.BDH("CRM US Equity","OPER_MARGIN","FQ4 2021","FQ4 2021","Currency=USD","Period=FQ","BEST_FPERIOD_OVERRIDE=FQ","FILING_STATUS=MR","FA_ADJUSTED=GAAP","Sort=A","Dates=H","DateFormat=P","Fill=—","Direction=H","UseDPDF=Y")</f>
        <v>3.3178999999999998</v>
      </c>
      <c r="AP16" s="21">
        <f>_xll.BDH("CRM US Equity","OPER_MARGIN","FQ1 2022","FQ1 2022","Currency=USD","Period=FQ","BEST_FPERIOD_OVERRIDE=FQ","FILING_STATUS=MR","FA_ADJUSTED=GAAP","Sort=A","Dates=H","DateFormat=P","Fill=—","Direction=H","UseDPDF=Y")</f>
        <v>5.9366000000000003</v>
      </c>
    </row>
    <row r="17" spans="1:42" x14ac:dyDescent="0.25">
      <c r="A17" s="18" t="s">
        <v>101</v>
      </c>
      <c r="B17" s="18" t="s">
        <v>102</v>
      </c>
      <c r="C17" s="21" t="str">
        <f>_xll.BDH("CRM US Equity","INCREMENTAL_OPERATING_MARGIN","FQ2 2012","FQ2 2012","Currency=USD","Period=FQ","BEST_FPERIOD_OVERRIDE=FQ","FILING_STATUS=MR","FA_ADJUSTED=GAAP","Sort=A","Dates=H","DateFormat=P","Fill=—","Direction=H","UseDPDF=Y")</f>
        <v>—</v>
      </c>
      <c r="D17" s="21" t="str">
        <f>_xll.BDH("CRM US Equity","INCREMENTAL_OPERATING_MARGIN","FQ3 2012","FQ3 2012","Currency=USD","Period=FQ","BEST_FPERIOD_OVERRIDE=FQ","FILING_STATUS=MR","FA_ADJUSTED=GAAP","Sort=A","Dates=H","DateFormat=P","Fill=—","Direction=H","UseDPDF=Y")</f>
        <v>—</v>
      </c>
      <c r="E17" s="21" t="str">
        <f>_xll.BDH("CRM US Equity","INCREMENTAL_OPERATING_MARGIN","FQ4 2012","FQ4 2012","Currency=USD","Period=FQ","BEST_FPERIOD_OVERRIDE=FQ","FILING_STATUS=MR","FA_ADJUSTED=GAAP","Sort=A","Dates=H","DateFormat=P","Fill=—","Direction=H","UseDPDF=Y")</f>
        <v>—</v>
      </c>
      <c r="F17" s="21" t="str">
        <f>_xll.BDH("CRM US Equity","INCREMENTAL_OPERATING_MARGIN","FQ1 2013","FQ1 2013","Currency=USD","Period=FQ","BEST_FPERIOD_OVERRIDE=FQ","FILING_STATUS=MR","FA_ADJUSTED=GAAP","Sort=A","Dates=H","DateFormat=P","Fill=—","Direction=H","UseDPDF=Y")</f>
        <v>—</v>
      </c>
      <c r="G17" s="21">
        <f>_xll.BDH("CRM US Equity","INCREMENTAL_OPERATING_MARGIN","FQ2 2013","FQ2 2013","Currency=USD","Period=FQ","BEST_FPERIOD_OVERRIDE=FQ","FILING_STATUS=MR","FA_ADJUSTED=GAAP","Sort=A","Dates=H","DateFormat=P","Fill=—","Direction=H","UseDPDF=Y")</f>
        <v>1.2292000000000001</v>
      </c>
      <c r="H17" s="21" t="str">
        <f>_xll.BDH("CRM US Equity","INCREMENTAL_OPERATING_MARGIN","FQ3 2013","FQ3 2013","Currency=USD","Period=FQ","BEST_FPERIOD_OVERRIDE=FQ","FILING_STATUS=MR","FA_ADJUSTED=GAAP","Sort=A","Dates=H","DateFormat=P","Fill=—","Direction=H","UseDPDF=Y")</f>
        <v>—</v>
      </c>
      <c r="I17" s="21" t="str">
        <f>_xll.BDH("CRM US Equity","INCREMENTAL_OPERATING_MARGIN","FQ4 2013","FQ4 2013","Currency=USD","Period=FQ","BEST_FPERIOD_OVERRIDE=FQ","FILING_STATUS=MR","FA_ADJUSTED=GAAP","Sort=A","Dates=H","DateFormat=P","Fill=—","Direction=H","UseDPDF=Y")</f>
        <v>—</v>
      </c>
      <c r="J17" s="21" t="str">
        <f>_xll.BDH("CRM US Equity","INCREMENTAL_OPERATING_MARGIN","FQ1 2014","FQ1 2014","Currency=USD","Period=FQ","BEST_FPERIOD_OVERRIDE=FQ","FILING_STATUS=MR","FA_ADJUSTED=GAAP","Sort=A","Dates=H","DateFormat=P","Fill=—","Direction=H","UseDPDF=Y")</f>
        <v>—</v>
      </c>
      <c r="K17" s="21" t="str">
        <f>_xll.BDH("CRM US Equity","INCREMENTAL_OPERATING_MARGIN","FQ2 2014","FQ2 2014","Currency=USD","Period=FQ","BEST_FPERIOD_OVERRIDE=FQ","FILING_STATUS=MR","FA_ADJUSTED=GAAP","Sort=A","Dates=H","DateFormat=P","Fill=—","Direction=H","UseDPDF=Y")</f>
        <v>—</v>
      </c>
      <c r="L17" s="21" t="str">
        <f>_xll.BDH("CRM US Equity","INCREMENTAL_OPERATING_MARGIN","FQ3 2014","FQ3 2014","Currency=USD","Period=FQ","BEST_FPERIOD_OVERRIDE=FQ","FILING_STATUS=MR","FA_ADJUSTED=GAAP","Sort=A","Dates=H","DateFormat=P","Fill=—","Direction=H","UseDPDF=Y")</f>
        <v>—</v>
      </c>
      <c r="M17" s="21" t="str">
        <f>_xll.BDH("CRM US Equity","INCREMENTAL_OPERATING_MARGIN","FQ4 2014","FQ4 2014","Currency=USD","Period=FQ","BEST_FPERIOD_OVERRIDE=FQ","FILING_STATUS=MR","FA_ADJUSTED=GAAP","Sort=A","Dates=H","DateFormat=P","Fill=—","Direction=H","UseDPDF=Y")</f>
        <v>—</v>
      </c>
      <c r="N17" s="21" t="str">
        <f>_xll.BDH("CRM US Equity","INCREMENTAL_OPERATING_MARGIN","FQ1 2015","FQ1 2015","Currency=USD","Period=FQ","BEST_FPERIOD_OVERRIDE=FQ","FILING_STATUS=MR","FA_ADJUSTED=GAAP","Sort=A","Dates=H","DateFormat=P","Fill=—","Direction=H","UseDPDF=Y")</f>
        <v>—</v>
      </c>
      <c r="O17" s="21">
        <f>_xll.BDH("CRM US Equity","INCREMENTAL_OPERATING_MARGIN","FQ2 2015","FQ2 2015","Currency=USD","Period=FQ","BEST_FPERIOD_OVERRIDE=FQ","FILING_STATUS=MR","FA_ADJUSTED=GAAP","Sort=A","Dates=H","DateFormat=P","Fill=—","Direction=H","UseDPDF=Y")</f>
        <v>1.7770000000000001</v>
      </c>
      <c r="P17" s="21">
        <f>_xll.BDH("CRM US Equity","INCREMENTAL_OPERATING_MARGIN","FQ3 2015","FQ3 2015","Currency=USD","Period=FQ","BEST_FPERIOD_OVERRIDE=FQ","FILING_STATUS=MR","FA_ADJUSTED=GAAP","Sort=A","Dates=H","DateFormat=P","Fill=—","Direction=H","UseDPDF=Y")</f>
        <v>24.669599999999999</v>
      </c>
      <c r="Q17" s="21">
        <f>_xll.BDH("CRM US Equity","INCREMENTAL_OPERATING_MARGIN","FQ4 2015","FQ4 2015","Currency=USD","Period=FQ","BEST_FPERIOD_OVERRIDE=FQ","FILING_STATUS=MR","FA_ADJUSTED=GAAP","Sort=A","Dates=H","DateFormat=P","Fill=—","Direction=H","UseDPDF=Y")</f>
        <v>23.025300000000001</v>
      </c>
      <c r="R17" s="21">
        <f>_xll.BDH("CRM US Equity","INCREMENTAL_OPERATING_MARGIN","FQ1 2016","FQ1 2016","Currency=USD","Period=FQ","BEST_FPERIOD_OVERRIDE=FQ","FILING_STATUS=MR","FA_ADJUSTED=GAAP","Sort=A","Dates=H","DateFormat=P","Fill=—","Direction=H","UseDPDF=Y")</f>
        <v>30.3965</v>
      </c>
      <c r="S17" s="21">
        <f>_xll.BDH("CRM US Equity","INCREMENTAL_OPERATING_MARGIN","FQ2 2016","FQ2 2016","Currency=USD","Period=FQ","BEST_FPERIOD_OVERRIDE=FQ","FILING_STATUS=MR","FA_ADJUSTED=GAAP","Sort=A","Dates=H","DateFormat=P","Fill=—","Direction=H","UseDPDF=Y")</f>
        <v>16.846699999999998</v>
      </c>
      <c r="T17" s="21">
        <f>_xll.BDH("CRM US Equity","INCREMENTAL_OPERATING_MARGIN","FQ3 2016","FQ3 2016","Currency=USD","Period=FQ","BEST_FPERIOD_OVERRIDE=FQ","FILING_STATUS=MR","FA_ADJUSTED=GAAP","Sort=A","Dates=H","DateFormat=P","Fill=—","Direction=H","UseDPDF=Y")</f>
        <v>19.943200000000001</v>
      </c>
      <c r="U17" s="21">
        <f>_xll.BDH("CRM US Equity","INCREMENTAL_OPERATING_MARGIN","FQ4 2016","FQ4 2016","Currency=USD","Period=FQ","BEST_FPERIOD_OVERRIDE=FQ","FILING_STATUS=MR","FA_ADJUSTED=GAAP","Sort=A","Dates=H","DateFormat=P","Fill=—","Direction=H","UseDPDF=Y")</f>
        <v>15.180199999999999</v>
      </c>
      <c r="V17" s="21">
        <f>_xll.BDH("CRM US Equity","INCREMENTAL_OPERATING_MARGIN","FQ1 2017","FQ1 2017","Currency=USD","Period=FQ","BEST_FPERIOD_OVERRIDE=FQ","FILING_STATUS=MR","FA_ADJUSTED=GAAP","Sort=A","Dates=H","DateFormat=P","Fill=—","Direction=H","UseDPDF=Y")</f>
        <v>5.1502999999999997</v>
      </c>
      <c r="W17" s="21">
        <f>_xll.BDH("CRM US Equity","INCREMENTAL_OPERATING_MARGIN","FQ2 2017","FQ2 2017","Currency=USD","Period=FQ","BEST_FPERIOD_OVERRIDE=FQ","FILING_STATUS=MR","FA_ADJUSTED=GAAP","Sort=A","Dates=H","DateFormat=P","Fill=—","Direction=H","UseDPDF=Y")</f>
        <v>3.1663999999999999</v>
      </c>
      <c r="X17" s="21" t="str">
        <f>_xll.BDH("CRM US Equity","INCREMENTAL_OPERATING_MARGIN","FQ3 2017","FQ3 2017","Currency=USD","Period=FQ","BEST_FPERIOD_OVERRIDE=FQ","FILING_STATUS=MR","FA_ADJUSTED=GAAP","Sort=A","Dates=H","DateFormat=P","Fill=—","Direction=H","UseDPDF=Y")</f>
        <v>—</v>
      </c>
      <c r="Y17" s="21">
        <f>_xll.BDH("CRM US Equity","INCREMENTAL_OPERATING_MARGIN","FQ4 2017","FQ4 2017","Currency=USD","Period=FQ","BEST_FPERIOD_OVERRIDE=FQ","FILING_STATUS=MR","FA_ADJUSTED=GAAP","Sort=A","Dates=H","DateFormat=P","Fill=—","Direction=H","UseDPDF=Y")</f>
        <v>20.745000000000001</v>
      </c>
      <c r="Z17" s="21" t="str">
        <f>_xll.BDH("CRM US Equity","INCREMENTAL_OPERATING_MARGIN","FQ1 2018","FQ1 2018","Currency=USD","Period=FQ","BEST_FPERIOD_OVERRIDE=FQ","FILING_STATUS=MR","FA_ADJUSTED=GAAP","Sort=A","Dates=H","DateFormat=P","Fill=—","Direction=H","UseDPDF=Y")</f>
        <v>—</v>
      </c>
      <c r="AA17" s="21">
        <f>_xll.BDH("CRM US Equity","INCREMENTAL_OPERATING_MARGIN","FQ2 2018","FQ2 2018","Currency=USD","Period=FQ","BEST_FPERIOD_OVERRIDE=FQ","FILING_STATUS=MR","FA_ADJUSTED=GAAP","Sort=A","Dates=H","DateFormat=P","Fill=—","Direction=H","UseDPDF=Y")</f>
        <v>9.5208999999999993</v>
      </c>
      <c r="AB17" s="21">
        <f>_xll.BDH("CRM US Equity","INCREMENTAL_OPERATING_MARGIN","FQ3 2018","FQ3 2018","Currency=USD","Period=FQ","BEST_FPERIOD_OVERRIDE=FQ","FILING_STATUS=MR","FA_ADJUSTED=GAAP","Sort=A","Dates=H","DateFormat=P","Fill=—","Direction=H","UseDPDF=Y")</f>
        <v>27.320599999999999</v>
      </c>
      <c r="AC17" s="21">
        <f>_xll.BDH("CRM US Equity","INCREMENTAL_OPERATING_MARGIN","FQ4 2018","FQ4 2018","Currency=USD","Period=FQ","BEST_FPERIOD_OVERRIDE=FQ","FILING_STATUS=MR","FA_ADJUSTED=GAAP","Sort=A","Dates=H","DateFormat=P","Fill=—","Direction=H","UseDPDF=Y")</f>
        <v>15.318199999999999</v>
      </c>
      <c r="AD17" s="21">
        <f>_xll.BDH("CRM US Equity","INCREMENTAL_OPERATING_MARGIN","FQ1 2019","FQ1 2019","Currency=USD","Period=FQ","BEST_FPERIOD_OVERRIDE=FQ","FILING_STATUS=MR","FA_ADJUSTED=GAAP","Sort=A","Dates=H","DateFormat=P","Fill=—","Direction=H","UseDPDF=Y")</f>
        <v>30.706099999999999</v>
      </c>
      <c r="AE17" s="21">
        <f>_xll.BDH("CRM US Equity","INCREMENTAL_OPERATING_MARGIN","FQ2 2019","FQ2 2019","Currency=USD","Period=FQ","BEST_FPERIOD_OVERRIDE=FQ","FILING_STATUS=MR","FA_ADJUSTED=GAAP","Sort=A","Dates=H","DateFormat=P","Fill=—","Direction=H","UseDPDF=Y")</f>
        <v>4.4033999999999995</v>
      </c>
      <c r="AF17" s="21" t="str">
        <f>_xll.BDH("CRM US Equity","INCREMENTAL_OPERATING_MARGIN","FQ3 2019","FQ3 2019","Currency=USD","Period=FQ","BEST_FPERIOD_OVERRIDE=FQ","FILING_STATUS=MR","FA_ADJUSTED=GAAP","Sort=A","Dates=H","DateFormat=P","Fill=—","Direction=H","UseDPDF=Y")</f>
        <v>—</v>
      </c>
      <c r="AG17" s="21" t="str">
        <f>_xll.BDH("CRM US Equity","INCREMENTAL_OPERATING_MARGIN","FQ4 2019","FQ4 2019","Currency=USD","Period=FQ","BEST_FPERIOD_OVERRIDE=FQ","FILING_STATUS=MR","FA_ADJUSTED=GAAP","Sort=A","Dates=H","DateFormat=P","Fill=—","Direction=H","UseDPDF=Y")</f>
        <v>—</v>
      </c>
      <c r="AH17" s="21">
        <f>_xll.BDH("CRM US Equity","INCREMENTAL_OPERATING_MARGIN","FQ1 2020","FQ1 2020","Currency=USD","Period=FQ","BEST_FPERIOD_OVERRIDE=FQ","FILING_STATUS=MR","FA_ADJUSTED=GAAP","Sort=A","Dates=H","DateFormat=P","Fill=—","Direction=H","UseDPDF=Y")</f>
        <v>2.5991999999999997</v>
      </c>
      <c r="AI17" s="21" t="str">
        <f>_xll.BDH("CRM US Equity","INCREMENTAL_OPERATING_MARGIN","FQ2 2020","FQ2 2020","Currency=USD","Period=FQ","BEST_FPERIOD_OVERRIDE=FQ","FILING_STATUS=MR","FA_ADJUSTED=GAAP","Sort=A","Dates=H","DateFormat=P","Fill=—","Direction=H","UseDPDF=Y")</f>
        <v>—</v>
      </c>
      <c r="AJ17" s="21" t="str">
        <f>_xll.BDH("CRM US Equity","INCREMENTAL_OPERATING_MARGIN","FQ3 2020","FQ3 2020","Currency=USD","Period=FQ","BEST_FPERIOD_OVERRIDE=FQ","FILING_STATUS=MR","FA_ADJUSTED=GAAP","Sort=A","Dates=H","DateFormat=P","Fill=—","Direction=H","UseDPDF=Y")</f>
        <v>—</v>
      </c>
      <c r="AK17" s="21" t="str">
        <f>_xll.BDH("CRM US Equity","INCREMENTAL_OPERATING_MARGIN","FQ4 2020","FQ4 2020","Currency=USD","Period=FQ","BEST_FPERIOD_OVERRIDE=FQ","FILING_STATUS=MR","FA_ADJUSTED=GAAP","Sort=A","Dates=H","DateFormat=P","Fill=—","Direction=H","UseDPDF=Y")</f>
        <v>—</v>
      </c>
      <c r="AL17" s="21" t="str">
        <f>_xll.BDH("CRM US Equity","INCREMENTAL_OPERATING_MARGIN","FQ1 2021","FQ1 2021","Currency=USD","Period=FQ","BEST_FPERIOD_OVERRIDE=FQ","FILING_STATUS=MR","FA_ADJUSTED=GAAP","Sort=A","Dates=H","DateFormat=P","Fill=—","Direction=H","UseDPDF=Y")</f>
        <v>—</v>
      </c>
      <c r="AM17" s="21">
        <f>_xll.BDH("CRM US Equity","INCREMENTAL_OPERATING_MARGIN","FQ2 2021","FQ2 2021","Currency=USD","Period=FQ","BEST_FPERIOD_OVERRIDE=FQ","FILING_STATUS=MR","FA_ADJUSTED=GAAP","Sort=A","Dates=H","DateFormat=P","Fill=—","Direction=H","UseDPDF=Y")</f>
        <v>10.3986</v>
      </c>
      <c r="AN17" s="21">
        <f>_xll.BDH("CRM US Equity","INCREMENTAL_OPERATING_MARGIN","FQ3 2021","FQ3 2021","Currency=USD","Period=FQ","BEST_FPERIOD_OVERRIDE=FQ","FILING_STATUS=MR","FA_ADJUSTED=GAAP","Sort=A","Dates=H","DateFormat=P","Fill=—","Direction=H","UseDPDF=Y")</f>
        <v>17.549700000000001</v>
      </c>
      <c r="AO17" s="21">
        <f>_xll.BDH("CRM US Equity","INCREMENTAL_OPERATING_MARGIN","FQ4 2021","FQ4 2021","Currency=USD","Period=FQ","BEST_FPERIOD_OVERRIDE=FQ","FILING_STATUS=MR","FA_ADJUSTED=GAAP","Sort=A","Dates=H","DateFormat=P","Fill=—","Direction=H","UseDPDF=Y")</f>
        <v>23.706</v>
      </c>
      <c r="AP17" s="21">
        <f>_xll.BDH("CRM US Equity","INCREMENTAL_OPERATING_MARGIN","FQ1 2022","FQ1 2022","Currency=USD","Period=FQ","BEST_FPERIOD_OVERRIDE=FQ","FILING_STATUS=MR","FA_ADJUSTED=GAAP","Sort=A","Dates=H","DateFormat=P","Fill=—","Direction=H","UseDPDF=Y")</f>
        <v>44.990900000000003</v>
      </c>
    </row>
    <row r="18" spans="1:42" x14ac:dyDescent="0.25">
      <c r="A18" s="18" t="s">
        <v>103</v>
      </c>
      <c r="B18" s="18" t="s">
        <v>104</v>
      </c>
      <c r="C18" s="21">
        <f>_xll.BDH("CRM US Equity","PRETAX_INC_TO_NET_SALES","FQ2 2012","FQ2 2012","Currency=USD","Period=FQ","BEST_FPERIOD_OVERRIDE=FQ","FILING_STATUS=MR","FA_ADJUSTED=GAAP","Sort=A","Dates=H","DateFormat=P","Fill=—","Direction=H","UseDPDF=Y")</f>
        <v>-3.2441</v>
      </c>
      <c r="D18" s="21">
        <f>_xll.BDH("CRM US Equity","PRETAX_INC_TO_NET_SALES","FQ3 2012","FQ3 2012","Currency=USD","Period=FQ","BEST_FPERIOD_OVERRIDE=FQ","FILING_STATUS=MR","FA_ADJUSTED=GAAP","Sort=A","Dates=H","DateFormat=P","Fill=—","Direction=H","UseDPDF=Y")</f>
        <v>-1.5146999999999999</v>
      </c>
      <c r="E18" s="21">
        <f>_xll.BDH("CRM US Equity","PRETAX_INC_TO_NET_SALES","FQ4 2012","FQ4 2012","Currency=USD","Period=FQ","BEST_FPERIOD_OVERRIDE=FQ","FILING_STATUS=MR","FA_ADJUSTED=GAAP","Sort=A","Dates=H","DateFormat=P","Fill=—","Direction=H","UseDPDF=Y")</f>
        <v>-1.1923999999999999</v>
      </c>
      <c r="F18" s="21">
        <f>_xll.BDH("CRM US Equity","PRETAX_INC_TO_NET_SALES","FQ1 2013","FQ1 2013","Currency=USD","Period=FQ","BEST_FPERIOD_OVERRIDE=FQ","FILING_STATUS=MR","FA_ADJUSTED=GAAP","Sort=A","Dates=H","DateFormat=P","Fill=—","Direction=H","UseDPDF=Y")</f>
        <v>-3.5756999999999999</v>
      </c>
      <c r="G18" s="21">
        <f>_xll.BDH("CRM US Equity","PRETAX_INC_TO_NET_SALES","FQ2 2013","FQ2 2013","Currency=USD","Period=FQ","BEST_FPERIOD_OVERRIDE=FQ","FILING_STATUS=MR","FA_ADJUSTED=GAAP","Sort=A","Dates=H","DateFormat=P","Fill=—","Direction=H","UseDPDF=Y")</f>
        <v>-1.9178999999999999</v>
      </c>
      <c r="H18" s="21">
        <f>_xll.BDH("CRM US Equity","PRETAX_INC_TO_NET_SALES","FQ3 2013","FQ3 2013","Currency=USD","Period=FQ","BEST_FPERIOD_OVERRIDE=FQ","FILING_STATUS=MR","FA_ADJUSTED=GAAP","Sort=A","Dates=H","DateFormat=P","Fill=—","Direction=H","UseDPDF=Y")</f>
        <v>-7.9719999999999995</v>
      </c>
      <c r="I18" s="21">
        <f>_xll.BDH("CRM US Equity","PRETAX_INC_TO_NET_SALES","FQ4 2013","FQ4 2013","Currency=USD","Period=FQ","BEST_FPERIOD_OVERRIDE=FQ","FILING_STATUS=MR","FA_ADJUSTED=GAAP","Sort=A","Dates=H","DateFormat=P","Fill=—","Direction=H","UseDPDF=Y")</f>
        <v>-3.1200999999999999</v>
      </c>
      <c r="J18" s="21">
        <f>_xll.BDH("CRM US Equity","PRETAX_INC_TO_NET_SALES","FQ1 2014","FQ1 2014","Currency=USD","Period=FQ","BEST_FPERIOD_OVERRIDE=FQ","FILING_STATUS=MR","FA_ADJUSTED=GAAP","Sort=A","Dates=H","DateFormat=P","Fill=—","Direction=H","UseDPDF=Y")</f>
        <v>-6.0430999999999999</v>
      </c>
      <c r="K18" s="21">
        <f>_xll.BDH("CRM US Equity","PRETAX_INC_TO_NET_SALES","FQ2 2014","FQ2 2014","Currency=USD","Period=FQ","BEST_FPERIOD_OVERRIDE=FQ","FILING_STATUS=MR","FA_ADJUSTED=GAAP","Sort=A","Dates=H","DateFormat=P","Fill=—","Direction=H","UseDPDF=Y")</f>
        <v>-5.9350000000000005</v>
      </c>
      <c r="L18" s="21">
        <f>_xll.BDH("CRM US Equity","PRETAX_INC_TO_NET_SALES","FQ3 2014","FQ3 2014","Currency=USD","Period=FQ","BEST_FPERIOD_OVERRIDE=FQ","FILING_STATUS=MR","FA_ADJUSTED=GAAP","Sort=A","Dates=H","DateFormat=P","Fill=—","Direction=H","UseDPDF=Y")</f>
        <v>-11.5276</v>
      </c>
      <c r="M18" s="21">
        <f>_xll.BDH("CRM US Equity","PRETAX_INC_TO_NET_SALES","FQ4 2014","FQ4 2014","Currency=USD","Period=FQ","BEST_FPERIOD_OVERRIDE=FQ","FILING_STATUS=MR","FA_ADJUSTED=GAAP","Sort=A","Dates=H","DateFormat=P","Fill=—","Direction=H","UseDPDF=Y")</f>
        <v>-10.7529</v>
      </c>
      <c r="N18" s="21">
        <f>_xll.BDH("CRM US Equity","PRETAX_INC_TO_NET_SALES","FQ1 2015","FQ1 2015","Currency=USD","Period=FQ","BEST_FPERIOD_OVERRIDE=FQ","FILING_STATUS=MR","FA_ADJUSTED=GAAP","Sort=A","Dates=H","DateFormat=P","Fill=—","Direction=H","UseDPDF=Y")</f>
        <v>-6.9099000000000004</v>
      </c>
      <c r="O18" s="21">
        <f>_xll.BDH("CRM US Equity","PRETAX_INC_TO_NET_SALES","FQ2 2015","FQ2 2015","Currency=USD","Period=FQ","BEST_FPERIOD_OVERRIDE=FQ","FILING_STATUS=MR","FA_ADJUSTED=GAAP","Sort=A","Dates=H","DateFormat=P","Fill=—","Direction=H","UseDPDF=Y")</f>
        <v>-4.0171999999999999</v>
      </c>
      <c r="P18" s="21">
        <f>_xll.BDH("CRM US Equity","PRETAX_INC_TO_NET_SALES","FQ3 2015","FQ3 2015","Currency=USD","Period=FQ","BEST_FPERIOD_OVERRIDE=FQ","FILING_STATUS=MR","FA_ADJUSTED=GAAP","Sort=A","Dates=H","DateFormat=P","Fill=—","Direction=H","UseDPDF=Y")</f>
        <v>-1.5790999999999999</v>
      </c>
      <c r="Q18" s="21">
        <f>_xll.BDH("CRM US Equity","PRETAX_INC_TO_NET_SALES","FQ4 2015","FQ4 2015","Currency=USD","Period=FQ","BEST_FPERIOD_OVERRIDE=FQ","FILING_STATUS=MR","FA_ADJUSTED=GAAP","Sort=A","Dates=H","DateFormat=P","Fill=—","Direction=H","UseDPDF=Y")</f>
        <v>-3.7033</v>
      </c>
      <c r="R18" s="21">
        <f>_xll.BDH("CRM US Equity","PRETAX_INC_TO_NET_SALES","FQ1 2016","FQ1 2016","Currency=USD","Period=FQ","BEST_FPERIOD_OVERRIDE=FQ","FILING_STATUS=MR","FA_ADJUSTED=GAAP","Sort=A","Dates=H","DateFormat=P","Fill=—","Direction=H","UseDPDF=Y")</f>
        <v>1.196</v>
      </c>
      <c r="S18" s="21">
        <f>_xll.BDH("CRM US Equity","PRETAX_INC_TO_NET_SALES","FQ2 2016","FQ2 2016","Currency=USD","Period=FQ","BEST_FPERIOD_OVERRIDE=FQ","FILING_STATUS=MR","FA_ADJUSTED=GAAP","Sort=A","Dates=H","DateFormat=P","Fill=—","Direction=H","UseDPDF=Y")</f>
        <v>0.42559999999999998</v>
      </c>
      <c r="T18" s="21">
        <f>_xll.BDH("CRM US Equity","PRETAX_INC_TO_NET_SALES","FQ3 2016","FQ3 2016","Currency=USD","Period=FQ","BEST_FPERIOD_OVERRIDE=FQ","FILING_STATUS=MR","FA_ADJUSTED=GAAP","Sort=A","Dates=H","DateFormat=P","Fill=—","Direction=H","UseDPDF=Y")</f>
        <v>2.5346000000000002</v>
      </c>
      <c r="U18" s="21">
        <f>_xll.BDH("CRM US Equity","PRETAX_INC_TO_NET_SALES","FQ4 2016","FQ4 2016","Currency=USD","Period=FQ","BEST_FPERIOD_OVERRIDE=FQ","FILING_STATUS=MR","FA_ADJUSTED=GAAP","Sort=A","Dates=H","DateFormat=P","Fill=—","Direction=H","UseDPDF=Y")</f>
        <v>-0.22900000000000001</v>
      </c>
      <c r="V18" s="21">
        <f>_xll.BDH("CRM US Equity","PRETAX_INC_TO_NET_SALES","FQ1 2017","FQ1 2017","Currency=USD","Period=FQ","BEST_FPERIOD_OVERRIDE=FQ","FILING_STATUS=MR","FA_ADJUSTED=GAAP","Sort=A","Dates=H","DateFormat=P","Fill=—","Direction=H","UseDPDF=Y")</f>
        <v>1.9386000000000001</v>
      </c>
      <c r="W18" s="21">
        <f>_xll.BDH("CRM US Equity","PRETAX_INC_TO_NET_SALES","FQ2 2017","FQ2 2017","Currency=USD","Period=FQ","BEST_FPERIOD_OVERRIDE=FQ","FILING_STATUS=MR","FA_ADJUSTED=GAAP","Sort=A","Dates=H","DateFormat=P","Fill=—","Direction=H","UseDPDF=Y")</f>
        <v>1.1922999999999999</v>
      </c>
      <c r="X18" s="21">
        <f>_xll.BDH("CRM US Equity","PRETAX_INC_TO_NET_SALES","FQ3 2017","FQ3 2017","Currency=USD","Period=FQ","BEST_FPERIOD_OVERRIDE=FQ","FILING_STATUS=MR","FA_ADJUSTED=GAAP","Sort=A","Dates=H","DateFormat=P","Fill=—","Direction=H","UseDPDF=Y")</f>
        <v>-0.58679999999999999</v>
      </c>
      <c r="Y18" s="21">
        <f>_xll.BDH("CRM US Equity","PRETAX_INC_TO_NET_SALES","FQ4 2017","FQ4 2017","Currency=USD","Period=FQ","BEST_FPERIOD_OVERRIDE=FQ","FILING_STATUS=MR","FA_ADJUSTED=GAAP","Sort=A","Dates=H","DateFormat=P","Fill=—","Direction=H","UseDPDF=Y")</f>
        <v>5.5641999999999996</v>
      </c>
      <c r="Z18" s="21">
        <f>_xll.BDH("CRM US Equity","PRETAX_INC_TO_NET_SALES","FQ1 2018","FQ1 2018","Currency=USD","Period=FQ","BEST_FPERIOD_OVERRIDE=FQ","FILING_STATUS=MR","FA_ADJUSTED=GAAP","Sort=A","Dates=H","DateFormat=P","Fill=—","Direction=H","UseDPDF=Y")</f>
        <v>-0.41720000000000002</v>
      </c>
      <c r="AA18" s="21">
        <f>_xll.BDH("CRM US Equity","PRETAX_INC_TO_NET_SALES","FQ2 2018","FQ2 2018","Currency=USD","Period=FQ","BEST_FPERIOD_OVERRIDE=FQ","FILING_STATUS=MR","FA_ADJUSTED=GAAP","Sort=A","Dates=H","DateFormat=P","Fill=—","Direction=H","UseDPDF=Y")</f>
        <v>2.4447000000000001</v>
      </c>
      <c r="AB18" s="21">
        <f>_xll.BDH("CRM US Equity","PRETAX_INC_TO_NET_SALES","FQ3 2018","FQ3 2018","Currency=USD","Period=FQ","BEST_FPERIOD_OVERRIDE=FQ","FILING_STATUS=MR","FA_ADJUSTED=GAAP","Sort=A","Dates=H","DateFormat=P","Fill=—","Direction=H","UseDPDF=Y")</f>
        <v>5.4054000000000002</v>
      </c>
      <c r="AC18" s="21">
        <f>_xll.BDH("CRM US Equity","PRETAX_INC_TO_NET_SALES","FQ4 2018","FQ4 2018","Currency=USD","Period=FQ","BEST_FPERIOD_OVERRIDE=FQ","FILING_STATUS=MR","FA_ADJUSTED=GAAP","Sort=A","Dates=H","DateFormat=P","Fill=—","Direction=H","UseDPDF=Y")</f>
        <v>7.7138</v>
      </c>
      <c r="AD18" s="21">
        <f>_xll.BDH("CRM US Equity","PRETAX_INC_TO_NET_SALES","FQ1 2019","FQ1 2019","Currency=USD","Period=FQ","BEST_FPERIOD_OVERRIDE=FQ","FILING_STATUS=MR","FA_ADJUSTED=GAAP","Sort=A","Dates=H","DateFormat=P","Fill=—","Direction=H","UseDPDF=Y")</f>
        <v>12.807700000000001</v>
      </c>
      <c r="AE18" s="21">
        <f>_xll.BDH("CRM US Equity","PRETAX_INC_TO_NET_SALES","FQ2 2019","FQ2 2019","Currency=USD","Period=FQ","BEST_FPERIOD_OVERRIDE=FQ","FILING_STATUS=MR","FA_ADJUSTED=GAAP","Sort=A","Dates=H","DateFormat=P","Fill=—","Direction=H","UseDPDF=Y")</f>
        <v>7.0404999999999998</v>
      </c>
      <c r="AF18" s="21">
        <f>_xll.BDH("CRM US Equity","PRETAX_INC_TO_NET_SALES","FQ3 2019","FQ3 2019","Currency=USD","Period=FQ","BEST_FPERIOD_OVERRIDE=FQ","FILING_STATUS=MR","FA_ADJUSTED=GAAP","Sort=A","Dates=H","DateFormat=P","Fill=—","Direction=H","UseDPDF=Y")</f>
        <v>3.7736000000000001</v>
      </c>
      <c r="AG18" s="21">
        <f>_xll.BDH("CRM US Equity","PRETAX_INC_TO_NET_SALES","FQ4 2019","FQ4 2019","Currency=USD","Period=FQ","BEST_FPERIOD_OVERRIDE=FQ","FILING_STATUS=MR","FA_ADJUSTED=GAAP","Sort=A","Dates=H","DateFormat=P","Fill=—","Direction=H","UseDPDF=Y")</f>
        <v>6.6334</v>
      </c>
      <c r="AH18" s="21">
        <f>_xll.BDH("CRM US Equity","PRETAX_INC_TO_NET_SALES","FQ1 2020","FQ1 2020","Currency=USD","Period=FQ","BEST_FPERIOD_OVERRIDE=FQ","FILING_STATUS=MR","FA_ADJUSTED=GAAP","Sort=A","Dates=H","DateFormat=P","Fill=—","Direction=H","UseDPDF=Y")</f>
        <v>12.898</v>
      </c>
      <c r="AI18" s="21">
        <f>_xll.BDH("CRM US Equity","PRETAX_INC_TO_NET_SALES","FQ2 2020","FQ2 2020","Currency=USD","Period=FQ","BEST_FPERIOD_OVERRIDE=FQ","FILING_STATUS=MR","FA_ADJUSTED=GAAP","Sort=A","Dates=H","DateFormat=P","Fill=—","Direction=H","UseDPDF=Y")</f>
        <v>4.1031000000000004</v>
      </c>
      <c r="AJ18" s="21">
        <f>_xll.BDH("CRM US Equity","PRETAX_INC_TO_NET_SALES","FQ3 2020","FQ3 2020","Currency=USD","Period=FQ","BEST_FPERIOD_OVERRIDE=FQ","FILING_STATUS=MR","FA_ADJUSTED=GAAP","Sort=A","Dates=H","DateFormat=P","Fill=—","Direction=H","UseDPDF=Y")</f>
        <v>1.4180999999999999</v>
      </c>
      <c r="AK18" s="21">
        <f>_xll.BDH("CRM US Equity","PRETAX_INC_TO_NET_SALES","FQ4 2020","FQ4 2020","Currency=USD","Period=FQ","BEST_FPERIOD_OVERRIDE=FQ","FILING_STATUS=MR","FA_ADJUSTED=GAAP","Sort=A","Dates=H","DateFormat=P","Fill=—","Direction=H","UseDPDF=Y")</f>
        <v>-8.2500000000000004E-2</v>
      </c>
      <c r="AL18" s="21">
        <f>_xll.BDH("CRM US Equity","PRETAX_INC_TO_NET_SALES","FQ1 2021","FQ1 2021","Currency=USD","Period=FQ","BEST_FPERIOD_OVERRIDE=FQ","FILING_STATUS=MR","FA_ADJUSTED=GAAP","Sort=A","Dates=H","DateFormat=P","Fill=—","Direction=H","UseDPDF=Y")</f>
        <v>0.96609999999999996</v>
      </c>
      <c r="AM18" s="21">
        <f>_xll.BDH("CRM US Equity","PRETAX_INC_TO_NET_SALES","FQ2 2021","FQ2 2021","Currency=USD","Period=FQ","BEST_FPERIOD_OVERRIDE=FQ","FILING_STATUS=MR","FA_ADJUSTED=GAAP","Sort=A","Dates=H","DateFormat=P","Fill=—","Direction=H","UseDPDF=Y")</f>
        <v>16.2881</v>
      </c>
      <c r="AN18" s="21">
        <f>_xll.BDH("CRM US Equity","PRETAX_INC_TO_NET_SALES","FQ3 2021","FQ3 2021","Currency=USD","Period=FQ","BEST_FPERIOD_OVERRIDE=FQ","FILING_STATUS=MR","FA_ADJUSTED=GAAP","Sort=A","Dates=H","DateFormat=P","Fill=—","Direction=H","UseDPDF=Y")</f>
        <v>23.067</v>
      </c>
      <c r="AO18" s="21">
        <f>_xll.BDH("CRM US Equity","PRETAX_INC_TO_NET_SALES","FQ4 2021","FQ4 2021","Currency=USD","Period=FQ","BEST_FPERIOD_OVERRIDE=FQ","FILING_STATUS=MR","FA_ADJUSTED=GAAP","Sort=A","Dates=H","DateFormat=P","Fill=—","Direction=H","UseDPDF=Y")</f>
        <v>7.3062000000000005</v>
      </c>
      <c r="AP18" s="21">
        <f>_xll.BDH("CRM US Equity","PRETAX_INC_TO_NET_SALES","FQ1 2022","FQ1 2022","Currency=USD","Period=FQ","BEST_FPERIOD_OVERRIDE=FQ","FILING_STATUS=MR","FA_ADJUSTED=GAAP","Sort=A","Dates=H","DateFormat=P","Fill=—","Direction=H","UseDPDF=Y")</f>
        <v>10.129099999999999</v>
      </c>
    </row>
    <row r="19" spans="1:42" x14ac:dyDescent="0.25">
      <c r="A19" s="18" t="s">
        <v>105</v>
      </c>
      <c r="B19" s="18" t="s">
        <v>106</v>
      </c>
      <c r="C19" s="21">
        <f>_xll.BDH("CRM US Equity","INC_BEF_XO_ITEMS_TO_NET_SALES","FQ2 2012","FQ2 2012","Currency=USD","Period=FQ","BEST_FPERIOD_OVERRIDE=FQ","FILING_STATUS=MR","FA_ADJUSTED=GAAP","Sort=A","Dates=H","DateFormat=P","Fill=—","Direction=H","UseDPDF=Y")</f>
        <v>-0.78169999999999995</v>
      </c>
      <c r="D19" s="21">
        <f>_xll.BDH("CRM US Equity","INC_BEF_XO_ITEMS_TO_NET_SALES","FQ3 2012","FQ3 2012","Currency=USD","Period=FQ","BEST_FPERIOD_OVERRIDE=FQ","FILING_STATUS=MR","FA_ADJUSTED=GAAP","Sort=A","Dates=H","DateFormat=P","Fill=—","Direction=H","UseDPDF=Y")</f>
        <v>-0.64290000000000003</v>
      </c>
      <c r="E19" s="21">
        <f>_xll.BDH("CRM US Equity","INC_BEF_XO_ITEMS_TO_NET_SALES","FQ4 2012","FQ4 2012","Currency=USD","Period=FQ","BEST_FPERIOD_OVERRIDE=FQ","FILING_STATUS=MR","FA_ADJUSTED=GAAP","Sort=A","Dates=H","DateFormat=P","Fill=—","Direction=H","UseDPDF=Y")</f>
        <v>-0.64529999999999998</v>
      </c>
      <c r="F19" s="21">
        <f>_xll.BDH("CRM US Equity","INC_BEF_XO_ITEMS_TO_NET_SALES","FQ1 2013","FQ1 2013","Currency=USD","Period=FQ","BEST_FPERIOD_OVERRIDE=FQ","FILING_STATUS=MR","FA_ADJUSTED=GAAP","Sort=A","Dates=H","DateFormat=P","Fill=—","Direction=H","UseDPDF=Y")</f>
        <v>-2.8003</v>
      </c>
      <c r="G19" s="21">
        <f>_xll.BDH("CRM US Equity","INC_BEF_XO_ITEMS_TO_NET_SALES","FQ2 2013","FQ2 2013","Currency=USD","Period=FQ","BEST_FPERIOD_OVERRIDE=FQ","FILING_STATUS=MR","FA_ADJUSTED=GAAP","Sort=A","Dates=H","DateFormat=P","Fill=—","Direction=H","UseDPDF=Y")</f>
        <v>-1.3433999999999999</v>
      </c>
      <c r="H19" s="21">
        <f>_xll.BDH("CRM US Equity","INC_BEF_XO_ITEMS_TO_NET_SALES","FQ3 2013","FQ3 2013","Currency=USD","Period=FQ","BEST_FPERIOD_OVERRIDE=FQ","FILING_STATUS=MR","FA_ADJUSTED=GAAP","Sort=A","Dates=H","DateFormat=P","Fill=—","Direction=H","UseDPDF=Y")</f>
        <v>-27.942399999999999</v>
      </c>
      <c r="I19" s="21">
        <f>_xll.BDH("CRM US Equity","INC_BEF_XO_ITEMS_TO_NET_SALES","FQ4 2013","FQ4 2013","Currency=USD","Period=FQ","BEST_FPERIOD_OVERRIDE=FQ","FILING_STATUS=MR","FA_ADJUSTED=GAAP","Sort=A","Dates=H","DateFormat=P","Fill=—","Direction=H","UseDPDF=Y")</f>
        <v>-2.4971999999999999</v>
      </c>
      <c r="J19" s="21">
        <f>_xll.BDH("CRM US Equity","INC_BEF_XO_ITEMS_TO_NET_SALES","FQ1 2014","FQ1 2014","Currency=USD","Period=FQ","BEST_FPERIOD_OVERRIDE=FQ","FILING_STATUS=MR","FA_ADJUSTED=GAAP","Sort=A","Dates=H","DateFormat=P","Fill=—","Direction=H","UseDPDF=Y")</f>
        <v>-7.5867000000000004</v>
      </c>
      <c r="K19" s="21">
        <f>_xll.BDH("CRM US Equity","INC_BEF_XO_ITEMS_TO_NET_SALES","FQ2 2014","FQ2 2014","Currency=USD","Period=FQ","BEST_FPERIOD_OVERRIDE=FQ","FILING_STATUS=MR","FA_ADJUSTED=GAAP","Sort=A","Dates=H","DateFormat=P","Fill=—","Direction=H","UseDPDF=Y")</f>
        <v>8.0037000000000003</v>
      </c>
      <c r="L19" s="21">
        <f>_xll.BDH("CRM US Equity","INC_BEF_XO_ITEMS_TO_NET_SALES","FQ3 2014","FQ3 2014","Currency=USD","Period=FQ","BEST_FPERIOD_OVERRIDE=FQ","FILING_STATUS=MR","FA_ADJUSTED=GAAP","Sort=A","Dates=H","DateFormat=P","Fill=—","Direction=H","UseDPDF=Y")</f>
        <v>-11.5641</v>
      </c>
      <c r="M19" s="21">
        <f>_xll.BDH("CRM US Equity","INC_BEF_XO_ITEMS_TO_NET_SALES","FQ4 2014","FQ4 2014","Currency=USD","Period=FQ","BEST_FPERIOD_OVERRIDE=FQ","FILING_STATUS=MR","FA_ADJUSTED=GAAP","Sort=A","Dates=H","DateFormat=P","Fill=—","Direction=H","UseDPDF=Y")</f>
        <v>-10.183299999999999</v>
      </c>
      <c r="N19" s="21">
        <f>_xll.BDH("CRM US Equity","INC_BEF_XO_ITEMS_TO_NET_SALES","FQ1 2015","FQ1 2015","Currency=USD","Period=FQ","BEST_FPERIOD_OVERRIDE=FQ","FILING_STATUS=MR","FA_ADJUSTED=GAAP","Sort=A","Dates=H","DateFormat=P","Fill=—","Direction=H","UseDPDF=Y")</f>
        <v>-7.8997000000000002</v>
      </c>
      <c r="O19" s="21">
        <f>_xll.BDH("CRM US Equity","INC_BEF_XO_ITEMS_TO_NET_SALES","FQ2 2015","FQ2 2015","Currency=USD","Period=FQ","BEST_FPERIOD_OVERRIDE=FQ","FILING_STATUS=MR","FA_ADJUSTED=GAAP","Sort=A","Dates=H","DateFormat=P","Fill=—","Direction=H","UseDPDF=Y")</f>
        <v>-4.633</v>
      </c>
      <c r="P19" s="21">
        <f>_xll.BDH("CRM US Equity","INC_BEF_XO_ITEMS_TO_NET_SALES","FQ3 2015","FQ3 2015","Currency=USD","Period=FQ","BEST_FPERIOD_OVERRIDE=FQ","FILING_STATUS=MR","FA_ADJUSTED=GAAP","Sort=A","Dates=H","DateFormat=P","Fill=—","Direction=H","UseDPDF=Y")</f>
        <v>-2.8130999999999999</v>
      </c>
      <c r="Q19" s="21">
        <f>_xll.BDH("CRM US Equity","INC_BEF_XO_ITEMS_TO_NET_SALES","FQ4 2015","FQ4 2015","Currency=USD","Period=FQ","BEST_FPERIOD_OVERRIDE=FQ","FILING_STATUS=MR","FA_ADJUSTED=GAAP","Sort=A","Dates=H","DateFormat=P","Fill=—","Direction=H","UseDPDF=Y")</f>
        <v>-4.5524000000000004</v>
      </c>
      <c r="R19" s="21">
        <f>_xll.BDH("CRM US Equity","INC_BEF_XO_ITEMS_TO_NET_SALES","FQ1 2016","FQ1 2016","Currency=USD","Period=FQ","BEST_FPERIOD_OVERRIDE=FQ","FILING_STATUS=MR","FA_ADJUSTED=GAAP","Sort=A","Dates=H","DateFormat=P","Fill=—","Direction=H","UseDPDF=Y")</f>
        <v>0.27079999999999999</v>
      </c>
      <c r="S19" s="21">
        <f>_xll.BDH("CRM US Equity","INC_BEF_XO_ITEMS_TO_NET_SALES","FQ2 2016","FQ2 2016","Currency=USD","Period=FQ","BEST_FPERIOD_OVERRIDE=FQ","FILING_STATUS=MR","FA_ADJUSTED=GAAP","Sort=A","Dates=H","DateFormat=P","Fill=—","Direction=H","UseDPDF=Y")</f>
        <v>-5.21E-2</v>
      </c>
      <c r="T19" s="21">
        <f>_xll.BDH("CRM US Equity","INC_BEF_XO_ITEMS_TO_NET_SALES","FQ3 2016","FQ3 2016","Currency=USD","Period=FQ","BEST_FPERIOD_OVERRIDE=FQ","FILING_STATUS=MR","FA_ADJUSTED=GAAP","Sort=A","Dates=H","DateFormat=P","Fill=—","Direction=H","UseDPDF=Y")</f>
        <v>-1.4695</v>
      </c>
      <c r="U19" s="21">
        <f>_xll.BDH("CRM US Equity","INC_BEF_XO_ITEMS_TO_NET_SALES","FQ4 2016","FQ4 2016","Currency=USD","Period=FQ","BEST_FPERIOD_OVERRIDE=FQ","FILING_STATUS=MR","FA_ADJUSTED=GAAP","Sort=A","Dates=H","DateFormat=P","Fill=—","Direction=H","UseDPDF=Y")</f>
        <v>-1.4097999999999999</v>
      </c>
      <c r="V19" s="21">
        <f>_xll.BDH("CRM US Equity","INC_BEF_XO_ITEMS_TO_NET_SALES","FQ1 2017","FQ1 2017","Currency=USD","Period=FQ","BEST_FPERIOD_OVERRIDE=FQ","FILING_STATUS=MR","FA_ADJUSTED=GAAP","Sort=A","Dates=H","DateFormat=P","Fill=—","Direction=H","UseDPDF=Y")</f>
        <v>2.0223</v>
      </c>
      <c r="W19" s="21">
        <f>_xll.BDH("CRM US Equity","INC_BEF_XO_ITEMS_TO_NET_SALES","FQ2 2017","FQ2 2017","Currency=USD","Period=FQ","BEST_FPERIOD_OVERRIDE=FQ","FILING_STATUS=MR","FA_ADJUSTED=GAAP","Sort=A","Dates=H","DateFormat=P","Fill=—","Direction=H","UseDPDF=Y")</f>
        <v>11.274699999999999</v>
      </c>
      <c r="X19" s="21">
        <f>_xll.BDH("CRM US Equity","INC_BEF_XO_ITEMS_TO_NET_SALES","FQ3 2017","FQ3 2017","Currency=USD","Period=FQ","BEST_FPERIOD_OVERRIDE=FQ","FILING_STATUS=MR","FA_ADJUSTED=GAAP","Sort=A","Dates=H","DateFormat=P","Fill=—","Direction=H","UseDPDF=Y")</f>
        <v>-1.7395</v>
      </c>
      <c r="Y19" s="21">
        <f>_xll.BDH("CRM US Equity","INC_BEF_XO_ITEMS_TO_NET_SALES","FQ4 2017","FQ4 2017","Currency=USD","Period=FQ","BEST_FPERIOD_OVERRIDE=FQ","FILING_STATUS=MR","FA_ADJUSTED=GAAP","Sort=A","Dates=H","DateFormat=P","Fill=—","Direction=H","UseDPDF=Y")</f>
        <v>3.9302000000000001</v>
      </c>
      <c r="Z19" s="21">
        <f>_xll.BDH("CRM US Equity","INC_BEF_XO_ITEMS_TO_NET_SALES","FQ1 2018","FQ1 2018","Currency=USD","Period=FQ","BEST_FPERIOD_OVERRIDE=FQ","FILING_STATUS=MR","FA_ADJUSTED=GAAP","Sort=A","Dates=H","DateFormat=P","Fill=—","Direction=H","UseDPDF=Y")</f>
        <v>4.1700000000000001E-2</v>
      </c>
      <c r="AA19" s="21">
        <f>_xll.BDH("CRM US Equity","INC_BEF_XO_ITEMS_TO_NET_SALES","FQ2 2018","FQ2 2018","Currency=USD","Period=FQ","BEST_FPERIOD_OVERRIDE=FQ","FILING_STATUS=MR","FA_ADJUSTED=GAAP","Sort=A","Dates=H","DateFormat=P","Fill=—","Direction=H","UseDPDF=Y")</f>
        <v>1.7850000000000001</v>
      </c>
      <c r="AB19" s="21">
        <f>_xll.BDH("CRM US Equity","INC_BEF_XO_ITEMS_TO_NET_SALES","FQ3 2018","FQ3 2018","Currency=USD","Period=FQ","BEST_FPERIOD_OVERRIDE=FQ","FILING_STATUS=MR","FA_ADJUSTED=GAAP","Sort=A","Dates=H","DateFormat=P","Fill=—","Direction=H","UseDPDF=Y")</f>
        <v>3.9615</v>
      </c>
      <c r="AC19" s="21">
        <f>_xll.BDH("CRM US Equity","INC_BEF_XO_ITEMS_TO_NET_SALES","FQ4 2018","FQ4 2018","Currency=USD","Period=FQ","BEST_FPERIOD_OVERRIDE=FQ","FILING_STATUS=MR","FA_ADJUSTED=GAAP","Sort=A","Dates=H","DateFormat=P","Fill=—","Direction=H","UseDPDF=Y")</f>
        <v>7.1901999999999999</v>
      </c>
      <c r="AD19" s="21">
        <f>_xll.BDH("CRM US Equity","INC_BEF_XO_ITEMS_TO_NET_SALES","FQ1 2019","FQ1 2019","Currency=USD","Period=FQ","BEST_FPERIOD_OVERRIDE=FQ","FILING_STATUS=MR","FA_ADJUSTED=GAAP","Sort=A","Dates=H","DateFormat=P","Fill=—","Direction=H","UseDPDF=Y")</f>
        <v>11.4438</v>
      </c>
      <c r="AE19" s="21">
        <f>_xll.BDH("CRM US Equity","INC_BEF_XO_ITEMS_TO_NET_SALES","FQ2 2019","FQ2 2019","Currency=USD","Period=FQ","BEST_FPERIOD_OVERRIDE=FQ","FILING_STATUS=MR","FA_ADJUSTED=GAAP","Sort=A","Dates=H","DateFormat=P","Fill=—","Direction=H","UseDPDF=Y")</f>
        <v>9.1130999999999993</v>
      </c>
      <c r="AF19" s="21">
        <f>_xll.BDH("CRM US Equity","INC_BEF_XO_ITEMS_TO_NET_SALES","FQ3 2019","FQ3 2019","Currency=USD","Period=FQ","BEST_FPERIOD_OVERRIDE=FQ","FILING_STATUS=MR","FA_ADJUSTED=GAAP","Sort=A","Dates=H","DateFormat=P","Fill=—","Direction=H","UseDPDF=Y")</f>
        <v>3.0954999999999999</v>
      </c>
      <c r="AG19" s="21">
        <f>_xll.BDH("CRM US Equity","INC_BEF_XO_ITEMS_TO_NET_SALES","FQ4 2019","FQ4 2019","Currency=USD","Period=FQ","BEST_FPERIOD_OVERRIDE=FQ","FILING_STATUS=MR","FA_ADJUSTED=GAAP","Sort=A","Dates=H","DateFormat=P","Fill=—","Direction=H","UseDPDF=Y")</f>
        <v>10.0472</v>
      </c>
      <c r="AH19" s="21">
        <f>_xll.BDH("CRM US Equity","INC_BEF_XO_ITEMS_TO_NET_SALES","FQ1 2020","FQ1 2020","Currency=USD","Period=FQ","BEST_FPERIOD_OVERRIDE=FQ","FILING_STATUS=MR","FA_ADJUSTED=GAAP","Sort=A","Dates=H","DateFormat=P","Fill=—","Direction=H","UseDPDF=Y")</f>
        <v>10.489699999999999</v>
      </c>
      <c r="AI19" s="21">
        <f>_xll.BDH("CRM US Equity","INC_BEF_XO_ITEMS_TO_NET_SALES","FQ2 2020","FQ2 2020","Currency=USD","Period=FQ","BEST_FPERIOD_OVERRIDE=FQ","FILING_STATUS=MR","FA_ADJUSTED=GAAP","Sort=A","Dates=H","DateFormat=P","Fill=—","Direction=H","UseDPDF=Y")</f>
        <v>2.2766999999999999</v>
      </c>
      <c r="AJ19" s="21">
        <f>_xll.BDH("CRM US Equity","INC_BEF_XO_ITEMS_TO_NET_SALES","FQ3 2020","FQ3 2020","Currency=USD","Period=FQ","BEST_FPERIOD_OVERRIDE=FQ","FILING_STATUS=MR","FA_ADJUSTED=GAAP","Sort=A","Dates=H","DateFormat=P","Fill=—","Direction=H","UseDPDF=Y")</f>
        <v>-2.4152</v>
      </c>
      <c r="AK19" s="21">
        <f>_xll.BDH("CRM US Equity","INC_BEF_XO_ITEMS_TO_NET_SALES","FQ4 2020","FQ4 2020","Currency=USD","Period=FQ","BEST_FPERIOD_OVERRIDE=FQ","FILING_STATUS=MR","FA_ADJUSTED=GAAP","Sort=A","Dates=H","DateFormat=P","Fill=—","Direction=H","UseDPDF=Y")</f>
        <v>-5.1123000000000003</v>
      </c>
      <c r="AL19" s="21">
        <f>_xll.BDH("CRM US Equity","INC_BEF_XO_ITEMS_TO_NET_SALES","FQ1 2021","FQ1 2021","Currency=USD","Period=FQ","BEST_FPERIOD_OVERRIDE=FQ","FILING_STATUS=MR","FA_ADJUSTED=GAAP","Sort=A","Dates=H","DateFormat=P","Fill=—","Direction=H","UseDPDF=Y")</f>
        <v>2.0348999999999999</v>
      </c>
      <c r="AM19" s="21">
        <f>_xll.BDH("CRM US Equity","INC_BEF_XO_ITEMS_TO_NET_SALES","FQ2 2021","FQ2 2021","Currency=USD","Period=FQ","BEST_FPERIOD_OVERRIDE=FQ","FILING_STATUS=MR","FA_ADJUSTED=GAAP","Sort=A","Dates=H","DateFormat=P","Fill=—","Direction=H","UseDPDF=Y")</f>
        <v>50.960999999999999</v>
      </c>
      <c r="AN19" s="21">
        <f>_xll.BDH("CRM US Equity","INC_BEF_XO_ITEMS_TO_NET_SALES","FQ3 2021","FQ3 2021","Currency=USD","Period=FQ","BEST_FPERIOD_OVERRIDE=FQ","FILING_STATUS=MR","FA_ADJUSTED=GAAP","Sort=A","Dates=H","DateFormat=P","Fill=—","Direction=H","UseDPDF=Y")</f>
        <v>19.9483</v>
      </c>
      <c r="AO19" s="21">
        <f>_xll.BDH("CRM US Equity","INC_BEF_XO_ITEMS_TO_NET_SALES","FQ4 2021","FQ4 2021","Currency=USD","Period=FQ","BEST_FPERIOD_OVERRIDE=FQ","FILING_STATUS=MR","FA_ADJUSTED=GAAP","Sort=A","Dates=H","DateFormat=P","Fill=—","Direction=H","UseDPDF=Y")</f>
        <v>4.59</v>
      </c>
      <c r="AP19" s="21">
        <f>_xll.BDH("CRM US Equity","INC_BEF_XO_ITEMS_TO_NET_SALES","FQ1 2022","FQ1 2022","Currency=USD","Period=FQ","BEST_FPERIOD_OVERRIDE=FQ","FILING_STATUS=MR","FA_ADJUSTED=GAAP","Sort=A","Dates=H","DateFormat=P","Fill=—","Direction=H","UseDPDF=Y")</f>
        <v>7.8651999999999997</v>
      </c>
    </row>
    <row r="20" spans="1:42" x14ac:dyDescent="0.25">
      <c r="A20" s="18" t="s">
        <v>107</v>
      </c>
      <c r="B20" s="18" t="s">
        <v>108</v>
      </c>
      <c r="C20" s="21">
        <f>_xll.BDH("CRM US Equity","PROF_MARGIN","FQ2 2012","FQ2 2012","Currency=USD","Period=FQ","BEST_FPERIOD_OVERRIDE=FQ","FILING_STATUS=MR","FA_ADJUSTED=GAAP","Sort=A","Dates=H","DateFormat=P","Fill=—","Direction=H","UseDPDF=Y")</f>
        <v>-0.78169999999999995</v>
      </c>
      <c r="D20" s="21">
        <f>_xll.BDH("CRM US Equity","PROF_MARGIN","FQ3 2012","FQ3 2012","Currency=USD","Period=FQ","BEST_FPERIOD_OVERRIDE=FQ","FILING_STATUS=MR","FA_ADJUSTED=GAAP","Sort=A","Dates=H","DateFormat=P","Fill=—","Direction=H","UseDPDF=Y")</f>
        <v>-0.64290000000000003</v>
      </c>
      <c r="E20" s="21">
        <f>_xll.BDH("CRM US Equity","PROF_MARGIN","FQ4 2012","FQ4 2012","Currency=USD","Period=FQ","BEST_FPERIOD_OVERRIDE=FQ","FILING_STATUS=MR","FA_ADJUSTED=GAAP","Sort=A","Dates=H","DateFormat=P","Fill=—","Direction=H","UseDPDF=Y")</f>
        <v>-0.64529999999999998</v>
      </c>
      <c r="F20" s="21">
        <f>_xll.BDH("CRM US Equity","PROF_MARGIN","FQ1 2013","FQ1 2013","Currency=USD","Period=FQ","BEST_FPERIOD_OVERRIDE=FQ","FILING_STATUS=MR","FA_ADJUSTED=GAAP","Sort=A","Dates=H","DateFormat=P","Fill=—","Direction=H","UseDPDF=Y")</f>
        <v>-2.8003</v>
      </c>
      <c r="G20" s="21">
        <f>_xll.BDH("CRM US Equity","PROF_MARGIN","FQ2 2013","FQ2 2013","Currency=USD","Period=FQ","BEST_FPERIOD_OVERRIDE=FQ","FILING_STATUS=MR","FA_ADJUSTED=GAAP","Sort=A","Dates=H","DateFormat=P","Fill=—","Direction=H","UseDPDF=Y")</f>
        <v>-1.3433999999999999</v>
      </c>
      <c r="H20" s="21">
        <f>_xll.BDH("CRM US Equity","PROF_MARGIN","FQ3 2013","FQ3 2013","Currency=USD","Period=FQ","BEST_FPERIOD_OVERRIDE=FQ","FILING_STATUS=MR","FA_ADJUSTED=GAAP","Sort=A","Dates=H","DateFormat=P","Fill=—","Direction=H","UseDPDF=Y")</f>
        <v>-27.942399999999999</v>
      </c>
      <c r="I20" s="21">
        <f>_xll.BDH("CRM US Equity","PROF_MARGIN","FQ4 2013","FQ4 2013","Currency=USD","Period=FQ","BEST_FPERIOD_OVERRIDE=FQ","FILING_STATUS=MR","FA_ADJUSTED=GAAP","Sort=A","Dates=H","DateFormat=P","Fill=—","Direction=H","UseDPDF=Y")</f>
        <v>-2.4971999999999999</v>
      </c>
      <c r="J20" s="21">
        <f>_xll.BDH("CRM US Equity","PROF_MARGIN","FQ1 2014","FQ1 2014","Currency=USD","Period=FQ","BEST_FPERIOD_OVERRIDE=FQ","FILING_STATUS=MR","FA_ADJUSTED=GAAP","Sort=A","Dates=H","DateFormat=P","Fill=—","Direction=H","UseDPDF=Y")</f>
        <v>-7.5867000000000004</v>
      </c>
      <c r="K20" s="21">
        <f>_xll.BDH("CRM US Equity","PROF_MARGIN","FQ2 2014","FQ2 2014","Currency=USD","Period=FQ","BEST_FPERIOD_OVERRIDE=FQ","FILING_STATUS=MR","FA_ADJUSTED=GAAP","Sort=A","Dates=H","DateFormat=P","Fill=—","Direction=H","UseDPDF=Y")</f>
        <v>8.0037000000000003</v>
      </c>
      <c r="L20" s="21">
        <f>_xll.BDH("CRM US Equity","PROF_MARGIN","FQ3 2014","FQ3 2014","Currency=USD","Period=FQ","BEST_FPERIOD_OVERRIDE=FQ","FILING_STATUS=MR","FA_ADJUSTED=GAAP","Sort=A","Dates=H","DateFormat=P","Fill=—","Direction=H","UseDPDF=Y")</f>
        <v>-11.5641</v>
      </c>
      <c r="M20" s="21">
        <f>_xll.BDH("CRM US Equity","PROF_MARGIN","FQ4 2014","FQ4 2014","Currency=USD","Period=FQ","BEST_FPERIOD_OVERRIDE=FQ","FILING_STATUS=MR","FA_ADJUSTED=GAAP","Sort=A","Dates=H","DateFormat=P","Fill=—","Direction=H","UseDPDF=Y")</f>
        <v>-10.183299999999999</v>
      </c>
      <c r="N20" s="21">
        <f>_xll.BDH("CRM US Equity","PROF_MARGIN","FQ1 2015","FQ1 2015","Currency=USD","Period=FQ","BEST_FPERIOD_OVERRIDE=FQ","FILING_STATUS=MR","FA_ADJUSTED=GAAP","Sort=A","Dates=H","DateFormat=P","Fill=—","Direction=H","UseDPDF=Y")</f>
        <v>-7.8997000000000002</v>
      </c>
      <c r="O20" s="21">
        <f>_xll.BDH("CRM US Equity","PROF_MARGIN","FQ2 2015","FQ2 2015","Currency=USD","Period=FQ","BEST_FPERIOD_OVERRIDE=FQ","FILING_STATUS=MR","FA_ADJUSTED=GAAP","Sort=A","Dates=H","DateFormat=P","Fill=—","Direction=H","UseDPDF=Y")</f>
        <v>-4.633</v>
      </c>
      <c r="P20" s="21">
        <f>_xll.BDH("CRM US Equity","PROF_MARGIN","FQ3 2015","FQ3 2015","Currency=USD","Period=FQ","BEST_FPERIOD_OVERRIDE=FQ","FILING_STATUS=MR","FA_ADJUSTED=GAAP","Sort=A","Dates=H","DateFormat=P","Fill=—","Direction=H","UseDPDF=Y")</f>
        <v>-2.8130999999999999</v>
      </c>
      <c r="Q20" s="21">
        <f>_xll.BDH("CRM US Equity","PROF_MARGIN","FQ4 2015","FQ4 2015","Currency=USD","Period=FQ","BEST_FPERIOD_OVERRIDE=FQ","FILING_STATUS=MR","FA_ADJUSTED=GAAP","Sort=A","Dates=H","DateFormat=P","Fill=—","Direction=H","UseDPDF=Y")</f>
        <v>-4.5524000000000004</v>
      </c>
      <c r="R20" s="21">
        <f>_xll.BDH("CRM US Equity","PROF_MARGIN","FQ1 2016","FQ1 2016","Currency=USD","Period=FQ","BEST_FPERIOD_OVERRIDE=FQ","FILING_STATUS=MR","FA_ADJUSTED=GAAP","Sort=A","Dates=H","DateFormat=P","Fill=—","Direction=H","UseDPDF=Y")</f>
        <v>0.27079999999999999</v>
      </c>
      <c r="S20" s="21">
        <f>_xll.BDH("CRM US Equity","PROF_MARGIN","FQ2 2016","FQ2 2016","Currency=USD","Period=FQ","BEST_FPERIOD_OVERRIDE=FQ","FILING_STATUS=MR","FA_ADJUSTED=GAAP","Sort=A","Dates=H","DateFormat=P","Fill=—","Direction=H","UseDPDF=Y")</f>
        <v>-5.21E-2</v>
      </c>
      <c r="T20" s="21">
        <f>_xll.BDH("CRM US Equity","PROF_MARGIN","FQ3 2016","FQ3 2016","Currency=USD","Period=FQ","BEST_FPERIOD_OVERRIDE=FQ","FILING_STATUS=MR","FA_ADJUSTED=GAAP","Sort=A","Dates=H","DateFormat=P","Fill=—","Direction=H","UseDPDF=Y")</f>
        <v>-1.4695</v>
      </c>
      <c r="U20" s="21">
        <f>_xll.BDH("CRM US Equity","PROF_MARGIN","FQ4 2016","FQ4 2016","Currency=USD","Period=FQ","BEST_FPERIOD_OVERRIDE=FQ","FILING_STATUS=MR","FA_ADJUSTED=GAAP","Sort=A","Dates=H","DateFormat=P","Fill=—","Direction=H","UseDPDF=Y")</f>
        <v>-1.4097999999999999</v>
      </c>
      <c r="V20" s="21">
        <f>_xll.BDH("CRM US Equity","PROF_MARGIN","FQ1 2017","FQ1 2017","Currency=USD","Period=FQ","BEST_FPERIOD_OVERRIDE=FQ","FILING_STATUS=MR","FA_ADJUSTED=GAAP","Sort=A","Dates=H","DateFormat=P","Fill=—","Direction=H","UseDPDF=Y")</f>
        <v>2.0223</v>
      </c>
      <c r="W20" s="21">
        <f>_xll.BDH("CRM US Equity","PROF_MARGIN","FQ2 2017","FQ2 2017","Currency=USD","Period=FQ","BEST_FPERIOD_OVERRIDE=FQ","FILING_STATUS=MR","FA_ADJUSTED=GAAP","Sort=A","Dates=H","DateFormat=P","Fill=—","Direction=H","UseDPDF=Y")</f>
        <v>11.274699999999999</v>
      </c>
      <c r="X20" s="21">
        <f>_xll.BDH("CRM US Equity","PROF_MARGIN","FQ3 2017","FQ3 2017","Currency=USD","Period=FQ","BEST_FPERIOD_OVERRIDE=FQ","FILING_STATUS=MR","FA_ADJUSTED=GAAP","Sort=A","Dates=H","DateFormat=P","Fill=—","Direction=H","UseDPDF=Y")</f>
        <v>-1.7395</v>
      </c>
      <c r="Y20" s="21">
        <f>_xll.BDH("CRM US Equity","PROF_MARGIN","FQ4 2017","FQ4 2017","Currency=USD","Period=FQ","BEST_FPERIOD_OVERRIDE=FQ","FILING_STATUS=MR","FA_ADJUSTED=GAAP","Sort=A","Dates=H","DateFormat=P","Fill=—","Direction=H","UseDPDF=Y")</f>
        <v>3.9302000000000001</v>
      </c>
      <c r="Z20" s="21">
        <f>_xll.BDH("CRM US Equity","PROF_MARGIN","FQ1 2018","FQ1 2018","Currency=USD","Period=FQ","BEST_FPERIOD_OVERRIDE=FQ","FILING_STATUS=MR","FA_ADJUSTED=GAAP","Sort=A","Dates=H","DateFormat=P","Fill=—","Direction=H","UseDPDF=Y")</f>
        <v>4.1700000000000001E-2</v>
      </c>
      <c r="AA20" s="21">
        <f>_xll.BDH("CRM US Equity","PROF_MARGIN","FQ2 2018","FQ2 2018","Currency=USD","Period=FQ","BEST_FPERIOD_OVERRIDE=FQ","FILING_STATUS=MR","FA_ADJUSTED=GAAP","Sort=A","Dates=H","DateFormat=P","Fill=—","Direction=H","UseDPDF=Y")</f>
        <v>1.7850000000000001</v>
      </c>
      <c r="AB20" s="21">
        <f>_xll.BDH("CRM US Equity","PROF_MARGIN","FQ3 2018","FQ3 2018","Currency=USD","Period=FQ","BEST_FPERIOD_OVERRIDE=FQ","FILING_STATUS=MR","FA_ADJUSTED=GAAP","Sort=A","Dates=H","DateFormat=P","Fill=—","Direction=H","UseDPDF=Y")</f>
        <v>3.9615</v>
      </c>
      <c r="AC20" s="21">
        <f>_xll.BDH("CRM US Equity","PROF_MARGIN","FQ4 2018","FQ4 2018","Currency=USD","Period=FQ","BEST_FPERIOD_OVERRIDE=FQ","FILING_STATUS=MR","FA_ADJUSTED=GAAP","Sort=A","Dates=H","DateFormat=P","Fill=—","Direction=H","UseDPDF=Y")</f>
        <v>7.1901999999999999</v>
      </c>
      <c r="AD20" s="21">
        <f>_xll.BDH("CRM US Equity","PROF_MARGIN","FQ1 2019","FQ1 2019","Currency=USD","Period=FQ","BEST_FPERIOD_OVERRIDE=FQ","FILING_STATUS=MR","FA_ADJUSTED=GAAP","Sort=A","Dates=H","DateFormat=P","Fill=—","Direction=H","UseDPDF=Y")</f>
        <v>11.4438</v>
      </c>
      <c r="AE20" s="21">
        <f>_xll.BDH("CRM US Equity","PROF_MARGIN","FQ2 2019","FQ2 2019","Currency=USD","Period=FQ","BEST_FPERIOD_OVERRIDE=FQ","FILING_STATUS=MR","FA_ADJUSTED=GAAP","Sort=A","Dates=H","DateFormat=P","Fill=—","Direction=H","UseDPDF=Y")</f>
        <v>9.1130999999999993</v>
      </c>
      <c r="AF20" s="21">
        <f>_xll.BDH("CRM US Equity","PROF_MARGIN","FQ3 2019","FQ3 2019","Currency=USD","Period=FQ","BEST_FPERIOD_OVERRIDE=FQ","FILING_STATUS=MR","FA_ADJUSTED=GAAP","Sort=A","Dates=H","DateFormat=P","Fill=—","Direction=H","UseDPDF=Y")</f>
        <v>3.0954999999999999</v>
      </c>
      <c r="AG20" s="21">
        <f>_xll.BDH("CRM US Equity","PROF_MARGIN","FQ4 2019","FQ4 2019","Currency=USD","Period=FQ","BEST_FPERIOD_OVERRIDE=FQ","FILING_STATUS=MR","FA_ADJUSTED=GAAP","Sort=A","Dates=H","DateFormat=P","Fill=—","Direction=H","UseDPDF=Y")</f>
        <v>10.0472</v>
      </c>
      <c r="AH20" s="21">
        <f>_xll.BDH("CRM US Equity","PROF_MARGIN","FQ1 2020","FQ1 2020","Currency=USD","Period=FQ","BEST_FPERIOD_OVERRIDE=FQ","FILING_STATUS=MR","FA_ADJUSTED=GAAP","Sort=A","Dates=H","DateFormat=P","Fill=—","Direction=H","UseDPDF=Y")</f>
        <v>10.489699999999999</v>
      </c>
      <c r="AI20" s="21">
        <f>_xll.BDH("CRM US Equity","PROF_MARGIN","FQ2 2020","FQ2 2020","Currency=USD","Period=FQ","BEST_FPERIOD_OVERRIDE=FQ","FILING_STATUS=MR","FA_ADJUSTED=GAAP","Sort=A","Dates=H","DateFormat=P","Fill=—","Direction=H","UseDPDF=Y")</f>
        <v>2.2766999999999999</v>
      </c>
      <c r="AJ20" s="21">
        <f>_xll.BDH("CRM US Equity","PROF_MARGIN","FQ3 2020","FQ3 2020","Currency=USD","Period=FQ","BEST_FPERIOD_OVERRIDE=FQ","FILING_STATUS=MR","FA_ADJUSTED=GAAP","Sort=A","Dates=H","DateFormat=P","Fill=—","Direction=H","UseDPDF=Y")</f>
        <v>-2.4152</v>
      </c>
      <c r="AK20" s="21">
        <f>_xll.BDH("CRM US Equity","PROF_MARGIN","FQ4 2020","FQ4 2020","Currency=USD","Period=FQ","BEST_FPERIOD_OVERRIDE=FQ","FILING_STATUS=MR","FA_ADJUSTED=GAAP","Sort=A","Dates=H","DateFormat=P","Fill=—","Direction=H","UseDPDF=Y")</f>
        <v>-5.1123000000000003</v>
      </c>
      <c r="AL20" s="21">
        <f>_xll.BDH("CRM US Equity","PROF_MARGIN","FQ1 2021","FQ1 2021","Currency=USD","Period=FQ","BEST_FPERIOD_OVERRIDE=FQ","FILING_STATUS=MR","FA_ADJUSTED=GAAP","Sort=A","Dates=H","DateFormat=P","Fill=—","Direction=H","UseDPDF=Y")</f>
        <v>2.0348999999999999</v>
      </c>
      <c r="AM20" s="21">
        <f>_xll.BDH("CRM US Equity","PROF_MARGIN","FQ2 2021","FQ2 2021","Currency=USD","Period=FQ","BEST_FPERIOD_OVERRIDE=FQ","FILING_STATUS=MR","FA_ADJUSTED=GAAP","Sort=A","Dates=H","DateFormat=P","Fill=—","Direction=H","UseDPDF=Y")</f>
        <v>50.960999999999999</v>
      </c>
      <c r="AN20" s="21">
        <f>_xll.BDH("CRM US Equity","PROF_MARGIN","FQ3 2021","FQ3 2021","Currency=USD","Period=FQ","BEST_FPERIOD_OVERRIDE=FQ","FILING_STATUS=MR","FA_ADJUSTED=GAAP","Sort=A","Dates=H","DateFormat=P","Fill=—","Direction=H","UseDPDF=Y")</f>
        <v>19.9483</v>
      </c>
      <c r="AO20" s="21">
        <f>_xll.BDH("CRM US Equity","PROF_MARGIN","FQ4 2021","FQ4 2021","Currency=USD","Period=FQ","BEST_FPERIOD_OVERRIDE=FQ","FILING_STATUS=MR","FA_ADJUSTED=GAAP","Sort=A","Dates=H","DateFormat=P","Fill=—","Direction=H","UseDPDF=Y")</f>
        <v>4.59</v>
      </c>
      <c r="AP20" s="21">
        <f>_xll.BDH("CRM US Equity","PROF_MARGIN","FQ1 2022","FQ1 2022","Currency=USD","Period=FQ","BEST_FPERIOD_OVERRIDE=FQ","FILING_STATUS=MR","FA_ADJUSTED=GAAP","Sort=A","Dates=H","DateFormat=P","Fill=—","Direction=H","UseDPDF=Y")</f>
        <v>7.8651999999999997</v>
      </c>
    </row>
    <row r="21" spans="1:42" x14ac:dyDescent="0.25">
      <c r="A21" s="18" t="s">
        <v>109</v>
      </c>
      <c r="B21" s="18" t="s">
        <v>110</v>
      </c>
      <c r="C21" s="21">
        <f>_xll.BDH("CRM US Equity","NET_INCOME_TO_COMMON_MARGIN","FQ2 2012","FQ2 2012","Currency=USD","Period=FQ","BEST_FPERIOD_OVERRIDE=FQ","FILING_STATUS=MR","FA_ADJUSTED=GAAP","Sort=A","Dates=H","DateFormat=P","Fill=—","Direction=H","UseDPDF=Y")</f>
        <v>-0.78169999999999995</v>
      </c>
      <c r="D21" s="21">
        <f>_xll.BDH("CRM US Equity","NET_INCOME_TO_COMMON_MARGIN","FQ3 2012","FQ3 2012","Currency=USD","Period=FQ","BEST_FPERIOD_OVERRIDE=FQ","FILING_STATUS=MR","FA_ADJUSTED=GAAP","Sort=A","Dates=H","DateFormat=P","Fill=—","Direction=H","UseDPDF=Y")</f>
        <v>-0.64290000000000003</v>
      </c>
      <c r="E21" s="21">
        <f>_xll.BDH("CRM US Equity","NET_INCOME_TO_COMMON_MARGIN","FQ4 2012","FQ4 2012","Currency=USD","Period=FQ","BEST_FPERIOD_OVERRIDE=FQ","FILING_STATUS=MR","FA_ADJUSTED=GAAP","Sort=A","Dates=H","DateFormat=P","Fill=—","Direction=H","UseDPDF=Y")</f>
        <v>-0.64529999999999998</v>
      </c>
      <c r="F21" s="21">
        <f>_xll.BDH("CRM US Equity","NET_INCOME_TO_COMMON_MARGIN","FQ1 2013","FQ1 2013","Currency=USD","Period=FQ","BEST_FPERIOD_OVERRIDE=FQ","FILING_STATUS=MR","FA_ADJUSTED=GAAP","Sort=A","Dates=H","DateFormat=P","Fill=—","Direction=H","UseDPDF=Y")</f>
        <v>-2.8003</v>
      </c>
      <c r="G21" s="21">
        <f>_xll.BDH("CRM US Equity","NET_INCOME_TO_COMMON_MARGIN","FQ2 2013","FQ2 2013","Currency=USD","Period=FQ","BEST_FPERIOD_OVERRIDE=FQ","FILING_STATUS=MR","FA_ADJUSTED=GAAP","Sort=A","Dates=H","DateFormat=P","Fill=—","Direction=H","UseDPDF=Y")</f>
        <v>-1.3433999999999999</v>
      </c>
      <c r="H21" s="21">
        <f>_xll.BDH("CRM US Equity","NET_INCOME_TO_COMMON_MARGIN","FQ3 2013","FQ3 2013","Currency=USD","Period=FQ","BEST_FPERIOD_OVERRIDE=FQ","FILING_STATUS=MR","FA_ADJUSTED=GAAP","Sort=A","Dates=H","DateFormat=P","Fill=—","Direction=H","UseDPDF=Y")</f>
        <v>-27.942399999999999</v>
      </c>
      <c r="I21" s="21">
        <f>_xll.BDH("CRM US Equity","NET_INCOME_TO_COMMON_MARGIN","FQ4 2013","FQ4 2013","Currency=USD","Period=FQ","BEST_FPERIOD_OVERRIDE=FQ","FILING_STATUS=MR","FA_ADJUSTED=GAAP","Sort=A","Dates=H","DateFormat=P","Fill=—","Direction=H","UseDPDF=Y")</f>
        <v>-2.4971999999999999</v>
      </c>
      <c r="J21" s="21">
        <f>_xll.BDH("CRM US Equity","NET_INCOME_TO_COMMON_MARGIN","FQ1 2014","FQ1 2014","Currency=USD","Period=FQ","BEST_FPERIOD_OVERRIDE=FQ","FILING_STATUS=MR","FA_ADJUSTED=GAAP","Sort=A","Dates=H","DateFormat=P","Fill=—","Direction=H","UseDPDF=Y")</f>
        <v>-7.5867000000000004</v>
      </c>
      <c r="K21" s="21">
        <f>_xll.BDH("CRM US Equity","NET_INCOME_TO_COMMON_MARGIN","FQ2 2014","FQ2 2014","Currency=USD","Period=FQ","BEST_FPERIOD_OVERRIDE=FQ","FILING_STATUS=MR","FA_ADJUSTED=GAAP","Sort=A","Dates=H","DateFormat=P","Fill=—","Direction=H","UseDPDF=Y")</f>
        <v>8.0037000000000003</v>
      </c>
      <c r="L21" s="21">
        <f>_xll.BDH("CRM US Equity","NET_INCOME_TO_COMMON_MARGIN","FQ3 2014","FQ3 2014","Currency=USD","Period=FQ","BEST_FPERIOD_OVERRIDE=FQ","FILING_STATUS=MR","FA_ADJUSTED=GAAP","Sort=A","Dates=H","DateFormat=P","Fill=—","Direction=H","UseDPDF=Y")</f>
        <v>-11.5641</v>
      </c>
      <c r="M21" s="21">
        <f>_xll.BDH("CRM US Equity","NET_INCOME_TO_COMMON_MARGIN","FQ4 2014","FQ4 2014","Currency=USD","Period=FQ","BEST_FPERIOD_OVERRIDE=FQ","FILING_STATUS=MR","FA_ADJUSTED=GAAP","Sort=A","Dates=H","DateFormat=P","Fill=—","Direction=H","UseDPDF=Y")</f>
        <v>-10.183299999999999</v>
      </c>
      <c r="N21" s="21">
        <f>_xll.BDH("CRM US Equity","NET_INCOME_TO_COMMON_MARGIN","FQ1 2015","FQ1 2015","Currency=USD","Period=FQ","BEST_FPERIOD_OVERRIDE=FQ","FILING_STATUS=MR","FA_ADJUSTED=GAAP","Sort=A","Dates=H","DateFormat=P","Fill=—","Direction=H","UseDPDF=Y")</f>
        <v>-7.8997000000000002</v>
      </c>
      <c r="O21" s="21">
        <f>_xll.BDH("CRM US Equity","NET_INCOME_TO_COMMON_MARGIN","FQ2 2015","FQ2 2015","Currency=USD","Period=FQ","BEST_FPERIOD_OVERRIDE=FQ","FILING_STATUS=MR","FA_ADJUSTED=GAAP","Sort=A","Dates=H","DateFormat=P","Fill=—","Direction=H","UseDPDF=Y")</f>
        <v>-4.633</v>
      </c>
      <c r="P21" s="21">
        <f>_xll.BDH("CRM US Equity","NET_INCOME_TO_COMMON_MARGIN","FQ3 2015","FQ3 2015","Currency=USD","Period=FQ","BEST_FPERIOD_OVERRIDE=FQ","FILING_STATUS=MR","FA_ADJUSTED=GAAP","Sort=A","Dates=H","DateFormat=P","Fill=—","Direction=H","UseDPDF=Y")</f>
        <v>-2.8130999999999999</v>
      </c>
      <c r="Q21" s="21">
        <f>_xll.BDH("CRM US Equity","NET_INCOME_TO_COMMON_MARGIN","FQ4 2015","FQ4 2015","Currency=USD","Period=FQ","BEST_FPERIOD_OVERRIDE=FQ","FILING_STATUS=MR","FA_ADJUSTED=GAAP","Sort=A","Dates=H","DateFormat=P","Fill=—","Direction=H","UseDPDF=Y")</f>
        <v>-4.5524000000000004</v>
      </c>
      <c r="R21" s="21">
        <f>_xll.BDH("CRM US Equity","NET_INCOME_TO_COMMON_MARGIN","FQ1 2016","FQ1 2016","Currency=USD","Period=FQ","BEST_FPERIOD_OVERRIDE=FQ","FILING_STATUS=MR","FA_ADJUSTED=GAAP","Sort=A","Dates=H","DateFormat=P","Fill=—","Direction=H","UseDPDF=Y")</f>
        <v>0.27079999999999999</v>
      </c>
      <c r="S21" s="21">
        <f>_xll.BDH("CRM US Equity","NET_INCOME_TO_COMMON_MARGIN","FQ2 2016","FQ2 2016","Currency=USD","Period=FQ","BEST_FPERIOD_OVERRIDE=FQ","FILING_STATUS=MR","FA_ADJUSTED=GAAP","Sort=A","Dates=H","DateFormat=P","Fill=—","Direction=H","UseDPDF=Y")</f>
        <v>-5.21E-2</v>
      </c>
      <c r="T21" s="21">
        <f>_xll.BDH("CRM US Equity","NET_INCOME_TO_COMMON_MARGIN","FQ3 2016","FQ3 2016","Currency=USD","Period=FQ","BEST_FPERIOD_OVERRIDE=FQ","FILING_STATUS=MR","FA_ADJUSTED=GAAP","Sort=A","Dates=H","DateFormat=P","Fill=—","Direction=H","UseDPDF=Y")</f>
        <v>-1.4695</v>
      </c>
      <c r="U21" s="21">
        <f>_xll.BDH("CRM US Equity","NET_INCOME_TO_COMMON_MARGIN","FQ4 2016","FQ4 2016","Currency=USD","Period=FQ","BEST_FPERIOD_OVERRIDE=FQ","FILING_STATUS=MR","FA_ADJUSTED=GAAP","Sort=A","Dates=H","DateFormat=P","Fill=—","Direction=H","UseDPDF=Y")</f>
        <v>-1.4097999999999999</v>
      </c>
      <c r="V21" s="21">
        <f>_xll.BDH("CRM US Equity","NET_INCOME_TO_COMMON_MARGIN","FQ1 2017","FQ1 2017","Currency=USD","Period=FQ","BEST_FPERIOD_OVERRIDE=FQ","FILING_STATUS=MR","FA_ADJUSTED=GAAP","Sort=A","Dates=H","DateFormat=P","Fill=—","Direction=H","UseDPDF=Y")</f>
        <v>2.0223</v>
      </c>
      <c r="W21" s="21">
        <f>_xll.BDH("CRM US Equity","NET_INCOME_TO_COMMON_MARGIN","FQ2 2017","FQ2 2017","Currency=USD","Period=FQ","BEST_FPERIOD_OVERRIDE=FQ","FILING_STATUS=MR","FA_ADJUSTED=GAAP","Sort=A","Dates=H","DateFormat=P","Fill=—","Direction=H","UseDPDF=Y")</f>
        <v>11.274699999999999</v>
      </c>
      <c r="X21" s="21">
        <f>_xll.BDH("CRM US Equity","NET_INCOME_TO_COMMON_MARGIN","FQ3 2017","FQ3 2017","Currency=USD","Period=FQ","BEST_FPERIOD_OVERRIDE=FQ","FILING_STATUS=MR","FA_ADJUSTED=GAAP","Sort=A","Dates=H","DateFormat=P","Fill=—","Direction=H","UseDPDF=Y")</f>
        <v>-1.7395</v>
      </c>
      <c r="Y21" s="21">
        <f>_xll.BDH("CRM US Equity","NET_INCOME_TO_COMMON_MARGIN","FQ4 2017","FQ4 2017","Currency=USD","Period=FQ","BEST_FPERIOD_OVERRIDE=FQ","FILING_STATUS=MR","FA_ADJUSTED=GAAP","Sort=A","Dates=H","DateFormat=P","Fill=—","Direction=H","UseDPDF=Y")</f>
        <v>3.9302000000000001</v>
      </c>
      <c r="Z21" s="21">
        <f>_xll.BDH("CRM US Equity","NET_INCOME_TO_COMMON_MARGIN","FQ1 2018","FQ1 2018","Currency=USD","Period=FQ","BEST_FPERIOD_OVERRIDE=FQ","FILING_STATUS=MR","FA_ADJUSTED=GAAP","Sort=A","Dates=H","DateFormat=P","Fill=—","Direction=H","UseDPDF=Y")</f>
        <v>4.1700000000000001E-2</v>
      </c>
      <c r="AA21" s="21">
        <f>_xll.BDH("CRM US Equity","NET_INCOME_TO_COMMON_MARGIN","FQ2 2018","FQ2 2018","Currency=USD","Period=FQ","BEST_FPERIOD_OVERRIDE=FQ","FILING_STATUS=MR","FA_ADJUSTED=GAAP","Sort=A","Dates=H","DateFormat=P","Fill=—","Direction=H","UseDPDF=Y")</f>
        <v>1.7850000000000001</v>
      </c>
      <c r="AB21" s="21">
        <f>_xll.BDH("CRM US Equity","NET_INCOME_TO_COMMON_MARGIN","FQ3 2018","FQ3 2018","Currency=USD","Period=FQ","BEST_FPERIOD_OVERRIDE=FQ","FILING_STATUS=MR","FA_ADJUSTED=GAAP","Sort=A","Dates=H","DateFormat=P","Fill=—","Direction=H","UseDPDF=Y")</f>
        <v>3.9615</v>
      </c>
      <c r="AC21" s="21">
        <f>_xll.BDH("CRM US Equity","NET_INCOME_TO_COMMON_MARGIN","FQ4 2018","FQ4 2018","Currency=USD","Period=FQ","BEST_FPERIOD_OVERRIDE=FQ","FILING_STATUS=MR","FA_ADJUSTED=GAAP","Sort=A","Dates=H","DateFormat=P","Fill=—","Direction=H","UseDPDF=Y")</f>
        <v>7.1901999999999999</v>
      </c>
      <c r="AD21" s="21">
        <f>_xll.BDH("CRM US Equity","NET_INCOME_TO_COMMON_MARGIN","FQ1 2019","FQ1 2019","Currency=USD","Period=FQ","BEST_FPERIOD_OVERRIDE=FQ","FILING_STATUS=MR","FA_ADJUSTED=GAAP","Sort=A","Dates=H","DateFormat=P","Fill=—","Direction=H","UseDPDF=Y")</f>
        <v>11.4438</v>
      </c>
      <c r="AE21" s="21">
        <f>_xll.BDH("CRM US Equity","NET_INCOME_TO_COMMON_MARGIN","FQ2 2019","FQ2 2019","Currency=USD","Period=FQ","BEST_FPERIOD_OVERRIDE=FQ","FILING_STATUS=MR","FA_ADJUSTED=GAAP","Sort=A","Dates=H","DateFormat=P","Fill=—","Direction=H","UseDPDF=Y")</f>
        <v>9.1130999999999993</v>
      </c>
      <c r="AF21" s="21">
        <f>_xll.BDH("CRM US Equity","NET_INCOME_TO_COMMON_MARGIN","FQ3 2019","FQ3 2019","Currency=USD","Period=FQ","BEST_FPERIOD_OVERRIDE=FQ","FILING_STATUS=MR","FA_ADJUSTED=GAAP","Sort=A","Dates=H","DateFormat=P","Fill=—","Direction=H","UseDPDF=Y")</f>
        <v>3.0954999999999999</v>
      </c>
      <c r="AG21" s="21">
        <f>_xll.BDH("CRM US Equity","NET_INCOME_TO_COMMON_MARGIN","FQ4 2019","FQ4 2019","Currency=USD","Period=FQ","BEST_FPERIOD_OVERRIDE=FQ","FILING_STATUS=MR","FA_ADJUSTED=GAAP","Sort=A","Dates=H","DateFormat=P","Fill=—","Direction=H","UseDPDF=Y")</f>
        <v>10.0472</v>
      </c>
      <c r="AH21" s="21">
        <f>_xll.BDH("CRM US Equity","NET_INCOME_TO_COMMON_MARGIN","FQ1 2020","FQ1 2020","Currency=USD","Period=FQ","BEST_FPERIOD_OVERRIDE=FQ","FILING_STATUS=MR","FA_ADJUSTED=GAAP","Sort=A","Dates=H","DateFormat=P","Fill=—","Direction=H","UseDPDF=Y")</f>
        <v>10.489699999999999</v>
      </c>
      <c r="AI21" s="21">
        <f>_xll.BDH("CRM US Equity","NET_INCOME_TO_COMMON_MARGIN","FQ2 2020","FQ2 2020","Currency=USD","Period=FQ","BEST_FPERIOD_OVERRIDE=FQ","FILING_STATUS=MR","FA_ADJUSTED=GAAP","Sort=A","Dates=H","DateFormat=P","Fill=—","Direction=H","UseDPDF=Y")</f>
        <v>2.2766999999999999</v>
      </c>
      <c r="AJ21" s="21">
        <f>_xll.BDH("CRM US Equity","NET_INCOME_TO_COMMON_MARGIN","FQ3 2020","FQ3 2020","Currency=USD","Period=FQ","BEST_FPERIOD_OVERRIDE=FQ","FILING_STATUS=MR","FA_ADJUSTED=GAAP","Sort=A","Dates=H","DateFormat=P","Fill=—","Direction=H","UseDPDF=Y")</f>
        <v>-2.4152</v>
      </c>
      <c r="AK21" s="21">
        <f>_xll.BDH("CRM US Equity","NET_INCOME_TO_COMMON_MARGIN","FQ4 2020","FQ4 2020","Currency=USD","Period=FQ","BEST_FPERIOD_OVERRIDE=FQ","FILING_STATUS=MR","FA_ADJUSTED=GAAP","Sort=A","Dates=H","DateFormat=P","Fill=—","Direction=H","UseDPDF=Y")</f>
        <v>-5.1123000000000003</v>
      </c>
      <c r="AL21" s="21">
        <f>_xll.BDH("CRM US Equity","NET_INCOME_TO_COMMON_MARGIN","FQ1 2021","FQ1 2021","Currency=USD","Period=FQ","BEST_FPERIOD_OVERRIDE=FQ","FILING_STATUS=MR","FA_ADJUSTED=GAAP","Sort=A","Dates=H","DateFormat=P","Fill=—","Direction=H","UseDPDF=Y")</f>
        <v>2.0348999999999999</v>
      </c>
      <c r="AM21" s="21">
        <f>_xll.BDH("CRM US Equity","NET_INCOME_TO_COMMON_MARGIN","FQ2 2021","FQ2 2021","Currency=USD","Period=FQ","BEST_FPERIOD_OVERRIDE=FQ","FILING_STATUS=MR","FA_ADJUSTED=GAAP","Sort=A","Dates=H","DateFormat=P","Fill=—","Direction=H","UseDPDF=Y")</f>
        <v>50.960999999999999</v>
      </c>
      <c r="AN21" s="21">
        <f>_xll.BDH("CRM US Equity","NET_INCOME_TO_COMMON_MARGIN","FQ3 2021","FQ3 2021","Currency=USD","Period=FQ","BEST_FPERIOD_OVERRIDE=FQ","FILING_STATUS=MR","FA_ADJUSTED=GAAP","Sort=A","Dates=H","DateFormat=P","Fill=—","Direction=H","UseDPDF=Y")</f>
        <v>19.9483</v>
      </c>
      <c r="AO21" s="21">
        <f>_xll.BDH("CRM US Equity","NET_INCOME_TO_COMMON_MARGIN","FQ4 2021","FQ4 2021","Currency=USD","Period=FQ","BEST_FPERIOD_OVERRIDE=FQ","FILING_STATUS=MR","FA_ADJUSTED=GAAP","Sort=A","Dates=H","DateFormat=P","Fill=—","Direction=H","UseDPDF=Y")</f>
        <v>4.59</v>
      </c>
      <c r="AP21" s="21">
        <f>_xll.BDH("CRM US Equity","NET_INCOME_TO_COMMON_MARGIN","FQ1 2022","FQ1 2022","Currency=USD","Period=FQ","BEST_FPERIOD_OVERRIDE=FQ","FILING_STATUS=MR","FA_ADJUSTED=GAAP","Sort=A","Dates=H","DateFormat=P","Fill=—","Direction=H","UseDPDF=Y")</f>
        <v>7.8651999999999997</v>
      </c>
    </row>
    <row r="22" spans="1:42" x14ac:dyDescent="0.25">
      <c r="A22" s="18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</row>
    <row r="23" spans="1:42" x14ac:dyDescent="0.25">
      <c r="A23" s="14" t="s">
        <v>111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x14ac:dyDescent="0.25">
      <c r="A24" s="18" t="s">
        <v>112</v>
      </c>
      <c r="B24" s="18" t="s">
        <v>113</v>
      </c>
      <c r="C24" s="21" t="str">
        <f>_xll.BDH("CRM US Equity","EFF_TAX_RATE","FQ2 2012","FQ2 2012","Currency=USD","Period=FQ","BEST_FPERIOD_OVERRIDE=FQ","FILING_STATUS=MR","FA_ADJUSTED=GAAP","Sort=A","Dates=H","DateFormat=P","Fill=—","Direction=H","UseDPDF=Y")</f>
        <v>—</v>
      </c>
      <c r="D24" s="21" t="str">
        <f>_xll.BDH("CRM US Equity","EFF_TAX_RATE","FQ3 2012","FQ3 2012","Currency=USD","Period=FQ","BEST_FPERIOD_OVERRIDE=FQ","FILING_STATUS=MR","FA_ADJUSTED=GAAP","Sort=A","Dates=H","DateFormat=P","Fill=—","Direction=H","UseDPDF=Y")</f>
        <v>—</v>
      </c>
      <c r="E24" s="21" t="str">
        <f>_xll.BDH("CRM US Equity","EFF_TAX_RATE","FQ4 2012","FQ4 2012","Currency=USD","Period=FQ","BEST_FPERIOD_OVERRIDE=FQ","FILING_STATUS=MR","FA_ADJUSTED=GAAP","Sort=A","Dates=H","DateFormat=P","Fill=—","Direction=H","UseDPDF=Y")</f>
        <v>—</v>
      </c>
      <c r="F24" s="21" t="str">
        <f>_xll.BDH("CRM US Equity","EFF_TAX_RATE","FQ1 2013","FQ1 2013","Currency=USD","Period=FQ","BEST_FPERIOD_OVERRIDE=FQ","FILING_STATUS=MR","FA_ADJUSTED=GAAP","Sort=A","Dates=H","DateFormat=P","Fill=—","Direction=H","UseDPDF=Y")</f>
        <v>—</v>
      </c>
      <c r="G24" s="21" t="str">
        <f>_xll.BDH("CRM US Equity","EFF_TAX_RATE","FQ2 2013","FQ2 2013","Currency=USD","Period=FQ","BEST_FPERIOD_OVERRIDE=FQ","FILING_STATUS=MR","FA_ADJUSTED=GAAP","Sort=A","Dates=H","DateFormat=P","Fill=—","Direction=H","UseDPDF=Y")</f>
        <v>—</v>
      </c>
      <c r="H24" s="21" t="str">
        <f>_xll.BDH("CRM US Equity","EFF_TAX_RATE","FQ3 2013","FQ3 2013","Currency=USD","Period=FQ","BEST_FPERIOD_OVERRIDE=FQ","FILING_STATUS=MR","FA_ADJUSTED=GAAP","Sort=A","Dates=H","DateFormat=P","Fill=—","Direction=H","UseDPDF=Y")</f>
        <v>—</v>
      </c>
      <c r="I24" s="21" t="str">
        <f>_xll.BDH("CRM US Equity","EFF_TAX_RATE","FQ4 2013","FQ4 2013","Currency=USD","Period=FQ","BEST_FPERIOD_OVERRIDE=FQ","FILING_STATUS=MR","FA_ADJUSTED=GAAP","Sort=A","Dates=H","DateFormat=P","Fill=—","Direction=H","UseDPDF=Y")</f>
        <v>—</v>
      </c>
      <c r="J24" s="21" t="str">
        <f>_xll.BDH("CRM US Equity","EFF_TAX_RATE","FQ1 2014","FQ1 2014","Currency=USD","Period=FQ","BEST_FPERIOD_OVERRIDE=FQ","FILING_STATUS=MR","FA_ADJUSTED=GAAP","Sort=A","Dates=H","DateFormat=P","Fill=—","Direction=H","UseDPDF=Y")</f>
        <v>—</v>
      </c>
      <c r="K24" s="21" t="str">
        <f>_xll.BDH("CRM US Equity","EFF_TAX_RATE","FQ2 2014","FQ2 2014","Currency=USD","Period=FQ","BEST_FPERIOD_OVERRIDE=FQ","FILING_STATUS=MR","FA_ADJUSTED=GAAP","Sort=A","Dates=H","DateFormat=P","Fill=—","Direction=H","UseDPDF=Y")</f>
        <v>—</v>
      </c>
      <c r="L24" s="21" t="str">
        <f>_xll.BDH("CRM US Equity","EFF_TAX_RATE","FQ3 2014","FQ3 2014","Currency=USD","Period=FQ","BEST_FPERIOD_OVERRIDE=FQ","FILING_STATUS=MR","FA_ADJUSTED=GAAP","Sort=A","Dates=H","DateFormat=P","Fill=—","Direction=H","UseDPDF=Y")</f>
        <v>—</v>
      </c>
      <c r="M24" s="21" t="str">
        <f>_xll.BDH("CRM US Equity","EFF_TAX_RATE","FQ4 2014","FQ4 2014","Currency=USD","Period=FQ","BEST_FPERIOD_OVERRIDE=FQ","FILING_STATUS=MR","FA_ADJUSTED=GAAP","Sort=A","Dates=H","DateFormat=P","Fill=—","Direction=H","UseDPDF=Y")</f>
        <v>—</v>
      </c>
      <c r="N24" s="21" t="str">
        <f>_xll.BDH("CRM US Equity","EFF_TAX_RATE","FQ1 2015","FQ1 2015","Currency=USD","Period=FQ","BEST_FPERIOD_OVERRIDE=FQ","FILING_STATUS=MR","FA_ADJUSTED=GAAP","Sort=A","Dates=H","DateFormat=P","Fill=—","Direction=H","UseDPDF=Y")</f>
        <v>—</v>
      </c>
      <c r="O24" s="21" t="str">
        <f>_xll.BDH("CRM US Equity","EFF_TAX_RATE","FQ2 2015","FQ2 2015","Currency=USD","Period=FQ","BEST_FPERIOD_OVERRIDE=FQ","FILING_STATUS=MR","FA_ADJUSTED=GAAP","Sort=A","Dates=H","DateFormat=P","Fill=—","Direction=H","UseDPDF=Y")</f>
        <v>—</v>
      </c>
      <c r="P24" s="21" t="str">
        <f>_xll.BDH("CRM US Equity","EFF_TAX_RATE","FQ3 2015","FQ3 2015","Currency=USD","Period=FQ","BEST_FPERIOD_OVERRIDE=FQ","FILING_STATUS=MR","FA_ADJUSTED=GAAP","Sort=A","Dates=H","DateFormat=P","Fill=—","Direction=H","UseDPDF=Y")</f>
        <v>—</v>
      </c>
      <c r="Q24" s="21" t="str">
        <f>_xll.BDH("CRM US Equity","EFF_TAX_RATE","FQ4 2015","FQ4 2015","Currency=USD","Period=FQ","BEST_FPERIOD_OVERRIDE=FQ","FILING_STATUS=MR","FA_ADJUSTED=GAAP","Sort=A","Dates=H","DateFormat=P","Fill=—","Direction=H","UseDPDF=Y")</f>
        <v>—</v>
      </c>
      <c r="R24" s="21">
        <f>_xll.BDH("CRM US Equity","EFF_TAX_RATE","FQ1 2016","FQ1 2016","Currency=USD","Period=FQ","BEST_FPERIOD_OVERRIDE=FQ","FILING_STATUS=MR","FA_ADJUSTED=GAAP","Sort=A","Dates=H","DateFormat=P","Fill=—","Direction=H","UseDPDF=Y")</f>
        <v>77.358500000000006</v>
      </c>
      <c r="S24" s="21">
        <f>_xll.BDH("CRM US Equity","EFF_TAX_RATE","FQ2 2016","FQ2 2016","Currency=USD","Period=FQ","BEST_FPERIOD_OVERRIDE=FQ","FILING_STATUS=MR","FA_ADJUSTED=GAAP","Sort=A","Dates=H","DateFormat=P","Fill=—","Direction=H","UseDPDF=Y")</f>
        <v>112.2449</v>
      </c>
      <c r="T24" s="21">
        <f>_xll.BDH("CRM US Equity","EFF_TAX_RATE","FQ3 2016","FQ3 2016","Currency=USD","Period=FQ","BEST_FPERIOD_OVERRIDE=FQ","FILING_STATUS=MR","FA_ADJUSTED=GAAP","Sort=A","Dates=H","DateFormat=P","Fill=—","Direction=H","UseDPDF=Y")</f>
        <v>157.97749999999999</v>
      </c>
      <c r="U24" s="21" t="str">
        <f>_xll.BDH("CRM US Equity","EFF_TAX_RATE","FQ4 2016","FQ4 2016","Currency=USD","Period=FQ","BEST_FPERIOD_OVERRIDE=FQ","FILING_STATUS=MR","FA_ADJUSTED=GAAP","Sort=A","Dates=H","DateFormat=P","Fill=—","Direction=H","UseDPDF=Y")</f>
        <v>—</v>
      </c>
      <c r="V24" s="21" t="str">
        <f>_xll.BDH("CRM US Equity","EFF_TAX_RATE","FQ1 2017","FQ1 2017","Currency=USD","Period=FQ","BEST_FPERIOD_OVERRIDE=FQ","FILING_STATUS=MR","FA_ADJUSTED=GAAP","Sort=A","Dates=H","DateFormat=P","Fill=—","Direction=H","UseDPDF=Y")</f>
        <v>—</v>
      </c>
      <c r="W24" s="21" t="str">
        <f>_xll.BDH("CRM US Equity","EFF_TAX_RATE","FQ2 2017","FQ2 2017","Currency=USD","Period=FQ","BEST_FPERIOD_OVERRIDE=FQ","FILING_STATUS=MR","FA_ADJUSTED=GAAP","Sort=A","Dates=H","DateFormat=P","Fill=—","Direction=H","UseDPDF=Y")</f>
        <v>—</v>
      </c>
      <c r="X24" s="21" t="str">
        <f>_xll.BDH("CRM US Equity","EFF_TAX_RATE","FQ3 2017","FQ3 2017","Currency=USD","Period=FQ","BEST_FPERIOD_OVERRIDE=FQ","FILING_STATUS=MR","FA_ADJUSTED=GAAP","Sort=A","Dates=H","DateFormat=P","Fill=—","Direction=H","UseDPDF=Y")</f>
        <v>—</v>
      </c>
      <c r="Y24" s="21">
        <f>_xll.BDH("CRM US Equity","EFF_TAX_RATE","FQ4 2017","FQ4 2017","Currency=USD","Period=FQ","BEST_FPERIOD_OVERRIDE=FQ","FILING_STATUS=MR","FA_ADJUSTED=GAAP","Sort=A","Dates=H","DateFormat=P","Fill=—","Direction=H","UseDPDF=Y")</f>
        <v>29.366599999999998</v>
      </c>
      <c r="Z24" s="21" t="str">
        <f>_xll.BDH("CRM US Equity","EFF_TAX_RATE","FQ1 2018","FQ1 2018","Currency=USD","Period=FQ","BEST_FPERIOD_OVERRIDE=FQ","FILING_STATUS=MR","FA_ADJUSTED=GAAP","Sort=A","Dates=H","DateFormat=P","Fill=—","Direction=H","UseDPDF=Y")</f>
        <v>—</v>
      </c>
      <c r="AA24" s="21">
        <f>_xll.BDH("CRM US Equity","EFF_TAX_RATE","FQ2 2018","FQ2 2018","Currency=USD","Period=FQ","BEST_FPERIOD_OVERRIDE=FQ","FILING_STATUS=MR","FA_ADJUSTED=GAAP","Sort=A","Dates=H","DateFormat=P","Fill=—","Direction=H","UseDPDF=Y")</f>
        <v>26.984100000000002</v>
      </c>
      <c r="AB24" s="21">
        <f>_xll.BDH("CRM US Equity","EFF_TAX_RATE","FQ3 2018","FQ3 2018","Currency=USD","Period=FQ","BEST_FPERIOD_OVERRIDE=FQ","FILING_STATUS=MR","FA_ADJUSTED=GAAP","Sort=A","Dates=H","DateFormat=P","Fill=—","Direction=H","UseDPDF=Y")</f>
        <v>26.712299999999999</v>
      </c>
      <c r="AC24" s="21">
        <f>_xll.BDH("CRM US Equity","EFF_TAX_RATE","FQ4 2018","FQ4 2018","Currency=USD","Period=FQ","BEST_FPERIOD_OVERRIDE=FQ","FILING_STATUS=MR","FA_ADJUSTED=GAAP","Sort=A","Dates=H","DateFormat=P","Fill=—","Direction=H","UseDPDF=Y")</f>
        <v>6.7873000000000001</v>
      </c>
      <c r="AD24" s="21">
        <f>_xll.BDH("CRM US Equity","EFF_TAX_RATE","FQ1 2019","FQ1 2019","Currency=USD","Period=FQ","BEST_FPERIOD_OVERRIDE=FQ","FILING_STATUS=MR","FA_ADJUSTED=GAAP","Sort=A","Dates=H","DateFormat=P","Fill=—","Direction=H","UseDPDF=Y")</f>
        <v>10.6494</v>
      </c>
      <c r="AE24" s="21" t="str">
        <f>_xll.BDH("CRM US Equity","EFF_TAX_RATE","FQ2 2019","FQ2 2019","Currency=USD","Period=FQ","BEST_FPERIOD_OVERRIDE=FQ","FILING_STATUS=MR","FA_ADJUSTED=GAAP","Sort=A","Dates=H","DateFormat=P","Fill=—","Direction=H","UseDPDF=Y")</f>
        <v>—</v>
      </c>
      <c r="AF24" s="21">
        <f>_xll.BDH("CRM US Equity","EFF_TAX_RATE","FQ3 2019","FQ3 2019","Currency=USD","Period=FQ","BEST_FPERIOD_OVERRIDE=FQ","FILING_STATUS=MR","FA_ADJUSTED=GAAP","Sort=A","Dates=H","DateFormat=P","Fill=—","Direction=H","UseDPDF=Y")</f>
        <v>17.968800000000002</v>
      </c>
      <c r="AG24" s="21" t="str">
        <f>_xll.BDH("CRM US Equity","EFF_TAX_RATE","FQ4 2019","FQ4 2019","Currency=USD","Period=FQ","BEST_FPERIOD_OVERRIDE=FQ","FILING_STATUS=MR","FA_ADJUSTED=GAAP","Sort=A","Dates=H","DateFormat=P","Fill=—","Direction=H","UseDPDF=Y")</f>
        <v>—</v>
      </c>
      <c r="AH24" s="21">
        <f>_xll.BDH("CRM US Equity","EFF_TAX_RATE","FQ1 2020","FQ1 2020","Currency=USD","Period=FQ","BEST_FPERIOD_OVERRIDE=FQ","FILING_STATUS=MR","FA_ADJUSTED=GAAP","Sort=A","Dates=H","DateFormat=P","Fill=—","Direction=H","UseDPDF=Y")</f>
        <v>18.6722</v>
      </c>
      <c r="AI24" s="21">
        <f>_xll.BDH("CRM US Equity","EFF_TAX_RATE","FQ2 2020","FQ2 2020","Currency=USD","Period=FQ","BEST_FPERIOD_OVERRIDE=FQ","FILING_STATUS=MR","FA_ADJUSTED=GAAP","Sort=A","Dates=H","DateFormat=P","Fill=—","Direction=H","UseDPDF=Y")</f>
        <v>44.5122</v>
      </c>
      <c r="AJ24" s="21">
        <f>_xll.BDH("CRM US Equity","EFF_TAX_RATE","FQ3 2020","FQ3 2020","Currency=USD","Period=FQ","BEST_FPERIOD_OVERRIDE=FQ","FILING_STATUS=MR","FA_ADJUSTED=GAAP","Sort=A","Dates=H","DateFormat=P","Fill=—","Direction=H","UseDPDF=Y")</f>
        <v>270.3125</v>
      </c>
      <c r="AK24" s="21" t="str">
        <f>_xll.BDH("CRM US Equity","EFF_TAX_RATE","FQ4 2020","FQ4 2020","Currency=USD","Period=FQ","BEST_FPERIOD_OVERRIDE=FQ","FILING_STATUS=MR","FA_ADJUSTED=GAAP","Sort=A","Dates=H","DateFormat=P","Fill=—","Direction=H","UseDPDF=Y")</f>
        <v>—</v>
      </c>
      <c r="AL24" s="21" t="str">
        <f>_xll.BDH("CRM US Equity","EFF_TAX_RATE","FQ1 2021","FQ1 2021","Currency=USD","Period=FQ","BEST_FPERIOD_OVERRIDE=FQ","FILING_STATUS=MR","FA_ADJUSTED=GAAP","Sort=A","Dates=H","DateFormat=P","Fill=—","Direction=H","UseDPDF=Y")</f>
        <v>—</v>
      </c>
      <c r="AM24" s="21" t="str">
        <f>_xll.BDH("CRM US Equity","EFF_TAX_RATE","FQ2 2021","FQ2 2021","Currency=USD","Period=FQ","BEST_FPERIOD_OVERRIDE=FQ","FILING_STATUS=MR","FA_ADJUSTED=GAAP","Sort=A","Dates=H","DateFormat=P","Fill=—","Direction=H","UseDPDF=Y")</f>
        <v>—</v>
      </c>
      <c r="AN24" s="21">
        <f>_xll.BDH("CRM US Equity","EFF_TAX_RATE","FQ3 2021","FQ3 2021","Currency=USD","Period=FQ","BEST_FPERIOD_OVERRIDE=FQ","FILING_STATUS=MR","FA_ADJUSTED=GAAP","Sort=A","Dates=H","DateFormat=P","Fill=—","Direction=H","UseDPDF=Y")</f>
        <v>13.52</v>
      </c>
      <c r="AO24" s="21">
        <f>_xll.BDH("CRM US Equity","EFF_TAX_RATE","FQ4 2021","FQ4 2021","Currency=USD","Period=FQ","BEST_FPERIOD_OVERRIDE=FQ","FILING_STATUS=MR","FA_ADJUSTED=GAAP","Sort=A","Dates=H","DateFormat=P","Fill=—","Direction=H","UseDPDF=Y")</f>
        <v>37.176499999999997</v>
      </c>
      <c r="AP24" s="21">
        <f>_xll.BDH("CRM US Equity","EFF_TAX_RATE","FQ1 2022","FQ1 2022","Currency=USD","Period=FQ","BEST_FPERIOD_OVERRIDE=FQ","FILING_STATUS=MR","FA_ADJUSTED=GAAP","Sort=A","Dates=H","DateFormat=P","Fill=—","Direction=H","UseDPDF=Y")</f>
        <v>22.350999999999999</v>
      </c>
    </row>
    <row r="25" spans="1:42" x14ac:dyDescent="0.25">
      <c r="A25" s="18" t="s">
        <v>114</v>
      </c>
      <c r="B25" s="18" t="s">
        <v>115</v>
      </c>
      <c r="C25" s="21" t="str">
        <f>_xll.BDH("CRM US Equity","DVD_PAYOUT_RATIO","FQ2 2012","FQ2 2012","Currency=USD","Period=FQ","BEST_FPERIOD_OVERRIDE=FQ","FILING_STATUS=MR","FA_ADJUSTED=GAAP","Sort=A","Dates=H","DateFormat=P","Fill=—","Direction=H","UseDPDF=Y")</f>
        <v>—</v>
      </c>
      <c r="D25" s="21" t="str">
        <f>_xll.BDH("CRM US Equity","DVD_PAYOUT_RATIO","FQ3 2012","FQ3 2012","Currency=USD","Period=FQ","BEST_FPERIOD_OVERRIDE=FQ","FILING_STATUS=MR","FA_ADJUSTED=GAAP","Sort=A","Dates=H","DateFormat=P","Fill=—","Direction=H","UseDPDF=Y")</f>
        <v>—</v>
      </c>
      <c r="E25" s="21" t="str">
        <f>_xll.BDH("CRM US Equity","DVD_PAYOUT_RATIO","FQ4 2012","FQ4 2012","Currency=USD","Period=FQ","BEST_FPERIOD_OVERRIDE=FQ","FILING_STATUS=MR","FA_ADJUSTED=GAAP","Sort=A","Dates=H","DateFormat=P","Fill=—","Direction=H","UseDPDF=Y")</f>
        <v>—</v>
      </c>
      <c r="F25" s="21" t="str">
        <f>_xll.BDH("CRM US Equity","DVD_PAYOUT_RATIO","FQ1 2013","FQ1 2013","Currency=USD","Period=FQ","BEST_FPERIOD_OVERRIDE=FQ","FILING_STATUS=MR","FA_ADJUSTED=GAAP","Sort=A","Dates=H","DateFormat=P","Fill=—","Direction=H","UseDPDF=Y")</f>
        <v>—</v>
      </c>
      <c r="G25" s="21" t="str">
        <f>_xll.BDH("CRM US Equity","DVD_PAYOUT_RATIO","FQ2 2013","FQ2 2013","Currency=USD","Period=FQ","BEST_FPERIOD_OVERRIDE=FQ","FILING_STATUS=MR","FA_ADJUSTED=GAAP","Sort=A","Dates=H","DateFormat=P","Fill=—","Direction=H","UseDPDF=Y")</f>
        <v>—</v>
      </c>
      <c r="H25" s="21" t="str">
        <f>_xll.BDH("CRM US Equity","DVD_PAYOUT_RATIO","FQ3 2013","FQ3 2013","Currency=USD","Period=FQ","BEST_FPERIOD_OVERRIDE=FQ","FILING_STATUS=MR","FA_ADJUSTED=GAAP","Sort=A","Dates=H","DateFormat=P","Fill=—","Direction=H","UseDPDF=Y")</f>
        <v>—</v>
      </c>
      <c r="I25" s="21" t="str">
        <f>_xll.BDH("CRM US Equity","DVD_PAYOUT_RATIO","FQ4 2013","FQ4 2013","Currency=USD","Period=FQ","BEST_FPERIOD_OVERRIDE=FQ","FILING_STATUS=MR","FA_ADJUSTED=GAAP","Sort=A","Dates=H","DateFormat=P","Fill=—","Direction=H","UseDPDF=Y")</f>
        <v>—</v>
      </c>
      <c r="J25" s="21" t="str">
        <f>_xll.BDH("CRM US Equity","DVD_PAYOUT_RATIO","FQ1 2014","FQ1 2014","Currency=USD","Period=FQ","BEST_FPERIOD_OVERRIDE=FQ","FILING_STATUS=MR","FA_ADJUSTED=GAAP","Sort=A","Dates=H","DateFormat=P","Fill=—","Direction=H","UseDPDF=Y")</f>
        <v>—</v>
      </c>
      <c r="K25" s="21">
        <f>_xll.BDH("CRM US Equity","DVD_PAYOUT_RATIO","FQ2 2014","FQ2 2014","Currency=USD","Period=FQ","BEST_FPERIOD_OVERRIDE=FQ","FILING_STATUS=MR","FA_ADJUSTED=GAAP","Sort=A","Dates=H","DateFormat=P","Fill=—","Direction=H","UseDPDF=Y")</f>
        <v>0</v>
      </c>
      <c r="L25" s="21" t="str">
        <f>_xll.BDH("CRM US Equity","DVD_PAYOUT_RATIO","FQ3 2014","FQ3 2014","Currency=USD","Period=FQ","BEST_FPERIOD_OVERRIDE=FQ","FILING_STATUS=MR","FA_ADJUSTED=GAAP","Sort=A","Dates=H","DateFormat=P","Fill=—","Direction=H","UseDPDF=Y")</f>
        <v>—</v>
      </c>
      <c r="M25" s="21" t="str">
        <f>_xll.BDH("CRM US Equity","DVD_PAYOUT_RATIO","FQ4 2014","FQ4 2014","Currency=USD","Period=FQ","BEST_FPERIOD_OVERRIDE=FQ","FILING_STATUS=MR","FA_ADJUSTED=GAAP","Sort=A","Dates=H","DateFormat=P","Fill=—","Direction=H","UseDPDF=Y")</f>
        <v>—</v>
      </c>
      <c r="N25" s="21" t="str">
        <f>_xll.BDH("CRM US Equity","DVD_PAYOUT_RATIO","FQ1 2015","FQ1 2015","Currency=USD","Period=FQ","BEST_FPERIOD_OVERRIDE=FQ","FILING_STATUS=MR","FA_ADJUSTED=GAAP","Sort=A","Dates=H","DateFormat=P","Fill=—","Direction=H","UseDPDF=Y")</f>
        <v>—</v>
      </c>
      <c r="O25" s="21" t="str">
        <f>_xll.BDH("CRM US Equity","DVD_PAYOUT_RATIO","FQ2 2015","FQ2 2015","Currency=USD","Period=FQ","BEST_FPERIOD_OVERRIDE=FQ","FILING_STATUS=MR","FA_ADJUSTED=GAAP","Sort=A","Dates=H","DateFormat=P","Fill=—","Direction=H","UseDPDF=Y")</f>
        <v>—</v>
      </c>
      <c r="P25" s="21" t="str">
        <f>_xll.BDH("CRM US Equity","DVD_PAYOUT_RATIO","FQ3 2015","FQ3 2015","Currency=USD","Period=FQ","BEST_FPERIOD_OVERRIDE=FQ","FILING_STATUS=MR","FA_ADJUSTED=GAAP","Sort=A","Dates=H","DateFormat=P","Fill=—","Direction=H","UseDPDF=Y")</f>
        <v>—</v>
      </c>
      <c r="Q25" s="21" t="str">
        <f>_xll.BDH("CRM US Equity","DVD_PAYOUT_RATIO","FQ4 2015","FQ4 2015","Currency=USD","Period=FQ","BEST_FPERIOD_OVERRIDE=FQ","FILING_STATUS=MR","FA_ADJUSTED=GAAP","Sort=A","Dates=H","DateFormat=P","Fill=—","Direction=H","UseDPDF=Y")</f>
        <v>—</v>
      </c>
      <c r="R25" s="21">
        <f>_xll.BDH("CRM US Equity","DVD_PAYOUT_RATIO","FQ1 2016","FQ1 2016","Currency=USD","Period=FQ","BEST_FPERIOD_OVERRIDE=FQ","FILING_STATUS=MR","FA_ADJUSTED=GAAP","Sort=A","Dates=H","DateFormat=P","Fill=—","Direction=H","UseDPDF=Y")</f>
        <v>0</v>
      </c>
      <c r="S25" s="21" t="str">
        <f>_xll.BDH("CRM US Equity","DVD_PAYOUT_RATIO","FQ2 2016","FQ2 2016","Currency=USD","Period=FQ","BEST_FPERIOD_OVERRIDE=FQ","FILING_STATUS=MR","FA_ADJUSTED=GAAP","Sort=A","Dates=H","DateFormat=P","Fill=—","Direction=H","UseDPDF=Y")</f>
        <v>—</v>
      </c>
      <c r="T25" s="21" t="str">
        <f>_xll.BDH("CRM US Equity","DVD_PAYOUT_RATIO","FQ3 2016","FQ3 2016","Currency=USD","Period=FQ","BEST_FPERIOD_OVERRIDE=FQ","FILING_STATUS=MR","FA_ADJUSTED=GAAP","Sort=A","Dates=H","DateFormat=P","Fill=—","Direction=H","UseDPDF=Y")</f>
        <v>—</v>
      </c>
      <c r="U25" s="21" t="str">
        <f>_xll.BDH("CRM US Equity","DVD_PAYOUT_RATIO","FQ4 2016","FQ4 2016","Currency=USD","Period=FQ","BEST_FPERIOD_OVERRIDE=FQ","FILING_STATUS=MR","FA_ADJUSTED=GAAP","Sort=A","Dates=H","DateFormat=P","Fill=—","Direction=H","UseDPDF=Y")</f>
        <v>—</v>
      </c>
      <c r="V25" s="21">
        <f>_xll.BDH("CRM US Equity","DVD_PAYOUT_RATIO","FQ1 2017","FQ1 2017","Currency=USD","Period=FQ","BEST_FPERIOD_OVERRIDE=FQ","FILING_STATUS=MR","FA_ADJUSTED=GAAP","Sort=A","Dates=H","DateFormat=P","Fill=—","Direction=H","UseDPDF=Y")</f>
        <v>0</v>
      </c>
      <c r="W25" s="21">
        <f>_xll.BDH("CRM US Equity","DVD_PAYOUT_RATIO","FQ2 2017","FQ2 2017","Currency=USD","Period=FQ","BEST_FPERIOD_OVERRIDE=FQ","FILING_STATUS=MR","FA_ADJUSTED=GAAP","Sort=A","Dates=H","DateFormat=P","Fill=—","Direction=H","UseDPDF=Y")</f>
        <v>0</v>
      </c>
      <c r="X25" s="21" t="str">
        <f>_xll.BDH("CRM US Equity","DVD_PAYOUT_RATIO","FQ3 2017","FQ3 2017","Currency=USD","Period=FQ","BEST_FPERIOD_OVERRIDE=FQ","FILING_STATUS=MR","FA_ADJUSTED=GAAP","Sort=A","Dates=H","DateFormat=P","Fill=—","Direction=H","UseDPDF=Y")</f>
        <v>—</v>
      </c>
      <c r="Y25" s="21">
        <f>_xll.BDH("CRM US Equity","DVD_PAYOUT_RATIO","FQ4 2017","FQ4 2017","Currency=USD","Period=FQ","BEST_FPERIOD_OVERRIDE=FQ","FILING_STATUS=MR","FA_ADJUSTED=GAAP","Sort=A","Dates=H","DateFormat=P","Fill=—","Direction=H","UseDPDF=Y")</f>
        <v>0</v>
      </c>
      <c r="Z25" s="21">
        <f>_xll.BDH("CRM US Equity","DVD_PAYOUT_RATIO","FQ1 2018","FQ1 2018","Currency=USD","Period=FQ","BEST_FPERIOD_OVERRIDE=FQ","FILING_STATUS=MR","FA_ADJUSTED=GAAP","Sort=A","Dates=H","DateFormat=P","Fill=—","Direction=H","UseDPDF=Y")</f>
        <v>0</v>
      </c>
      <c r="AA25" s="21">
        <f>_xll.BDH("CRM US Equity","DVD_PAYOUT_RATIO","FQ2 2018","FQ2 2018","Currency=USD","Period=FQ","BEST_FPERIOD_OVERRIDE=FQ","FILING_STATUS=MR","FA_ADJUSTED=GAAP","Sort=A","Dates=H","DateFormat=P","Fill=—","Direction=H","UseDPDF=Y")</f>
        <v>0</v>
      </c>
      <c r="AB25" s="21">
        <f>_xll.BDH("CRM US Equity","DVD_PAYOUT_RATIO","FQ3 2018","FQ3 2018","Currency=USD","Period=FQ","BEST_FPERIOD_OVERRIDE=FQ","FILING_STATUS=MR","FA_ADJUSTED=GAAP","Sort=A","Dates=H","DateFormat=P","Fill=—","Direction=H","UseDPDF=Y")</f>
        <v>0</v>
      </c>
      <c r="AC25" s="21">
        <f>_xll.BDH("CRM US Equity","DVD_PAYOUT_RATIO","FQ4 2018","FQ4 2018","Currency=USD","Period=FQ","BEST_FPERIOD_OVERRIDE=FQ","FILING_STATUS=MR","FA_ADJUSTED=GAAP","Sort=A","Dates=H","DateFormat=P","Fill=—","Direction=H","UseDPDF=Y")</f>
        <v>0</v>
      </c>
      <c r="AD25" s="21">
        <f>_xll.BDH("CRM US Equity","DVD_PAYOUT_RATIO","FQ1 2019","FQ1 2019","Currency=USD","Period=FQ","BEST_FPERIOD_OVERRIDE=FQ","FILING_STATUS=MR","FA_ADJUSTED=GAAP","Sort=A","Dates=H","DateFormat=P","Fill=—","Direction=H","UseDPDF=Y")</f>
        <v>0</v>
      </c>
      <c r="AE25" s="21">
        <f>_xll.BDH("CRM US Equity","DVD_PAYOUT_RATIO","FQ2 2019","FQ2 2019","Currency=USD","Period=FQ","BEST_FPERIOD_OVERRIDE=FQ","FILING_STATUS=MR","FA_ADJUSTED=GAAP","Sort=A","Dates=H","DateFormat=P","Fill=—","Direction=H","UseDPDF=Y")</f>
        <v>0</v>
      </c>
      <c r="AF25" s="21">
        <f>_xll.BDH("CRM US Equity","DVD_PAYOUT_RATIO","FQ3 2019","FQ3 2019","Currency=USD","Period=FQ","BEST_FPERIOD_OVERRIDE=FQ","FILING_STATUS=MR","FA_ADJUSTED=GAAP","Sort=A","Dates=H","DateFormat=P","Fill=—","Direction=H","UseDPDF=Y")</f>
        <v>0</v>
      </c>
      <c r="AG25" s="21">
        <f>_xll.BDH("CRM US Equity","DVD_PAYOUT_RATIO","FQ4 2019","FQ4 2019","Currency=USD","Period=FQ","BEST_FPERIOD_OVERRIDE=FQ","FILING_STATUS=MR","FA_ADJUSTED=GAAP","Sort=A","Dates=H","DateFormat=P","Fill=—","Direction=H","UseDPDF=Y")</f>
        <v>0</v>
      </c>
      <c r="AH25" s="21">
        <f>_xll.BDH("CRM US Equity","DVD_PAYOUT_RATIO","FQ1 2020","FQ1 2020","Currency=USD","Period=FQ","BEST_FPERIOD_OVERRIDE=FQ","FILING_STATUS=MR","FA_ADJUSTED=GAAP","Sort=A","Dates=H","DateFormat=P","Fill=—","Direction=H","UseDPDF=Y")</f>
        <v>0</v>
      </c>
      <c r="AI25" s="21">
        <f>_xll.BDH("CRM US Equity","DVD_PAYOUT_RATIO","FQ2 2020","FQ2 2020","Currency=USD","Period=FQ","BEST_FPERIOD_OVERRIDE=FQ","FILING_STATUS=MR","FA_ADJUSTED=GAAP","Sort=A","Dates=H","DateFormat=P","Fill=—","Direction=H","UseDPDF=Y")</f>
        <v>0</v>
      </c>
      <c r="AJ25" s="21" t="str">
        <f>_xll.BDH("CRM US Equity","DVD_PAYOUT_RATIO","FQ3 2020","FQ3 2020","Currency=USD","Period=FQ","BEST_FPERIOD_OVERRIDE=FQ","FILING_STATUS=MR","FA_ADJUSTED=GAAP","Sort=A","Dates=H","DateFormat=P","Fill=—","Direction=H","UseDPDF=Y")</f>
        <v>—</v>
      </c>
      <c r="AK25" s="21" t="str">
        <f>_xll.BDH("CRM US Equity","DVD_PAYOUT_RATIO","FQ4 2020","FQ4 2020","Currency=USD","Period=FQ","BEST_FPERIOD_OVERRIDE=FQ","FILING_STATUS=MR","FA_ADJUSTED=GAAP","Sort=A","Dates=H","DateFormat=P","Fill=—","Direction=H","UseDPDF=Y")</f>
        <v>—</v>
      </c>
      <c r="AL25" s="21">
        <f>_xll.BDH("CRM US Equity","DVD_PAYOUT_RATIO","FQ1 2021","FQ1 2021","Currency=USD","Period=FQ","BEST_FPERIOD_OVERRIDE=FQ","FILING_STATUS=MR","FA_ADJUSTED=GAAP","Sort=A","Dates=H","DateFormat=P","Fill=—","Direction=H","UseDPDF=Y")</f>
        <v>0</v>
      </c>
      <c r="AM25" s="21">
        <f>_xll.BDH("CRM US Equity","DVD_PAYOUT_RATIO","FQ2 2021","FQ2 2021","Currency=USD","Period=FQ","BEST_FPERIOD_OVERRIDE=FQ","FILING_STATUS=MR","FA_ADJUSTED=GAAP","Sort=A","Dates=H","DateFormat=P","Fill=—","Direction=H","UseDPDF=Y")</f>
        <v>0</v>
      </c>
      <c r="AN25" s="21">
        <f>_xll.BDH("CRM US Equity","DVD_PAYOUT_RATIO","FQ3 2021","FQ3 2021","Currency=USD","Period=FQ","BEST_FPERIOD_OVERRIDE=FQ","FILING_STATUS=MR","FA_ADJUSTED=GAAP","Sort=A","Dates=H","DateFormat=P","Fill=—","Direction=H","UseDPDF=Y")</f>
        <v>0</v>
      </c>
      <c r="AO25" s="21">
        <f>_xll.BDH("CRM US Equity","DVD_PAYOUT_RATIO","FQ4 2021","FQ4 2021","Currency=USD","Period=FQ","BEST_FPERIOD_OVERRIDE=FQ","FILING_STATUS=MR","FA_ADJUSTED=GAAP","Sort=A","Dates=H","DateFormat=P","Fill=—","Direction=H","UseDPDF=Y")</f>
        <v>0</v>
      </c>
      <c r="AP25" s="21">
        <f>_xll.BDH("CRM US Equity","DVD_PAYOUT_RATIO","FQ1 2022","FQ1 2022","Currency=USD","Period=FQ","BEST_FPERIOD_OVERRIDE=FQ","FILING_STATUS=MR","FA_ADJUSTED=GAAP","Sort=A","Dates=H","DateFormat=P","Fill=—","Direction=H","UseDPDF=Y")</f>
        <v>0</v>
      </c>
    </row>
    <row r="26" spans="1:42" x14ac:dyDescent="0.25">
      <c r="A26" s="18" t="s">
        <v>116</v>
      </c>
      <c r="B26" s="18" t="s">
        <v>117</v>
      </c>
      <c r="C26" s="21" t="str">
        <f>_xll.BDH("CRM US Equity","SUSTAIN_GROWTH_RT","FQ2 2012","FQ2 2012","Currency=USD","Period=FQ","BEST_FPERIOD_OVERRIDE=FQ","FILING_STATUS=MR","FA_ADJUSTED=GAAP","Sort=A","Dates=H","DateFormat=P","Fill=—","Direction=H","UseDPDF=Y")</f>
        <v>—</v>
      </c>
      <c r="D26" s="21" t="str">
        <f>_xll.BDH("CRM US Equity","SUSTAIN_GROWTH_RT","FQ3 2012","FQ3 2012","Currency=USD","Period=FQ","BEST_FPERIOD_OVERRIDE=FQ","FILING_STATUS=MR","FA_ADJUSTED=GAAP","Sort=A","Dates=H","DateFormat=P","Fill=—","Direction=H","UseDPDF=Y")</f>
        <v>—</v>
      </c>
      <c r="E26" s="21" t="str">
        <f>_xll.BDH("CRM US Equity","SUSTAIN_GROWTH_RT","FQ4 2012","FQ4 2012","Currency=USD","Period=FQ","BEST_FPERIOD_OVERRIDE=FQ","FILING_STATUS=MR","FA_ADJUSTED=GAAP","Sort=A","Dates=H","DateFormat=P","Fill=—","Direction=H","UseDPDF=Y")</f>
        <v>—</v>
      </c>
      <c r="F26" s="21" t="str">
        <f>_xll.BDH("CRM US Equity","SUSTAIN_GROWTH_RT","FQ1 2013","FQ1 2013","Currency=USD","Period=FQ","BEST_FPERIOD_OVERRIDE=FQ","FILING_STATUS=MR","FA_ADJUSTED=GAAP","Sort=A","Dates=H","DateFormat=P","Fill=—","Direction=H","UseDPDF=Y")</f>
        <v>—</v>
      </c>
      <c r="G26" s="21" t="str">
        <f>_xll.BDH("CRM US Equity","SUSTAIN_GROWTH_RT","FQ2 2013","FQ2 2013","Currency=USD","Period=FQ","BEST_FPERIOD_OVERRIDE=FQ","FILING_STATUS=MR","FA_ADJUSTED=GAAP","Sort=A","Dates=H","DateFormat=P","Fill=—","Direction=H","UseDPDF=Y")</f>
        <v>—</v>
      </c>
      <c r="H26" s="21" t="str">
        <f>_xll.BDH("CRM US Equity","SUSTAIN_GROWTH_RT","FQ3 2013","FQ3 2013","Currency=USD","Period=FQ","BEST_FPERIOD_OVERRIDE=FQ","FILING_STATUS=MR","FA_ADJUSTED=GAAP","Sort=A","Dates=H","DateFormat=P","Fill=—","Direction=H","UseDPDF=Y")</f>
        <v>—</v>
      </c>
      <c r="I26" s="21" t="str">
        <f>_xll.BDH("CRM US Equity","SUSTAIN_GROWTH_RT","FQ4 2013","FQ4 2013","Currency=USD","Period=FQ","BEST_FPERIOD_OVERRIDE=FQ","FILING_STATUS=MR","FA_ADJUSTED=GAAP","Sort=A","Dates=H","DateFormat=P","Fill=—","Direction=H","UseDPDF=Y")</f>
        <v>—</v>
      </c>
      <c r="J26" s="21" t="str">
        <f>_xll.BDH("CRM US Equity","SUSTAIN_GROWTH_RT","FQ1 2014","FQ1 2014","Currency=USD","Period=FQ","BEST_FPERIOD_OVERRIDE=FQ","FILING_STATUS=MR","FA_ADJUSTED=GAAP","Sort=A","Dates=H","DateFormat=P","Fill=—","Direction=H","UseDPDF=Y")</f>
        <v>—</v>
      </c>
      <c r="K26" s="21">
        <f>_xll.BDH("CRM US Equity","SUSTAIN_GROWTH_RT","FQ2 2014","FQ2 2014","Currency=USD","Period=FQ","BEST_FPERIOD_OVERRIDE=FQ","FILING_STATUS=MR","FA_ADJUSTED=GAAP","Sort=A","Dates=H","DateFormat=P","Fill=—","Direction=H","UseDPDF=Y")</f>
        <v>-9.6417000000000002</v>
      </c>
      <c r="L26" s="21" t="str">
        <f>_xll.BDH("CRM US Equity","SUSTAIN_GROWTH_RT","FQ3 2014","FQ3 2014","Currency=USD","Period=FQ","BEST_FPERIOD_OVERRIDE=FQ","FILING_STATUS=MR","FA_ADJUSTED=GAAP","Sort=A","Dates=H","DateFormat=P","Fill=—","Direction=H","UseDPDF=Y")</f>
        <v>—</v>
      </c>
      <c r="M26" s="21" t="str">
        <f>_xll.BDH("CRM US Equity","SUSTAIN_GROWTH_RT","FQ4 2014","FQ4 2014","Currency=USD","Period=FQ","BEST_FPERIOD_OVERRIDE=FQ","FILING_STATUS=MR","FA_ADJUSTED=GAAP","Sort=A","Dates=H","DateFormat=P","Fill=—","Direction=H","UseDPDF=Y")</f>
        <v>—</v>
      </c>
      <c r="N26" s="21" t="str">
        <f>_xll.BDH("CRM US Equity","SUSTAIN_GROWTH_RT","FQ1 2015","FQ1 2015","Currency=USD","Period=FQ","BEST_FPERIOD_OVERRIDE=FQ","FILING_STATUS=MR","FA_ADJUSTED=GAAP","Sort=A","Dates=H","DateFormat=P","Fill=—","Direction=H","UseDPDF=Y")</f>
        <v>—</v>
      </c>
      <c r="O26" s="21" t="str">
        <f>_xll.BDH("CRM US Equity","SUSTAIN_GROWTH_RT","FQ2 2015","FQ2 2015","Currency=USD","Period=FQ","BEST_FPERIOD_OVERRIDE=FQ","FILING_STATUS=MR","FA_ADJUSTED=GAAP","Sort=A","Dates=H","DateFormat=P","Fill=—","Direction=H","UseDPDF=Y")</f>
        <v>—</v>
      </c>
      <c r="P26" s="21" t="str">
        <f>_xll.BDH("CRM US Equity","SUSTAIN_GROWTH_RT","FQ3 2015","FQ3 2015","Currency=USD","Period=FQ","BEST_FPERIOD_OVERRIDE=FQ","FILING_STATUS=MR","FA_ADJUSTED=GAAP","Sort=A","Dates=H","DateFormat=P","Fill=—","Direction=H","UseDPDF=Y")</f>
        <v>—</v>
      </c>
      <c r="Q26" s="21" t="str">
        <f>_xll.BDH("CRM US Equity","SUSTAIN_GROWTH_RT","FQ4 2015","FQ4 2015","Currency=USD","Period=FQ","BEST_FPERIOD_OVERRIDE=FQ","FILING_STATUS=MR","FA_ADJUSTED=GAAP","Sort=A","Dates=H","DateFormat=P","Fill=—","Direction=H","UseDPDF=Y")</f>
        <v>—</v>
      </c>
      <c r="R26" s="21">
        <f>_xll.BDH("CRM US Equity","SUSTAIN_GROWTH_RT","FQ1 2016","FQ1 2016","Currency=USD","Period=FQ","BEST_FPERIOD_OVERRIDE=FQ","FILING_STATUS=MR","FA_ADJUSTED=GAAP","Sort=A","Dates=H","DateFormat=P","Fill=—","Direction=H","UseDPDF=Y")</f>
        <v>-4.3834999999999997</v>
      </c>
      <c r="S26" s="21" t="str">
        <f>_xll.BDH("CRM US Equity","SUSTAIN_GROWTH_RT","FQ2 2016","FQ2 2016","Currency=USD","Period=FQ","BEST_FPERIOD_OVERRIDE=FQ","FILING_STATUS=MR","FA_ADJUSTED=GAAP","Sort=A","Dates=H","DateFormat=P","Fill=—","Direction=H","UseDPDF=Y")</f>
        <v>—</v>
      </c>
      <c r="T26" s="21" t="str">
        <f>_xll.BDH("CRM US Equity","SUSTAIN_GROWTH_RT","FQ3 2016","FQ3 2016","Currency=USD","Period=FQ","BEST_FPERIOD_OVERRIDE=FQ","FILING_STATUS=MR","FA_ADJUSTED=GAAP","Sort=A","Dates=H","DateFormat=P","Fill=—","Direction=H","UseDPDF=Y")</f>
        <v>—</v>
      </c>
      <c r="U26" s="21" t="str">
        <f>_xll.BDH("CRM US Equity","SUSTAIN_GROWTH_RT","FQ4 2016","FQ4 2016","Currency=USD","Period=FQ","BEST_FPERIOD_OVERRIDE=FQ","FILING_STATUS=MR","FA_ADJUSTED=GAAP","Sort=A","Dates=H","DateFormat=P","Fill=—","Direction=H","UseDPDF=Y")</f>
        <v>—</v>
      </c>
      <c r="V26" s="21">
        <f>_xll.BDH("CRM US Equity","SUSTAIN_GROWTH_RT","FQ1 2017","FQ1 2017","Currency=USD","Period=FQ","BEST_FPERIOD_OVERRIDE=FQ","FILING_STATUS=MR","FA_ADJUSTED=GAAP","Sort=A","Dates=H","DateFormat=P","Fill=—","Direction=H","UseDPDF=Y")</f>
        <v>-0.25990000000000002</v>
      </c>
      <c r="W26" s="21">
        <f>_xll.BDH("CRM US Equity","SUSTAIN_GROWTH_RT","FQ2 2017","FQ2 2017","Currency=USD","Period=FQ","BEST_FPERIOD_OVERRIDE=FQ","FILING_STATUS=MR","FA_ADJUSTED=GAAP","Sort=A","Dates=H","DateFormat=P","Fill=—","Direction=H","UseDPDF=Y")</f>
        <v>4.0815000000000001</v>
      </c>
      <c r="X26" s="21" t="str">
        <f>_xll.BDH("CRM US Equity","SUSTAIN_GROWTH_RT","FQ3 2017","FQ3 2017","Currency=USD","Period=FQ","BEST_FPERIOD_OVERRIDE=FQ","FILING_STATUS=MR","FA_ADJUSTED=GAAP","Sort=A","Dates=H","DateFormat=P","Fill=—","Direction=H","UseDPDF=Y")</f>
        <v>—</v>
      </c>
      <c r="Y26" s="21">
        <f>_xll.BDH("CRM US Equity","SUSTAIN_GROWTH_RT","FQ4 2017","FQ4 2017","Currency=USD","Period=FQ","BEST_FPERIOD_OVERRIDE=FQ","FILING_STATUS=MR","FA_ADJUSTED=GAAP","Sort=A","Dates=H","DateFormat=P","Fill=—","Direction=H","UseDPDF=Y")</f>
        <v>5.1668000000000003</v>
      </c>
      <c r="Z26" s="21">
        <f>_xll.BDH("CRM US Equity","SUSTAIN_GROWTH_RT","FQ1 2018","FQ1 2018","Currency=USD","Period=FQ","BEST_FPERIOD_OVERRIDE=FQ","FILING_STATUS=MR","FA_ADJUSTED=GAAP","Sort=A","Dates=H","DateFormat=P","Fill=—","Direction=H","UseDPDF=Y")</f>
        <v>4.2199</v>
      </c>
      <c r="AA26" s="21">
        <f>_xll.BDH("CRM US Equity","SUSTAIN_GROWTH_RT","FQ2 2018","FQ2 2018","Currency=USD","Period=FQ","BEST_FPERIOD_OVERRIDE=FQ","FILING_STATUS=MR","FA_ADJUSTED=GAAP","Sort=A","Dates=H","DateFormat=P","Fill=—","Direction=H","UseDPDF=Y")</f>
        <v>1.3919000000000001</v>
      </c>
      <c r="AB26" s="21">
        <f>_xll.BDH("CRM US Equity","SUSTAIN_GROWTH_RT","FQ3 2018","FQ3 2018","Currency=USD","Period=FQ","BEST_FPERIOD_OVERRIDE=FQ","FILING_STATUS=MR","FA_ADJUSTED=GAAP","Sort=A","Dates=H","DateFormat=P","Fill=—","Direction=H","UseDPDF=Y")</f>
        <v>3.1457999999999999</v>
      </c>
      <c r="AC26" s="21">
        <f>_xll.BDH("CRM US Equity","SUSTAIN_GROWTH_RT","FQ4 2018","FQ4 2018","Currency=USD","Period=FQ","BEST_FPERIOD_OVERRIDE=FQ","FILING_STATUS=MR","FA_ADJUSTED=GAAP","Sort=A","Dates=H","DateFormat=P","Fill=—","Direction=H","UseDPDF=Y")</f>
        <v>4.0277000000000003</v>
      </c>
      <c r="AD26" s="21">
        <f>_xll.BDH("CRM US Equity","SUSTAIN_GROWTH_RT","FQ1 2019","FQ1 2019","Currency=USD","Period=FQ","BEST_FPERIOD_OVERRIDE=FQ","FILING_STATUS=MR","FA_ADJUSTED=GAAP","Sort=A","Dates=H","DateFormat=P","Fill=—","Direction=H","UseDPDF=Y")</f>
        <v>7.4020999999999999</v>
      </c>
      <c r="AE26" s="21">
        <f>_xll.BDH("CRM US Equity","SUSTAIN_GROWTH_RT","FQ2 2019","FQ2 2019","Currency=USD","Period=FQ","BEST_FPERIOD_OVERRIDE=FQ","FILING_STATUS=MR","FA_ADJUSTED=GAAP","Sort=A","Dates=H","DateFormat=P","Fill=—","Direction=H","UseDPDF=Y")</f>
        <v>8.6922999999999995</v>
      </c>
      <c r="AF26" s="21">
        <f>_xll.BDH("CRM US Equity","SUSTAIN_GROWTH_RT","FQ3 2019","FQ3 2019","Currency=USD","Period=FQ","BEST_FPERIOD_OVERRIDE=FQ","FILING_STATUS=MR","FA_ADJUSTED=GAAP","Sort=A","Dates=H","DateFormat=P","Fill=—","Direction=H","UseDPDF=Y")</f>
        <v>8.1113999999999997</v>
      </c>
      <c r="AG26" s="21">
        <f>_xll.BDH("CRM US Equity","SUSTAIN_GROWTH_RT","FQ4 2019","FQ4 2019","Currency=USD","Period=FQ","BEST_FPERIOD_OVERRIDE=FQ","FILING_STATUS=MR","FA_ADJUSTED=GAAP","Sort=A","Dates=H","DateFormat=P","Fill=—","Direction=H","UseDPDF=Y")</f>
        <v>8.5447000000000006</v>
      </c>
      <c r="AH26" s="21">
        <f>_xll.BDH("CRM US Equity","SUSTAIN_GROWTH_RT","FQ1 2020","FQ1 2020","Currency=USD","Period=FQ","BEST_FPERIOD_OVERRIDE=FQ","FILING_STATUS=MR","FA_ADJUSTED=GAAP","Sort=A","Dates=H","DateFormat=P","Fill=—","Direction=H","UseDPDF=Y")</f>
        <v>8.42</v>
      </c>
      <c r="AI26" s="21">
        <f>_xll.BDH("CRM US Equity","SUSTAIN_GROWTH_RT","FQ2 2020","FQ2 2020","Currency=USD","Period=FQ","BEST_FPERIOD_OVERRIDE=FQ","FILING_STATUS=MR","FA_ADJUSTED=GAAP","Sort=A","Dates=H","DateFormat=P","Fill=—","Direction=H","UseDPDF=Y")</f>
        <v>6.1901000000000002</v>
      </c>
      <c r="AJ26" s="21" t="str">
        <f>_xll.BDH("CRM US Equity","SUSTAIN_GROWTH_RT","FQ3 2020","FQ3 2020","Currency=USD","Period=FQ","BEST_FPERIOD_OVERRIDE=FQ","FILING_STATUS=MR","FA_ADJUSTED=GAAP","Sort=A","Dates=H","DateFormat=P","Fill=—","Direction=H","UseDPDF=Y")</f>
        <v>—</v>
      </c>
      <c r="AK26" s="21" t="str">
        <f>_xll.BDH("CRM US Equity","SUSTAIN_GROWTH_RT","FQ4 2020","FQ4 2020","Currency=USD","Period=FQ","BEST_FPERIOD_OVERRIDE=FQ","FILING_STATUS=MR","FA_ADJUSTED=GAAP","Sort=A","Dates=H","DateFormat=P","Fill=—","Direction=H","UseDPDF=Y")</f>
        <v>—</v>
      </c>
      <c r="AL26" s="21">
        <f>_xll.BDH("CRM US Equity","SUSTAIN_GROWTH_RT","FQ1 2021","FQ1 2021","Currency=USD","Period=FQ","BEST_FPERIOD_OVERRIDE=FQ","FILING_STATUS=MR","FA_ADJUSTED=GAAP","Sort=A","Dates=H","DateFormat=P","Fill=—","Direction=H","UseDPDF=Y")</f>
        <v>-0.65480000000000005</v>
      </c>
      <c r="AM26" s="21">
        <f>_xll.BDH("CRM US Equity","SUSTAIN_GROWTH_RT","FQ2 2021","FQ2 2021","Currency=USD","Period=FQ","BEST_FPERIOD_OVERRIDE=FQ","FILING_STATUS=MR","FA_ADJUSTED=GAAP","Sort=A","Dates=H","DateFormat=P","Fill=—","Direction=H","UseDPDF=Y")</f>
        <v>8.5135000000000005</v>
      </c>
      <c r="AN26" s="21">
        <f>_xll.BDH("CRM US Equity","SUSTAIN_GROWTH_RT","FQ3 2021","FQ3 2021","Currency=USD","Period=FQ","BEST_FPERIOD_OVERRIDE=FQ","FILING_STATUS=MR","FA_ADJUSTED=GAAP","Sort=A","Dates=H","DateFormat=P","Fill=—","Direction=H","UseDPDF=Y")</f>
        <v>9.6671999999999993</v>
      </c>
      <c r="AO26" s="21">
        <f>_xll.BDH("CRM US Equity","SUSTAIN_GROWTH_RT","FQ4 2021","FQ4 2021","Currency=USD","Period=FQ","BEST_FPERIOD_OVERRIDE=FQ","FILING_STATUS=MR","FA_ADJUSTED=GAAP","Sort=A","Dates=H","DateFormat=P","Fill=—","Direction=H","UseDPDF=Y")</f>
        <v>10.8042</v>
      </c>
      <c r="AP26" s="21">
        <f>_xll.BDH("CRM US Equity","SUSTAIN_GROWTH_RT","FQ1 2022","FQ1 2022","Currency=USD","Period=FQ","BEST_FPERIOD_OVERRIDE=FQ","FILING_STATUS=MR","FA_ADJUSTED=GAAP","Sort=A","Dates=H","DateFormat=P","Fill=—","Direction=H","UseDPDF=Y")</f>
        <v>11.517900000000001</v>
      </c>
    </row>
    <row r="27" spans="1:42" x14ac:dyDescent="0.25">
      <c r="A27" s="15" t="s">
        <v>118</v>
      </c>
      <c r="B27" s="15"/>
      <c r="C27" s="15" t="s"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U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159</v>
      </c>
      <c r="D4" s="3" t="s">
        <v>158</v>
      </c>
      <c r="E4" s="3" t="s">
        <v>157</v>
      </c>
      <c r="F4" s="3" t="s">
        <v>156</v>
      </c>
      <c r="G4" s="3" t="s">
        <v>155</v>
      </c>
      <c r="H4" s="3" t="s">
        <v>154</v>
      </c>
      <c r="I4" s="3" t="s">
        <v>153</v>
      </c>
      <c r="J4" s="3" t="s">
        <v>152</v>
      </c>
      <c r="K4" s="3" t="s">
        <v>151</v>
      </c>
      <c r="L4" s="3" t="s">
        <v>150</v>
      </c>
      <c r="M4" s="3" t="s">
        <v>149</v>
      </c>
      <c r="N4" s="3" t="s">
        <v>148</v>
      </c>
      <c r="O4" s="3" t="s">
        <v>147</v>
      </c>
      <c r="P4" s="3" t="s">
        <v>146</v>
      </c>
      <c r="Q4" s="3" t="s">
        <v>145</v>
      </c>
      <c r="R4" s="3" t="s">
        <v>144</v>
      </c>
      <c r="S4" s="3" t="s">
        <v>143</v>
      </c>
      <c r="T4" s="3" t="s">
        <v>142</v>
      </c>
      <c r="U4" s="3" t="s">
        <v>141</v>
      </c>
      <c r="V4" s="3" t="s">
        <v>140</v>
      </c>
      <c r="W4" s="3" t="s">
        <v>139</v>
      </c>
      <c r="X4" s="3" t="s">
        <v>138</v>
      </c>
      <c r="Y4" s="3" t="s">
        <v>137</v>
      </c>
      <c r="Z4" s="3" t="s">
        <v>136</v>
      </c>
      <c r="AA4" s="3" t="s">
        <v>135</v>
      </c>
      <c r="AB4" s="3" t="s">
        <v>134</v>
      </c>
      <c r="AC4" s="3" t="s">
        <v>133</v>
      </c>
      <c r="AD4" s="3" t="s">
        <v>132</v>
      </c>
      <c r="AE4" s="3" t="s">
        <v>131</v>
      </c>
      <c r="AF4" s="3" t="s">
        <v>130</v>
      </c>
      <c r="AG4" s="3" t="s">
        <v>129</v>
      </c>
      <c r="AH4" s="3" t="s">
        <v>128</v>
      </c>
      <c r="AI4" s="3" t="s">
        <v>127</v>
      </c>
      <c r="AJ4" s="3" t="s">
        <v>126</v>
      </c>
      <c r="AK4" s="3" t="s">
        <v>125</v>
      </c>
      <c r="AL4" s="3" t="s">
        <v>124</v>
      </c>
      <c r="AM4" s="3" t="s">
        <v>123</v>
      </c>
      <c r="AN4" s="3" t="s">
        <v>122</v>
      </c>
      <c r="AO4" s="3" t="s">
        <v>121</v>
      </c>
      <c r="AP4" s="3" t="s">
        <v>120</v>
      </c>
    </row>
    <row r="5" spans="1:42" x14ac:dyDescent="0.25">
      <c r="A5" s="4" t="s">
        <v>119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94</v>
      </c>
      <c r="B9" s="8" t="s">
        <v>95</v>
      </c>
      <c r="C9" s="21">
        <f>_xll.BDP("CRM US Equity","GROSS_MARGIN","EQY_FUND_YEAR=2012","FUND_PER=C2","EQY_FUND_CRNCY=USD","FILING_STATUS=MR","FA_ADJUSTED=GAAP","Fill=—")</f>
        <v>78.676385183831158</v>
      </c>
      <c r="D9" s="21">
        <f>_xll.BDP("CRM US Equity","GROSS_MARGIN","EQY_FUND_YEAR=2012","FUND_PER=C3","EQY_FUND_CRNCY=USD","FILING_STATUS=MR","FA_ADJUSTED=GAAP","Fill=—")</f>
        <v>78.432925941469179</v>
      </c>
      <c r="E9" s="21">
        <f>_xll.BDP("CRM US Equity","GROSS_MARGIN","EQY_FUND_YEAR=2012","FUND_PER=C4","EQY_FUND_CRNCY=USD","FILING_STATUS=MR","FA_ADJUSTED=GAAP","Fill=—")</f>
        <v>78.430285117529408</v>
      </c>
      <c r="F9" s="21">
        <f>_xll.BDP("CRM US Equity","GROSS_MARGIN","EQY_FUND_YEAR=2013","FUND_PER=C1","EQY_FUND_CRNCY=USD","FILING_STATUS=MR","FA_ADJUSTED=GAAP","Fill=—")</f>
        <v>78.208743189827842</v>
      </c>
      <c r="G9" s="21">
        <f>_xll.BDP("CRM US Equity","GROSS_MARGIN","EQY_FUND_YEAR=2013","FUND_PER=C2","EQY_FUND_CRNCY=USD","FILING_STATUS=MR","FA_ADJUSTED=GAAP","Fill=—")</f>
        <v>77.999756151567226</v>
      </c>
      <c r="H9" s="21">
        <f>_xll.BDP("CRM US Equity","GROSS_MARGIN","EQY_FUND_YEAR=2013","FUND_PER=C3","EQY_FUND_CRNCY=USD","FILING_STATUS=MR","FA_ADJUSTED=GAAP","Fill=—")</f>
        <v>77.422079029967762</v>
      </c>
      <c r="I9" s="21">
        <f>_xll.BDP("CRM US Equity","GROSS_MARGIN","EQY_FUND_YEAR=2013","FUND_PER=C4","EQY_FUND_CRNCY=USD","FILING_STATUS=MR","FA_ADJUSTED=GAAP","Fill=—")</f>
        <v>77.589006604495779</v>
      </c>
      <c r="J9" s="21">
        <f>_xll.BDP("CRM US Equity","GROSS_MARGIN","EQY_FUND_YEAR=2014","FUND_PER=C1","EQY_FUND_CRNCY=USD","FILING_STATUS=MR","FA_ADJUSTED=GAAP","Fill=—")</f>
        <v>76.586794348853331</v>
      </c>
      <c r="K9" s="21">
        <f>_xll.BDP("CRM US Equity","GROSS_MARGIN","EQY_FUND_YEAR=2014","FUND_PER=C2","EQY_FUND_CRNCY=USD","FILING_STATUS=MR","FA_ADJUSTED=GAAP","Fill=—")</f>
        <v>76.931136324441397</v>
      </c>
      <c r="L9" s="21">
        <f>_xll.BDP("CRM US Equity","GROSS_MARGIN","EQY_FUND_YEAR=2014","FUND_PER=C3","EQY_FUND_CRNCY=USD","FILING_STATUS=MR","FA_ADJUSTED=GAAP","Fill=—")</f>
        <v>76.248982743293112</v>
      </c>
      <c r="M9" s="21">
        <f>_xll.BDP("CRM US Equity","GROSS_MARGIN","EQY_FUND_YEAR=2014","FUND_PER=C4","EQY_FUND_CRNCY=USD","FILING_STATUS=MR","FA_ADJUSTED=GAAP","Fill=—")</f>
        <v>76.211562605087749</v>
      </c>
      <c r="N9" s="21">
        <f>_xll.BDP("CRM US Equity","GROSS_MARGIN","EQY_FUND_YEAR=2015","FUND_PER=C1","EQY_FUND_CRNCY=USD","FILING_STATUS=MR","FA_ADJUSTED=GAAP","Fill=—")</f>
        <v>76.172834071856869</v>
      </c>
      <c r="O9" s="21">
        <f>_xll.BDP("CRM US Equity","GROSS_MARGIN","EQY_FUND_YEAR=2015","FUND_PER=C2","EQY_FUND_CRNCY=USD","FILING_STATUS=MR","FA_ADJUSTED=GAAP","Fill=—")</f>
        <v>76.422010094593105</v>
      </c>
      <c r="P9" s="21">
        <f>_xll.BDP("CRM US Equity","GROSS_MARGIN","EQY_FUND_YEAR=2015","FUND_PER=C3","EQY_FUND_CRNCY=USD","FILING_STATUS=MR","FA_ADJUSTED=GAAP","Fill=—")</f>
        <v>76.244534838321826</v>
      </c>
      <c r="Q9" s="21">
        <f>_xll.BDP("CRM US Equity","GROSS_MARGIN","EQY_FUND_YEAR=2015","FUND_PER=C4","EQY_FUND_CRNCY=USD","FILING_STATUS=MR","FA_ADJUSTED=GAAP","Fill=—")</f>
        <v>76.007269633350987</v>
      </c>
      <c r="R9" s="21">
        <f>_xll.BDP("CRM US Equity","GROSS_MARGIN","EQY_FUND_YEAR=2016","FUND_PER=C1","EQY_FUND_CRNCY=USD","FILING_STATUS=MR","FA_ADJUSTED=GAAP","Fill=—")</f>
        <v>74.734625623772885</v>
      </c>
      <c r="S9" s="21">
        <f>_xll.BDP("CRM US Equity","GROSS_MARGIN","EQY_FUND_YEAR=2016","FUND_PER=C2","EQY_FUND_CRNCY=USD","FILING_STATUS=MR","FA_ADJUSTED=GAAP","Fill=—")</f>
        <v>74.977009400635936</v>
      </c>
      <c r="T9" s="21">
        <f>_xll.BDP("CRM US Equity","GROSS_MARGIN","EQY_FUND_YEAR=2016","FUND_PER=C3","EQY_FUND_CRNCY=USD","FILING_STATUS=MR","FA_ADJUSTED=GAAP","Fill=—")</f>
        <v>75.07380885821577</v>
      </c>
      <c r="U9" s="21">
        <f>_xll.BDP("CRM US Equity","GROSS_MARGIN","EQY_FUND_YEAR=2016","FUND_PER=C4","EQY_FUND_CRNCY=USD","FILING_STATUS=MR","FA_ADJUSTED=GAAP","Fill=—")</f>
        <v>75.183824852832132</v>
      </c>
      <c r="V9" s="21">
        <f>_xll.BDP("CRM US Equity","GROSS_MARGIN","EQY_FUND_YEAR=2017","FUND_PER=C1","EQY_FUND_CRNCY=USD","FILING_STATUS=MR","FA_ADJUSTED=GAAP","Fill=—")</f>
        <v>74.069695184657448</v>
      </c>
      <c r="W9" s="21">
        <f>_xll.BDP("CRM US Equity","GROSS_MARGIN","EQY_FUND_YEAR=2017","FUND_PER=C2","EQY_FUND_CRNCY=USD","FILING_STATUS=MR","FA_ADJUSTED=GAAP","Fill=—")</f>
        <v>74.133497722490091</v>
      </c>
      <c r="X9" s="21">
        <f>_xll.BDP("CRM US Equity","GROSS_MARGIN","EQY_FUND_YEAR=2017","FUND_PER=C3","EQY_FUND_CRNCY=USD","FILING_STATUS=MR","FA_ADJUSTED=GAAP","Fill=—")</f>
        <v>73.629336588610414</v>
      </c>
      <c r="Y9" s="21">
        <f>_xll.BDP("CRM US Equity","GROSS_MARGIN","EQY_FUND_YEAR=2017","FUND_PER=C4","EQY_FUND_CRNCY=USD","FILING_STATUS=MR","FA_ADJUSTED=GAAP","Fill=—")</f>
        <v>73.521393860376904</v>
      </c>
      <c r="Z9" s="21">
        <f>_xll.BDP("CRM US Equity","GROSS_MARGIN","EQY_FUND_YEAR=2018","FUND_PER=C1","EQY_FUND_CRNCY=USD","FILING_STATUS=MR","FA_ADJUSTED=GAAP","Fill=—")</f>
        <v>72.841051314142675</v>
      </c>
      <c r="AA9" s="21">
        <f>_xll.BDP("CRM US Equity","GROSS_MARGIN","EQY_FUND_YEAR=2018","FUND_PER=C2","EQY_FUND_CRNCY=USD","FILING_STATUS=MR","FA_ADJUSTED=GAAP","Fill=—")</f>
        <v>73.441897868918375</v>
      </c>
      <c r="AB9" s="21">
        <f>_xll.BDP("CRM US Equity","GROSS_MARGIN","EQY_FUND_YEAR=2018","FUND_PER=C3","EQY_FUND_CRNCY=USD","FILING_STATUS=MR","FA_ADJUSTED=GAAP","Fill=—")</f>
        <v>73.485342019543978</v>
      </c>
      <c r="AC9" s="21">
        <f>_xll.BDP("CRM US Equity","GROSS_MARGIN","EQY_FUND_YEAR=2018","FUND_PER=C4","EQY_FUND_CRNCY=USD","FILING_STATUS=MR","FA_ADJUSTED=GAAP","Fill=—")</f>
        <v>73.690702087286525</v>
      </c>
      <c r="AD9" s="21">
        <f>_xll.BDP("CRM US Equity","GROSS_MARGIN","EQY_FUND_YEAR=2019","FUND_PER=C1","EQY_FUND_CRNCY=USD","FILING_STATUS=MR","FA_ADJUSTED=GAAP","Fill=—")</f>
        <v>74.484364604125091</v>
      </c>
      <c r="AE9" s="21">
        <f>_xll.BDP("CRM US Equity","GROSS_MARGIN","EQY_FUND_YEAR=2019","FUND_PER=C2","EQY_FUND_CRNCY=USD","FILING_STATUS=MR","FA_ADJUSTED=GAAP","Fill=—")</f>
        <v>74.296166693176403</v>
      </c>
      <c r="AF9" s="21">
        <f>_xll.BDP("CRM US Equity","GROSS_MARGIN","EQY_FUND_YEAR=2019","FUND_PER=C3","EQY_FUND_CRNCY=USD","FILING_STATUS=MR","FA_ADJUSTED=GAAP","Fill=—")</f>
        <v>74.119227192891827</v>
      </c>
      <c r="AG9" s="21">
        <f>_xll.BDP("CRM US Equity","GROSS_MARGIN","EQY_FUND_YEAR=2019","FUND_PER=C4","EQY_FUND_CRNCY=USD","FILING_STATUS=MR","FA_ADJUSTED=GAAP","Fill=—")</f>
        <v>74.017467248908304</v>
      </c>
      <c r="AH9" s="21">
        <f>_xll.BDP("CRM US Equity","GROSS_MARGIN","EQY_FUND_YEAR=2020","FUND_PER=C1","EQY_FUND_CRNCY=USD","FILING_STATUS=MR","FA_ADJUSTED=GAAP","Fill=—")</f>
        <v>75.541878512175543</v>
      </c>
      <c r="AI9" s="21">
        <f>_xll.BDP("CRM US Equity","GROSS_MARGIN","EQY_FUND_YEAR=2020","FUND_PER=C2","EQY_FUND_CRNCY=USD","FILING_STATUS=MR","FA_ADJUSTED=GAAP","Fill=—")</f>
        <v>75.678820791311097</v>
      </c>
      <c r="AJ9" s="21">
        <f>_xll.BDP("CRM US Equity","GROSS_MARGIN","EQY_FUND_YEAR=2020","FUND_PER=C3","EQY_FUND_CRNCY=USD","FILING_STATUS=MR","FA_ADJUSTED=GAAP","Fill=—")</f>
        <v>75.381726137013146</v>
      </c>
      <c r="AK9" s="21">
        <f>_xll.BDP("CRM US Equity","GROSS_MARGIN","EQY_FUND_YEAR=2020","FUND_PER=C4","EQY_FUND_CRNCY=USD","FILING_STATUS=MR","FA_ADJUSTED=GAAP","Fill=—")</f>
        <v>75.231021172066903</v>
      </c>
      <c r="AL9" s="21">
        <f>_xll.BDP("CRM US Equity","GROSS_MARGIN","EQY_FUND_YEAR=2021","FUND_PER=C1","EQY_FUND_CRNCY=USD","FILING_STATUS=MR","FA_ADJUSTED=GAAP","Fill=—")</f>
        <v>74.224049331963002</v>
      </c>
      <c r="AM9" s="21">
        <f>_xll.BDP("CRM US Equity","GROSS_MARGIN","EQY_FUND_YEAR=2021","FUND_PER=C2","EQY_FUND_CRNCY=USD","FILING_STATUS=MR","FA_ADJUSTED=GAAP","Fill=—")</f>
        <v>74.390974440894581</v>
      </c>
      <c r="AN9" s="21">
        <f>_xll.BDP("CRM US Equity","GROSS_MARGIN","EQY_FUND_YEAR=2021","FUND_PER=C3","EQY_FUND_CRNCY=USD","FILING_STATUS=MR","FA_ADJUSTED=GAAP","Fill=—")</f>
        <v>74.35050210560415</v>
      </c>
      <c r="AO9" s="21">
        <f>_xll.BDP("CRM US Equity","GROSS_MARGIN","EQY_FUND_YEAR=2021","FUND_PER=C4","EQY_FUND_CRNCY=USD","FILING_STATUS=MR","FA_ADJUSTED=GAAP","Fill=—")</f>
        <v>74.411820063993986</v>
      </c>
      <c r="AP9" s="21">
        <f>_xll.BDP("CRM US Equity","GROSS_MARGIN","EQY_FUND_YEAR=2022","FUND_PER=C1","EQY_FUND_CRNCY=USD","FILING_STATUS=MR","FA_ADJUSTED=GAAP","Fill=—")</f>
        <v>73.922522220358871</v>
      </c>
    </row>
    <row r="10" spans="1:42" x14ac:dyDescent="0.25">
      <c r="A10" s="8" t="s">
        <v>96</v>
      </c>
      <c r="B10" s="8" t="s">
        <v>97</v>
      </c>
      <c r="C10" s="21">
        <f>_xll.BDP("CRM US Equity","EBITDA_TO_REVENUE","EQY_FUND_YEAR=2012","FUND_PER=C2","EQY_FUND_CRNCY=USD","FILING_STATUS=MR","FA_ADJUSTED=GAAP","Fill=—")</f>
        <v>4.882202965442521</v>
      </c>
      <c r="D10" s="21">
        <f>_xll.BDP("CRM US Equity","EBITDA_TO_REVENUE","EQY_FUND_YEAR=2012","FUND_PER=C3","EQY_FUND_CRNCY=USD","FILING_STATUS=MR","FA_ADJUSTED=GAAP","Fill=—")</f>
        <v>5.0578542125232318</v>
      </c>
      <c r="E10" s="21">
        <f>_xll.BDP("CRM US Equity","EBITDA_TO_REVENUE","EQY_FUND_YEAR=2012","FUND_PER=C4","EQY_FUND_CRNCY=USD","FILING_STATUS=MR","FA_ADJUSTED=GAAP","Fill=—")</f>
        <v>5.3915242579104081</v>
      </c>
      <c r="F10" s="21">
        <f>_xll.BDP("CRM US Equity","EBITDA_TO_REVENUE","EQY_FUND_YEAR=2013","FUND_PER=C1","EQY_FUND_CRNCY=USD","FILING_STATUS=MR","FA_ADJUSTED=GAAP","Fill=—")</f>
        <v>3.9098907640477556</v>
      </c>
      <c r="G10" s="21">
        <f>_xll.BDP("CRM US Equity","EBITDA_TO_REVENUE","EQY_FUND_YEAR=2013","FUND_PER=C2","EQY_FUND_CRNCY=USD","FILING_STATUS=MR","FA_ADJUSTED=GAAP","Fill=—")</f>
        <v>4.4652992468727133</v>
      </c>
      <c r="H10" s="21">
        <f>_xll.BDP("CRM US Equity","EBITDA_TO_REVENUE","EQY_FUND_YEAR=2013","FUND_PER=C3","EQY_FUND_CRNCY=USD","FILING_STATUS=MR","FA_ADJUSTED=GAAP","Fill=—")</f>
        <v>3.1368341612826636</v>
      </c>
      <c r="I10" s="21">
        <f>_xll.BDP("CRM US Equity","EBITDA_TO_REVENUE","EQY_FUND_YEAR=2013","FUND_PER=C4","EQY_FUND_CRNCY=USD","FILING_STATUS=MR","FA_ADJUSTED=GAAP","Fill=—")</f>
        <v>3.4779743590163905</v>
      </c>
      <c r="J10" s="21">
        <f>_xll.BDP("CRM US Equity","EBITDA_TO_REVENUE","EQY_FUND_YEAR=2014","FUND_PER=C1","EQY_FUND_CRNCY=USD","FILING_STATUS=MR","FA_ADJUSTED=GAAP","Fill=—")</f>
        <v>1.9892833897021505</v>
      </c>
      <c r="K10" s="21">
        <f>_xll.BDP("CRM US Equity","EBITDA_TO_REVENUE","EQY_FUND_YEAR=2014","FUND_PER=C2","EQY_FUND_CRNCY=USD","FILING_STATUS=MR","FA_ADJUSTED=GAAP","Fill=—")</f>
        <v>3.0202294717004183</v>
      </c>
      <c r="L10" s="21">
        <f>_xll.BDP("CRM US Equity","EBITDA_TO_REVENUE","EQY_FUND_YEAR=2014","FUND_PER=C3","EQY_FUND_CRNCY=USD","FILING_STATUS=MR","FA_ADJUSTED=GAAP","Fill=—")</f>
        <v>2.470536725316935</v>
      </c>
      <c r="M10" s="21">
        <f>_xll.BDP("CRM US Equity","EBITDA_TO_REVENUE","EQY_FUND_YEAR=2014","FUND_PER=C4","EQY_FUND_CRNCY=USD","FILING_STATUS=MR","FA_ADJUSTED=GAAP","Fill=—")</f>
        <v>2.0473824263946745</v>
      </c>
      <c r="N10" s="21">
        <f>_xll.BDP("CRM US Equity","EBITDA_TO_REVENUE","EQY_FUND_YEAR=2015","FUND_PER=C1","EQY_FUND_CRNCY=USD","FILING_STATUS=MR","FA_ADJUSTED=GAAP","Fill=—")</f>
        <v>4.5213780555800112</v>
      </c>
      <c r="O10" s="21">
        <f>_xll.BDP("CRM US Equity","EBITDA_TO_REVENUE","EQY_FUND_YEAR=2015","FUND_PER=C2","EQY_FUND_CRNCY=USD","FILING_STATUS=MR","FA_ADJUSTED=GAAP","Fill=—")</f>
        <v>5.0928310473759124</v>
      </c>
      <c r="P10" s="21">
        <f>_xll.BDP("CRM US Equity","EBITDA_TO_REVENUE","EQY_FUND_YEAR=2015","FUND_PER=C3","EQY_FUND_CRNCY=USD","FILING_STATUS=MR","FA_ADJUSTED=GAAP","Fill=—")</f>
        <v>5.5877380835423356</v>
      </c>
      <c r="Q10" s="21">
        <f>_xll.BDP("CRM US Equity","EBITDA_TO_REVENUE","EQY_FUND_YEAR=2015","FUND_PER=C4","EQY_FUND_CRNCY=USD","FILING_STATUS=MR","FA_ADJUSTED=GAAP","Fill=—")</f>
        <v>5.6324212546333117</v>
      </c>
      <c r="R10" s="21">
        <f>_xll.BDP("CRM US Equity","EBITDA_TO_REVENUE","EQY_FUND_YEAR=2016","FUND_PER=C1","EQY_FUND_CRNCY=USD","FILING_STATUS=MR","FA_ADJUSTED=GAAP","Fill=—")</f>
        <v>10.52378724522174</v>
      </c>
      <c r="S10" s="21">
        <f>_xll.BDP("CRM US Equity","EBITDA_TO_REVENUE","EQY_FUND_YEAR=2016","FUND_PER=C2","EQY_FUND_CRNCY=USD","FILING_STATUS=MR","FA_ADJUSTED=GAAP","Fill=—")</f>
        <v>9.8711286707475949</v>
      </c>
      <c r="T10" s="21">
        <f>_xll.BDP("CRM US Equity","EBITDA_TO_REVENUE","EQY_FUND_YEAR=2016","FUND_PER=C3","EQY_FUND_CRNCY=USD","FILING_STATUS=MR","FA_ADJUSTED=GAAP","Fill=—")</f>
        <v>10.049800136604542</v>
      </c>
      <c r="U10" s="21">
        <f>_xll.BDP("CRM US Equity","EBITDA_TO_REVENUE","EQY_FUND_YEAR=2016","FUND_PER=C4","EQY_FUND_CRNCY=USD","FILING_STATUS=MR","FA_ADJUSTED=GAAP","Fill=—")</f>
        <v>9.6093031934168618</v>
      </c>
      <c r="V10" s="21">
        <f>_xll.BDP("CRM US Equity","EBITDA_TO_REVENUE","EQY_FUND_YEAR=2017","FUND_PER=C1","EQY_FUND_CRNCY=USD","FILING_STATUS=MR","FA_ADJUSTED=GAAP","Fill=—")</f>
        <v>9.639868037355674</v>
      </c>
      <c r="W10" s="21">
        <f>_xll.BDP("CRM US Equity","EBITDA_TO_REVENUE","EQY_FUND_YEAR=2017","FUND_PER=C2","EQY_FUND_CRNCY=USD","FILING_STATUS=MR","FA_ADJUSTED=GAAP","Fill=—")</f>
        <v>9.2752213954140164</v>
      </c>
      <c r="X10" s="21">
        <f>_xll.BDP("CRM US Equity","EBITDA_TO_REVENUE","EQY_FUND_YEAR=2017","FUND_PER=C3","EQY_FUND_CRNCY=USD","FILING_STATUS=MR","FA_ADJUSTED=GAAP","Fill=—")</f>
        <v>8.839822131729834</v>
      </c>
      <c r="Y10" s="21">
        <f>_xll.BDP("CRM US Equity","EBITDA_TO_REVENUE","EQY_FUND_YEAR=2017","FUND_PER=C4","EQY_FUND_CRNCY=USD","FILING_STATUS=MR","FA_ADJUSTED=GAAP","Fill=—")</f>
        <v>10.074671091620244</v>
      </c>
      <c r="Z10" s="21">
        <f>_xll.BDP("CRM US Equity","EBITDA_TO_REVENUE","EQY_FUND_YEAR=2018","FUND_PER=C1","EQY_FUND_CRNCY=USD","FILING_STATUS=MR","FA_ADJUSTED=GAAP","Fill=—")</f>
        <v>7.8848560700876096</v>
      </c>
      <c r="AA10" s="21">
        <f>_xll.BDP("CRM US Equity","EBITDA_TO_REVENUE","EQY_FUND_YEAR=2018","FUND_PER=C2","EQY_FUND_CRNCY=USD","FILING_STATUS=MR","FA_ADJUSTED=GAAP","Fill=—")</f>
        <v>9.3486127864897455</v>
      </c>
      <c r="AB10" s="21">
        <f>_xll.BDP("CRM US Equity","EBITDA_TO_REVENUE","EQY_FUND_YEAR=2018","FUND_PER=C3","EQY_FUND_CRNCY=USD","FILING_STATUS=MR","FA_ADJUSTED=GAAP","Fill=—")</f>
        <v>10.527687296416937</v>
      </c>
      <c r="AC10" s="21">
        <f>_xll.BDP("CRM US Equity","EBITDA_TO_REVENUE","EQY_FUND_YEAR=2018","FUND_PER=C4","EQY_FUND_CRNCY=USD","FILING_STATUS=MR","FA_ADJUSTED=GAAP","Fill=—")</f>
        <v>11.74573055028463</v>
      </c>
      <c r="AD10" s="21">
        <f>_xll.BDP("CRM US Equity","EBITDA_TO_REVENUE","EQY_FUND_YEAR=2019","FUND_PER=C1","EQY_FUND_CRNCY=USD","FILING_STATUS=MR","FA_ADJUSTED=GAAP","Fill=—")</f>
        <v>12.375249500998004</v>
      </c>
      <c r="AE10" s="21">
        <f>_xll.BDP("CRM US Equity","EBITDA_TO_REVENUE","EQY_FUND_YEAR=2019","FUND_PER=C2","EQY_FUND_CRNCY=USD","FILING_STATUS=MR","FA_ADJUSTED=GAAP","Fill=—")</f>
        <v>12.024813106410052</v>
      </c>
      <c r="AF10" s="21">
        <f>_xll.BDP("CRM US Equity","EBITDA_TO_REVENUE","EQY_FUND_YEAR=2019","FUND_PER=C3","EQY_FUND_CRNCY=USD","FILING_STATUS=MR","FA_ADJUSTED=GAAP","Fill=—")</f>
        <v>11.416468643454902</v>
      </c>
      <c r="AG10" s="21">
        <f>_xll.BDP("CRM US Equity","EBITDA_TO_REVENUE","EQY_FUND_YEAR=2019","FUND_PER=C4","EQY_FUND_CRNCY=USD","FILING_STATUS=MR","FA_ADJUSTED=GAAP","Fill=—")</f>
        <v>14.169552778196055</v>
      </c>
      <c r="AH10" s="21">
        <f>_xll.BDP("CRM US Equity","EBITDA_TO_REVENUE","EQY_FUND_YEAR=2020","FUND_PER=C1","EQY_FUND_CRNCY=USD","FILING_STATUS=MR","FA_ADJUSTED=GAAP","Fill=—")</f>
        <v>22.825796093122825</v>
      </c>
      <c r="AI10" s="21">
        <f>_xll.BDP("CRM US Equity","EBITDA_TO_REVENUE","EQY_FUND_YEAR=2020","FUND_PER=C2","EQY_FUND_CRNCY=USD","FILING_STATUS=MR","FA_ADJUSTED=GAAP","Fill=—")</f>
        <v>20.493922937677787</v>
      </c>
      <c r="AJ10" s="21">
        <f>_xll.BDP("CRM US Equity","EBITDA_TO_REVENUE","EQY_FUND_YEAR=2020","FUND_PER=C3","EQY_FUND_CRNCY=USD","FILING_STATUS=MR","FA_ADJUSTED=GAAP","Fill=—")</f>
        <v>20.315179227565935</v>
      </c>
      <c r="AK10" s="21">
        <f>_xll.BDP("CRM US Equity","EBITDA_TO_REVENUE","EQY_FUND_YEAR=2020","FUND_PER=C4","EQY_FUND_CRNCY=USD","FILING_STATUS=MR","FA_ADJUSTED=GAAP","Fill=—")</f>
        <v>19.563691659843258</v>
      </c>
      <c r="AL10" s="21">
        <f>_xll.BDP("CRM US Equity","EBITDA_TO_REVENUE","EQY_FUND_YEAR=2021","FUND_PER=C1","EQY_FUND_CRNCY=USD","FILING_STATUS=MR","FA_ADJUSTED=GAAP","Fill=—")</f>
        <v>16.382322713257967</v>
      </c>
      <c r="AM10" s="21">
        <f>_xll.BDP("CRM US Equity","EBITDA_TO_REVENUE","EQY_FUND_YEAR=2021","FUND_PER=C2","EQY_FUND_CRNCY=USD","FILING_STATUS=MR","FA_ADJUSTED=GAAP","Fill=—")</f>
        <v>18.789936102236421</v>
      </c>
      <c r="AN10" s="21">
        <f>_xll.BDP("CRM US Equity","EBITDA_TO_REVENUE","EQY_FUND_YEAR=2021","FUND_PER=C3","EQY_FUND_CRNCY=USD","FILING_STATUS=MR","FA_ADJUSTED=GAAP","Fill=—")</f>
        <v>19.78620019436346</v>
      </c>
      <c r="AO10" s="21">
        <f>_xll.BDP("CRM US Equity","EBITDA_TO_REVENUE","EQY_FUND_YEAR=2021","FUND_PER=C4","EQY_FUND_CRNCY=USD","FILING_STATUS=MR","FA_ADJUSTED=GAAP","Fill=—")</f>
        <v>21.21682665160926</v>
      </c>
      <c r="AP10" s="21">
        <f>_xll.BDP("CRM US Equity","EBITDA_TO_REVENUE","EQY_FUND_YEAR=2022","FUND_PER=C1","EQY_FUND_CRNCY=USD","FILING_STATUS=MR","FA_ADJUSTED=GAAP","Fill=—")</f>
        <v>21.884957236290457</v>
      </c>
    </row>
    <row r="11" spans="1:42" x14ac:dyDescent="0.25">
      <c r="A11" s="6" t="s">
        <v>98</v>
      </c>
      <c r="B11" s="6" t="s">
        <v>97</v>
      </c>
      <c r="C11" s="23">
        <v>-60.3800709493472</v>
      </c>
      <c r="D11" s="23">
        <v>-59.499917644252498</v>
      </c>
      <c r="E11" s="23">
        <v>-48.427902164679303</v>
      </c>
      <c r="F11" s="23">
        <v>-26.390135626661401</v>
      </c>
      <c r="G11" s="23">
        <v>-8.5392598382328604</v>
      </c>
      <c r="H11" s="23">
        <v>-37.9809302522374</v>
      </c>
      <c r="I11" s="23">
        <v>-35.491820123586599</v>
      </c>
      <c r="J11" s="23">
        <v>-49.121778586666501</v>
      </c>
      <c r="K11" s="23">
        <v>-32.362222552174003</v>
      </c>
      <c r="L11" s="23">
        <v>-21.241066629601701</v>
      </c>
      <c r="M11" s="23">
        <v>-41.132912436953198</v>
      </c>
      <c r="N11" s="23">
        <v>127.28681640571</v>
      </c>
      <c r="O11" s="23">
        <v>68.624001689938098</v>
      </c>
      <c r="P11" s="23">
        <v>126.17503805852699</v>
      </c>
      <c r="Q11" s="23">
        <v>175.103571292509</v>
      </c>
      <c r="R11" s="23">
        <v>132.756186277723</v>
      </c>
      <c r="S11" s="23">
        <v>93.824004762773399</v>
      </c>
      <c r="T11" s="23">
        <v>79.854531475885196</v>
      </c>
      <c r="U11" s="23">
        <v>70.606973448895303</v>
      </c>
      <c r="V11" s="23">
        <v>-8.3992482934137698</v>
      </c>
      <c r="W11" s="23">
        <v>-6.0368778485216801</v>
      </c>
      <c r="X11" s="23">
        <v>-12.0398216879938</v>
      </c>
      <c r="Y11" s="23">
        <v>4.8428902699810799</v>
      </c>
      <c r="Z11" s="23">
        <v>-18.2057679627978</v>
      </c>
      <c r="AA11" s="23">
        <v>0.791269555733498</v>
      </c>
      <c r="AB11" s="23">
        <v>19.093879944641401</v>
      </c>
      <c r="AC11" s="23">
        <v>16.5867451155477</v>
      </c>
      <c r="AD11" s="23">
        <v>56.949600601456801</v>
      </c>
      <c r="AE11" s="23">
        <v>28.626706442977198</v>
      </c>
      <c r="AF11" s="23">
        <v>8.4423292599789406</v>
      </c>
      <c r="AG11" s="23">
        <v>20.635769710714499</v>
      </c>
      <c r="AH11" s="23">
        <v>84.447150562614894</v>
      </c>
      <c r="AI11" s="23">
        <v>70.430284446003398</v>
      </c>
      <c r="AJ11" s="23">
        <v>77.9462546607012</v>
      </c>
      <c r="AK11" s="23">
        <v>38.0685191692356</v>
      </c>
      <c r="AL11" s="23">
        <v>-28.228908205435602</v>
      </c>
      <c r="AM11" s="23">
        <v>-8.3145964781852602</v>
      </c>
      <c r="AN11" s="23">
        <v>-2.60386088648296</v>
      </c>
      <c r="AO11" s="23">
        <v>8.4500154674281305</v>
      </c>
      <c r="AP11" s="23">
        <v>33.588850616606699</v>
      </c>
    </row>
    <row r="12" spans="1:42" x14ac:dyDescent="0.25">
      <c r="A12" s="8" t="s">
        <v>99</v>
      </c>
      <c r="B12" s="8" t="s">
        <v>100</v>
      </c>
      <c r="C12" s="21">
        <f>_xll.BDP("CRM US Equity","OPER_MARGIN","EQY_FUND_YEAR=2012","FUND_PER=C2","EQY_FUND_CRNCY=USD","FILING_STATUS=MR","FA_ADJUSTED=GAAP","Fill=—")</f>
        <v>-1.7661462766311933</v>
      </c>
      <c r="D12" s="21">
        <f>_xll.BDP("CRM US Equity","OPER_MARGIN","EQY_FUND_YEAR=2012","FUND_PER=C3","EQY_FUND_CRNCY=USD","FILING_STATUS=MR","FA_ADJUSTED=GAAP","Fill=—")</f>
        <v>-1.7562427124002675</v>
      </c>
      <c r="E12" s="21">
        <f>_xll.BDP("CRM US Equity","OPER_MARGIN","EQY_FUND_YEAR=2012","FUND_PER=C4","EQY_FUND_CRNCY=USD","FILING_STATUS=MR","FA_ADJUSTED=GAAP","Fill=—")</f>
        <v>-1.547954833338407</v>
      </c>
      <c r="F12" s="21">
        <f>_xll.BDP("CRM US Equity","OPER_MARGIN","EQY_FUND_YEAR=2013","FUND_PER=C1","EQY_FUND_CRNCY=USD","FILING_STATUS=MR","FA_ADJUSTED=GAAP","Fill=—")</f>
        <v>-3.1991453224955313</v>
      </c>
      <c r="G12" s="21">
        <f>_xll.BDP("CRM US Equity","OPER_MARGIN","EQY_FUND_YEAR=2013","FUND_PER=C2","EQY_FUND_CRNCY=USD","FILING_STATUS=MR","FA_ADJUSTED=GAAP","Fill=—")</f>
        <v>-2.5025996485219144</v>
      </c>
      <c r="H12" s="21">
        <f>_xll.BDP("CRM US Equity","OPER_MARGIN","EQY_FUND_YEAR=2013","FUND_PER=C3","EQY_FUND_CRNCY=USD","FILING_STATUS=MR","FA_ADJUSTED=GAAP","Fill=—")</f>
        <v>-4.057884536048971</v>
      </c>
      <c r="I12" s="21">
        <f>_xll.BDP("CRM US Equity","OPER_MARGIN","EQY_FUND_YEAR=2013","FUND_PER=C4","EQY_FUND_CRNCY=USD","FILING_STATUS=MR","FA_ADJUSTED=GAAP","Fill=—")</f>
        <v>-3.6296040089240194</v>
      </c>
      <c r="J12" s="21">
        <f>_xll.BDP("CRM US Equity","OPER_MARGIN","EQY_FUND_YEAR=2014","FUND_PER=C1","EQY_FUND_CRNCY=USD","FILING_STATUS=MR","FA_ADJUSTED=GAAP","Fill=—")</f>
        <v>-4.9897326224775469</v>
      </c>
      <c r="K12" s="21">
        <f>_xll.BDP("CRM US Equity","OPER_MARGIN","EQY_FUND_YEAR=2014","FUND_PER=C2","EQY_FUND_CRNCY=USD","FILING_STATUS=MR","FA_ADJUSTED=GAAP","Fill=—")</f>
        <v>-4.5626733026008708</v>
      </c>
      <c r="L12" s="21">
        <f>_xll.BDP("CRM US Equity","OPER_MARGIN","EQY_FUND_YEAR=2014","FUND_PER=C3","EQY_FUND_CRNCY=USD","FILING_STATUS=MR","FA_ADJUSTED=GAAP","Fill=—")</f>
        <v>-6.2318145603827517</v>
      </c>
      <c r="M12" s="21">
        <f>_xll.BDP("CRM US Equity","OPER_MARGIN","EQY_FUND_YEAR=2014","FUND_PER=C4","EQY_FUND_CRNCY=USD","FILING_STATUS=MR","FA_ADJUSTED=GAAP","Fill=—")</f>
        <v>-7.0271134656496201</v>
      </c>
      <c r="N12" s="21">
        <f>_xll.BDP("CRM US Equity","OPER_MARGIN","EQY_FUND_YEAR=2015","FUND_PER=C1","EQY_FUND_CRNCY=USD","FILING_STATUS=MR","FA_ADJUSTED=GAAP","Fill=—")</f>
        <v>-4.5111071984036153</v>
      </c>
      <c r="O12" s="21">
        <f>_xll.BDP("CRM US Equity","OPER_MARGIN","EQY_FUND_YEAR=2015","FUND_PER=C2","EQY_FUND_CRNCY=USD","FILING_STATUS=MR","FA_ADJUSTED=GAAP","Fill=—")</f>
        <v>-3.4877695286609991</v>
      </c>
      <c r="P12" s="21">
        <f>_xll.BDP("CRM US Equity","OPER_MARGIN","EQY_FUND_YEAR=2015","FUND_PER=C3","EQY_FUND_CRNCY=USD","FILING_STATUS=MR","FA_ADJUSTED=GAAP","Fill=—")</f>
        <v>-2.8205044670649717</v>
      </c>
      <c r="Q12" s="21">
        <f>_xll.BDP("CRM US Equity","OPER_MARGIN","EQY_FUND_YEAR=2015","FUND_PER=C4","EQY_FUND_CRNCY=USD","FILING_STATUS=MR","FA_ADJUSTED=GAAP","Fill=—")</f>
        <v>-2.7101641250368003</v>
      </c>
      <c r="R12" s="21">
        <f>_xll.BDP("CRM US Equity","OPER_MARGIN","EQY_FUND_YEAR=2016","FUND_PER=C1","EQY_FUND_CRNCY=USD","FILING_STATUS=MR","FA_ADJUSTED=GAAP","Fill=—")</f>
        <v>2.0583429892262073</v>
      </c>
      <c r="S12" s="21">
        <f>_xll.BDP("CRM US Equity","OPER_MARGIN","EQY_FUND_YEAR=2016","FUND_PER=C2","EQY_FUND_CRNCY=USD","FILING_STATUS=MR","FA_ADJUSTED=GAAP","Fill=—")</f>
        <v>1.6189260076208314</v>
      </c>
      <c r="T12" s="21">
        <f>_xll.BDP("CRM US Equity","OPER_MARGIN","EQY_FUND_YEAR=2016","FUND_PER=C3","EQY_FUND_CRNCY=USD","FILING_STATUS=MR","FA_ADJUSTED=GAAP","Fill=—")</f>
        <v>1.9424976398868792</v>
      </c>
      <c r="U12" s="21">
        <f>_xll.BDP("CRM US Equity","OPER_MARGIN","EQY_FUND_YEAR=2016","FUND_PER=C4","EQY_FUND_CRNCY=USD","FILING_STATUS=MR","FA_ADJUSTED=GAAP","Fill=—")</f>
        <v>1.7237029668755295</v>
      </c>
      <c r="V12" s="21">
        <f>_xll.BDP("CRM US Equity","OPER_MARGIN","EQY_FUND_YEAR=2017","FUND_PER=C1","EQY_FUND_CRNCY=USD","FILING_STATUS=MR","FA_ADJUSTED=GAAP","Fill=—")</f>
        <v>2.7124031424348183</v>
      </c>
      <c r="W12" s="21">
        <f>_xll.BDP("CRM US Equity","OPER_MARGIN","EQY_FUND_YEAR=2017","FUND_PER=C2","EQY_FUND_CRNCY=USD","FILING_STATUS=MR","FA_ADJUSTED=GAAP","Fill=—")</f>
        <v>2.1384334445253632</v>
      </c>
      <c r="X12" s="21">
        <f>_xll.BDP("CRM US Equity","OPER_MARGIN","EQY_FUND_YEAR=2017","FUND_PER=C3","EQY_FUND_CRNCY=USD","FILING_STATUS=MR","FA_ADJUSTED=GAAP","Fill=—")</f>
        <v>1.4360947432566371</v>
      </c>
      <c r="Y12" s="21">
        <f>_xll.BDP("CRM US Equity","OPER_MARGIN","EQY_FUND_YEAR=2017","FUND_PER=C4","EQY_FUND_CRNCY=USD","FILING_STATUS=MR","FA_ADJUSTED=GAAP","Fill=—")</f>
        <v>2.5838568211449569</v>
      </c>
      <c r="Z12" s="21">
        <f>_xll.BDP("CRM US Equity","OPER_MARGIN","EQY_FUND_YEAR=2018","FUND_PER=C1","EQY_FUND_CRNCY=USD","FILING_STATUS=MR","FA_ADJUSTED=GAAP","Fill=—")</f>
        <v>0.1668752607425949</v>
      </c>
      <c r="AA12" s="21">
        <f>_xll.BDP("CRM US Equity","OPER_MARGIN","EQY_FUND_YEAR=2018","FUND_PER=C2","EQY_FUND_CRNCY=USD","FILING_STATUS=MR","FA_ADJUSTED=GAAP","Fill=—")</f>
        <v>1.7691998391636508</v>
      </c>
      <c r="AB12" s="21">
        <f>_xll.BDP("CRM US Equity","OPER_MARGIN","EQY_FUND_YEAR=2018","FUND_PER=C3","EQY_FUND_CRNCY=USD","FILING_STATUS=MR","FA_ADJUSTED=GAAP","Fill=—")</f>
        <v>3.1661237785016292</v>
      </c>
      <c r="AC12" s="21">
        <f>_xll.BDP("CRM US Equity","OPER_MARGIN","EQY_FUND_YEAR=2018","FUND_PER=C4","EQY_FUND_CRNCY=USD","FILING_STATUS=MR","FA_ADJUSTED=GAAP","Fill=—")</f>
        <v>4.3074003795066416</v>
      </c>
      <c r="AD12" s="21">
        <f>_xll.BDP("CRM US Equity","OPER_MARGIN","EQY_FUND_YEAR=2019","FUND_PER=C1","EQY_FUND_CRNCY=USD","FILING_STATUS=MR","FA_ADJUSTED=GAAP","Fill=—")</f>
        <v>6.3539587491683296</v>
      </c>
      <c r="AE12" s="21">
        <f>_xll.BDP("CRM US Equity","OPER_MARGIN","EQY_FUND_YEAR=2019","FUND_PER=C2","EQY_FUND_CRNCY=USD","FILING_STATUS=MR","FA_ADJUSTED=GAAP","Fill=—")</f>
        <v>4.8671862573564502</v>
      </c>
      <c r="AF12" s="21">
        <f>_xll.BDP("CRM US Equity","OPER_MARGIN","EQY_FUND_YEAR=2019","FUND_PER=C3","EQY_FUND_CRNCY=USD","FILING_STATUS=MR","FA_ADJUSTED=GAAP","Fill=—")</f>
        <v>4.111995040810001</v>
      </c>
      <c r="AG12" s="21">
        <f>_xll.BDP("CRM US Equity","OPER_MARGIN","EQY_FUND_YEAR=2019","FUND_PER=C4","EQY_FUND_CRNCY=USD","FILING_STATUS=MR","FA_ADJUSTED=GAAP","Fill=—")</f>
        <v>4.0280078301460627</v>
      </c>
      <c r="AH12" s="21">
        <f>_xll.BDP("CRM US Equity","OPER_MARGIN","EQY_FUND_YEAR=2020","FUND_PER=C1","EQY_FUND_CRNCY=USD","FILING_STATUS=MR","FA_ADJUSTED=GAAP","Fill=—")</f>
        <v>5.6194808670056196</v>
      </c>
      <c r="AI12" s="21">
        <f>_xll.BDP("CRM US Equity","OPER_MARGIN","EQY_FUND_YEAR=2020","FUND_PER=C2","EQY_FUND_CRNCY=USD","FILING_STATUS=MR","FA_ADJUSTED=GAAP","Fill=—")</f>
        <v>3.4652185156452027</v>
      </c>
      <c r="AJ12" s="21">
        <f>_xll.BDP("CRM US Equity","OPER_MARGIN","EQY_FUND_YEAR=2020","FUND_PER=C3","EQY_FUND_CRNCY=USD","FILING_STATUS=MR","FA_ADJUSTED=GAAP","Fill=—")</f>
        <v>2.7190332326283988</v>
      </c>
      <c r="AK12" s="21">
        <f>_xll.BDP("CRM US Equity","OPER_MARGIN","EQY_FUND_YEAR=2020","FUND_PER=C4","EQY_FUND_CRNCY=USD","FILING_STATUS=MR","FA_ADJUSTED=GAAP","Fill=—")</f>
        <v>1.7370452684524504</v>
      </c>
      <c r="AL12" s="21">
        <f>_xll.BDP("CRM US Equity","OPER_MARGIN","EQY_FUND_YEAR=2021","FUND_PER=C1","EQY_FUND_CRNCY=USD","FILING_STATUS=MR","FA_ADJUSTED=GAAP","Fill=—")</f>
        <v>-2.877697841726619</v>
      </c>
      <c r="AM12" s="21">
        <f>_xll.BDP("CRM US Equity","OPER_MARGIN","EQY_FUND_YEAR=2021","FUND_PER=C2","EQY_FUND_CRNCY=USD","FILING_STATUS=MR","FA_ADJUSTED=GAAP","Fill=—")</f>
        <v>0.37939297124600635</v>
      </c>
      <c r="AN12" s="21">
        <f>_xll.BDP("CRM US Equity","OPER_MARGIN","EQY_FUND_YEAR=2021","FUND_PER=C3","EQY_FUND_CRNCY=USD","FILING_STATUS=MR","FA_ADJUSTED=GAAP","Fill=—")</f>
        <v>1.6974408811143507</v>
      </c>
      <c r="AO12" s="21">
        <f>_xll.BDP("CRM US Equity","OPER_MARGIN","EQY_FUND_YEAR=2021","FUND_PER=C4","EQY_FUND_CRNCY=USD","FILING_STATUS=MR","FA_ADJUSTED=GAAP","Fill=—")</f>
        <v>2.1409749670619238</v>
      </c>
      <c r="AP12" s="21">
        <f>_xll.BDP("CRM US Equity","OPER_MARGIN","EQY_FUND_YEAR=2022","FUND_PER=C1","EQY_FUND_CRNCY=USD","FILING_STATUS=MR","FA_ADJUSTED=GAAP","Fill=—")</f>
        <v>5.9366090893845387</v>
      </c>
    </row>
    <row r="13" spans="1:42" x14ac:dyDescent="0.25">
      <c r="A13" s="8" t="s">
        <v>107</v>
      </c>
      <c r="B13" s="8" t="s">
        <v>108</v>
      </c>
      <c r="C13" s="21">
        <f>_xll.BDP("CRM US Equity","PROF_MARGIN","EQY_FUND_YEAR=2012","FUND_PER=C2","EQY_FUND_CRNCY=USD","FILING_STATUS=MR","FA_ADJUSTED=GAAP","Fill=—")</f>
        <v>-0.355875951811083</v>
      </c>
      <c r="D13" s="21">
        <f>_xll.BDP("CRM US Equity","PROF_MARGIN","EQY_FUND_YEAR=2012","FUND_PER=C3","EQY_FUND_CRNCY=USD","FILING_STATUS=MR","FA_ADJUSTED=GAAP","Fill=—")</f>
        <v>-0.45845349333731389</v>
      </c>
      <c r="E13" s="21">
        <f>_xll.BDP("CRM US Equity","PROF_MARGIN","EQY_FUND_YEAR=2012","FUND_PER=C4","EQY_FUND_CRNCY=USD","FILING_STATUS=MR","FA_ADJUSTED=GAAP","Fill=—")</f>
        <v>-0.51055816820270894</v>
      </c>
      <c r="F13" s="21">
        <f>_xll.BDP("CRM US Equity","PROF_MARGIN","EQY_FUND_YEAR=2013","FUND_PER=C1","EQY_FUND_CRNCY=USD","FILING_STATUS=MR","FA_ADJUSTED=GAAP","Fill=—")</f>
        <v>-2.8002766486404105</v>
      </c>
      <c r="G13" s="21">
        <f>_xll.BDP("CRM US Equity","PROF_MARGIN","EQY_FUND_YEAR=2013","FUND_PER=C2","EQY_FUND_CRNCY=USD","FILING_STATUS=MR","FA_ADJUSTED=GAAP","Fill=—")</f>
        <v>-2.0533719753685054</v>
      </c>
      <c r="H13" s="21">
        <f>_xll.BDP("CRM US Equity","PROF_MARGIN","EQY_FUND_YEAR=2013","FUND_PER=C3","EQY_FUND_CRNCY=USD","FILING_STATUS=MR","FA_ADJUSTED=GAAP","Fill=—")</f>
        <v>-11.266053836716896</v>
      </c>
      <c r="I13" s="21">
        <f>_xll.BDP("CRM US Equity","PROF_MARGIN","EQY_FUND_YEAR=2013","FUND_PER=C4","EQY_FUND_CRNCY=USD","FILING_STATUS=MR","FA_ADJUSTED=GAAP","Fill=—")</f>
        <v>-8.8664823068689049</v>
      </c>
      <c r="J13" s="21">
        <f>_xll.BDP("CRM US Equity","PROF_MARGIN","EQY_FUND_YEAR=2014","FUND_PER=C1","EQY_FUND_CRNCY=USD","FILING_STATUS=MR","FA_ADJUSTED=GAAP","Fill=—")</f>
        <v>-7.5866565542613813</v>
      </c>
      <c r="K13" s="21">
        <f>_xll.BDP("CRM US Equity","PROF_MARGIN","EQY_FUND_YEAR=2014","FUND_PER=C2","EQY_FUND_CRNCY=USD","FILING_STATUS=MR","FA_ADJUSTED=GAAP","Fill=—")</f>
        <v>0.48017896695025802</v>
      </c>
      <c r="L13" s="21">
        <f>_xll.BDP("CRM US Equity","PROF_MARGIN","EQY_FUND_YEAR=2014","FUND_PER=C3","EQY_FUND_CRNCY=USD","FILING_STATUS=MR","FA_ADJUSTED=GAAP","Fill=—")</f>
        <v>-3.9494681896436519</v>
      </c>
      <c r="M13" s="21">
        <f>_xll.BDP("CRM US Equity","PROF_MARGIN","EQY_FUND_YEAR=2014","FUND_PER=C4","EQY_FUND_CRNCY=USD","FILING_STATUS=MR","FA_ADJUSTED=GAAP","Fill=—")</f>
        <v>-5.7031399878604851</v>
      </c>
      <c r="N13" s="21">
        <f>_xll.BDP("CRM US Equity","PROF_MARGIN","EQY_FUND_YEAR=2015","FUND_PER=C1","EQY_FUND_CRNCY=USD","FILING_STATUS=MR","FA_ADJUSTED=GAAP","Fill=—")</f>
        <v>-7.899674919218894</v>
      </c>
      <c r="O13" s="21">
        <f>_xll.BDP("CRM US Equity","PROF_MARGIN","EQY_FUND_YEAR=2015","FUND_PER=C2","EQY_FUND_CRNCY=USD","FILING_STATUS=MR","FA_ADJUSTED=GAAP","Fill=—")</f>
        <v>-6.2074243622518637</v>
      </c>
      <c r="P13" s="21">
        <f>_xll.BDP("CRM US Equity","PROF_MARGIN","EQY_FUND_YEAR=2015","FUND_PER=C3","EQY_FUND_CRNCY=USD","FILING_STATUS=MR","FA_ADJUSTED=GAAP","Fill=—")</f>
        <v>-5.0120667512009485</v>
      </c>
      <c r="Q13" s="21">
        <f>_xll.BDP("CRM US Equity","PROF_MARGIN","EQY_FUND_YEAR=2015","FUND_PER=C4","EQY_FUND_CRNCY=USD","FILING_STATUS=MR","FA_ADJUSTED=GAAP","Fill=—")</f>
        <v>-4.8885046224253221</v>
      </c>
      <c r="R13" s="21">
        <f>_xll.BDP("CRM US Equity","PROF_MARGIN","EQY_FUND_YEAR=2016","FUND_PER=C1","EQY_FUND_CRNCY=USD","FILING_STATUS=MR","FA_ADJUSTED=GAAP","Fill=—")</f>
        <v>0.27078410261738112</v>
      </c>
      <c r="S13" s="21">
        <f>_xll.BDP("CRM US Equity","PROF_MARGIN","EQY_FUND_YEAR=2016","FUND_PER=C2","EQY_FUND_CRNCY=USD","FILING_STATUS=MR","FA_ADJUSTED=GAAP","Fill=—")</f>
        <v>0.10299279908679718</v>
      </c>
      <c r="T13" s="21">
        <f>_xll.BDP("CRM US Equity","PROF_MARGIN","EQY_FUND_YEAR=2016","FUND_PER=C3","EQY_FUND_CRNCY=USD","FILING_STATUS=MR","FA_ADJUSTED=GAAP","Fill=—")</f>
        <v>-0.4511696403611663</v>
      </c>
      <c r="U13" s="21">
        <f>_xll.BDP("CRM US Equity","PROF_MARGIN","EQY_FUND_YEAR=2016","FUND_PER=C4","EQY_FUND_CRNCY=USD","FILING_STATUS=MR","FA_ADJUSTED=GAAP","Fill=—")</f>
        <v>-0.71133138629376935</v>
      </c>
      <c r="V13" s="21">
        <f>_xll.BDP("CRM US Equity","PROF_MARGIN","EQY_FUND_YEAR=2017","FUND_PER=C1","EQY_FUND_CRNCY=USD","FILING_STATUS=MR","FA_ADJUSTED=GAAP","Fill=—")</f>
        <v>2.0222758703810859</v>
      </c>
      <c r="W13" s="21">
        <f>_xll.BDP("CRM US Equity","PROF_MARGIN","EQY_FUND_YEAR=2017","FUND_PER=C2","EQY_FUND_CRNCY=USD","FILING_STATUS=MR","FA_ADJUSTED=GAAP","Fill=—")</f>
        <v>6.7889197188823998</v>
      </c>
      <c r="X13" s="21">
        <f>_xll.BDP("CRM US Equity","PROF_MARGIN","EQY_FUND_YEAR=2017","FUND_PER=C3","EQY_FUND_CRNCY=USD","FILING_STATUS=MR","FA_ADJUSTED=GAAP","Fill=—")</f>
        <v>3.7893104554348676</v>
      </c>
      <c r="Y13" s="21">
        <f>_xll.BDP("CRM US Equity","PROF_MARGIN","EQY_FUND_YEAR=2017","FUND_PER=C4","EQY_FUND_CRNCY=USD","FILING_STATUS=MR","FA_ADJUSTED=GAAP","Fill=—")</f>
        <v>3.828375014815693</v>
      </c>
      <c r="Z13" s="21">
        <f>_xll.BDP("CRM US Equity","PROF_MARGIN","EQY_FUND_YEAR=2018","FUND_PER=C1","EQY_FUND_CRNCY=USD","FILING_STATUS=MR","FA_ADJUSTED=GAAP","Fill=—")</f>
        <v>4.1718815185648725E-2</v>
      </c>
      <c r="AA13" s="21">
        <f>_xll.BDP("CRM US Equity","PROF_MARGIN","EQY_FUND_YEAR=2018","FUND_PER=C2","EQY_FUND_CRNCY=USD","FILING_STATUS=MR","FA_ADJUSTED=GAAP","Fill=—")</f>
        <v>0.94491355046240444</v>
      </c>
      <c r="AB13" s="21">
        <f>_xll.BDP("CRM US Equity","PROF_MARGIN","EQY_FUND_YEAR=2018","FUND_PER=C3","EQY_FUND_CRNCY=USD","FILING_STATUS=MR","FA_ADJUSTED=GAAP","Fill=—")</f>
        <v>2.006514657980456</v>
      </c>
      <c r="AC13" s="21">
        <f>_xll.BDP("CRM US Equity","PROF_MARGIN","EQY_FUND_YEAR=2018","FUND_PER=C4","EQY_FUND_CRNCY=USD","FILING_STATUS=MR","FA_ADJUSTED=GAAP","Fill=—")</f>
        <v>3.4155597722960152</v>
      </c>
      <c r="AD13" s="21">
        <f>_xll.BDP("CRM US Equity","PROF_MARGIN","EQY_FUND_YEAR=2019","FUND_PER=C1","EQY_FUND_CRNCY=USD","FILING_STATUS=MR","FA_ADJUSTED=GAAP","Fill=—")</f>
        <v>11.443779108449768</v>
      </c>
      <c r="AE13" s="21">
        <f>_xll.BDP("CRM US Equity","PROF_MARGIN","EQY_FUND_YEAR=2019","FUND_PER=C2","EQY_FUND_CRNCY=USD","FILING_STATUS=MR","FA_ADJUSTED=GAAP","Fill=—")</f>
        <v>10.227453475425481</v>
      </c>
      <c r="AF13" s="21">
        <f>_xll.BDP("CRM US Equity","PROF_MARGIN","EQY_FUND_YEAR=2019","FUND_PER=C3","EQY_FUND_CRNCY=USD","FILING_STATUS=MR","FA_ADJUSTED=GAAP","Fill=—")</f>
        <v>7.7280710817233187</v>
      </c>
      <c r="AG13" s="21">
        <f>_xll.BDP("CRM US Equity","PROF_MARGIN","EQY_FUND_YEAR=2019","FUND_PER=C4","EQY_FUND_CRNCY=USD","FILING_STATUS=MR","FA_ADJUSTED=GAAP","Fill=—")</f>
        <v>8.357175124228279</v>
      </c>
      <c r="AH13" s="21">
        <f>_xll.BDP("CRM US Equity","PROF_MARGIN","EQY_FUND_YEAR=2020","FUND_PER=C1","EQY_FUND_CRNCY=USD","FILING_STATUS=MR","FA_ADJUSTED=GAAP","Fill=—")</f>
        <v>10.48969761841049</v>
      </c>
      <c r="AI13" s="21">
        <f>_xll.BDP("CRM US Equity","PROF_MARGIN","EQY_FUND_YEAR=2020","FUND_PER=C2","EQY_FUND_CRNCY=USD","FILING_STATUS=MR","FA_ADJUSTED=GAAP","Fill=—")</f>
        <v>6.2451512800620632</v>
      </c>
      <c r="AJ13" s="21">
        <f>_xll.BDP("CRM US Equity","PROF_MARGIN","EQY_FUND_YEAR=2020","FUND_PER=C3","EQY_FUND_CRNCY=USD","FILING_STATUS=MR","FA_ADJUSTED=GAAP","Fill=—")</f>
        <v>3.0538090961051685</v>
      </c>
      <c r="AK13" s="21">
        <f>_xll.BDP("CRM US Equity","PROF_MARGIN","EQY_FUND_YEAR=2020","FUND_PER=C4","EQY_FUND_CRNCY=USD","FILING_STATUS=MR","FA_ADJUSTED=GAAP","Fill=—")</f>
        <v>0.73692829570710028</v>
      </c>
      <c r="AL13" s="21">
        <f>_xll.BDP("CRM US Equity","PROF_MARGIN","EQY_FUND_YEAR=2021","FUND_PER=C1","EQY_FUND_CRNCY=USD","FILING_STATUS=MR","FA_ADJUSTED=GAAP","Fill=—")</f>
        <v>2.0349434737923948</v>
      </c>
      <c r="AM13" s="21">
        <f>_xll.BDP("CRM US Equity","PROF_MARGIN","EQY_FUND_YEAR=2021","FUND_PER=C2","EQY_FUND_CRNCY=USD","FILING_STATUS=MR","FA_ADJUSTED=GAAP","Fill=—")</f>
        <v>27.196485623003198</v>
      </c>
      <c r="AN13" s="21">
        <f>_xll.BDP("CRM US Equity","PROF_MARGIN","EQY_FUND_YEAR=2021","FUND_PER=C3","EQY_FUND_CRNCY=USD","FILING_STATUS=MR","FA_ADJUSTED=GAAP","Fill=—")</f>
        <v>24.651765468091998</v>
      </c>
      <c r="AO13" s="21">
        <f>_xll.BDP("CRM US Equity","PROF_MARGIN","EQY_FUND_YEAR=2021","FUND_PER=C4","EQY_FUND_CRNCY=USD","FILING_STATUS=MR","FA_ADJUSTED=GAAP","Fill=—")</f>
        <v>19.160549595332206</v>
      </c>
      <c r="AP13" s="21">
        <f>_xll.BDP("CRM US Equity","PROF_MARGIN","EQY_FUND_YEAR=2022","FUND_PER=C1","EQY_FUND_CRNCY=USD","FILING_STATUS=MR","FA_ADJUSTED=GAAP","Fill=—")</f>
        <v>7.8651685393258424</v>
      </c>
    </row>
    <row r="14" spans="1:42" x14ac:dyDescent="0.2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1:42" x14ac:dyDescent="0.25">
      <c r="A15" s="7" t="s">
        <v>111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x14ac:dyDescent="0.25">
      <c r="A16" s="8" t="s">
        <v>112</v>
      </c>
      <c r="B16" s="8" t="s">
        <v>113</v>
      </c>
      <c r="C16" s="21" t="str">
        <f>_xll.BDP("CRM US Equity","EFF_TAX_RATE","EQY_FUND_YEAR=2012","FUND_PER=C2","EQY_FUND_CRNCY=USD","FILING_STATUS=MR","FA_ADJUSTED=GAAP","Fill=—")</f>
        <v>—</v>
      </c>
      <c r="D16" s="21" t="str">
        <f>_xll.BDP("CRM US Equity","EFF_TAX_RATE","EQY_FUND_YEAR=2012","FUND_PER=C3","EQY_FUND_CRNCY=USD","FILING_STATUS=MR","FA_ADJUSTED=GAAP","Fill=—")</f>
        <v>—</v>
      </c>
      <c r="E16" s="21" t="str">
        <f>_xll.BDP("CRM US Equity","EFF_TAX_RATE","EQY_FUND_YEAR=2012","FUND_PER=C4","EQY_FUND_CRNCY=USD","FILING_STATUS=MR","FA_ADJUSTED=GAAP","Fill=—")</f>
        <v>—</v>
      </c>
      <c r="F16" s="21" t="str">
        <f>_xll.BDP("CRM US Equity","EFF_TAX_RATE","EQY_FUND_YEAR=2013","FUND_PER=C1","EQY_FUND_CRNCY=USD","FILING_STATUS=MR","FA_ADJUSTED=GAAP","Fill=—")</f>
        <v>—</v>
      </c>
      <c r="G16" s="21" t="str">
        <f>_xll.BDP("CRM US Equity","EFF_TAX_RATE","EQY_FUND_YEAR=2013","FUND_PER=C2","EQY_FUND_CRNCY=USD","FILING_STATUS=MR","FA_ADJUSTED=GAAP","Fill=—")</f>
        <v>—</v>
      </c>
      <c r="H16" s="21" t="str">
        <f>_xll.BDP("CRM US Equity","EFF_TAX_RATE","EQY_FUND_YEAR=2013","FUND_PER=C3","EQY_FUND_CRNCY=USD","FILING_STATUS=MR","FA_ADJUSTED=GAAP","Fill=—")</f>
        <v>—</v>
      </c>
      <c r="I16" s="21" t="str">
        <f>_xll.BDP("CRM US Equity","EFF_TAX_RATE","EQY_FUND_YEAR=2013","FUND_PER=C4","EQY_FUND_CRNCY=USD","FILING_STATUS=MR","FA_ADJUSTED=GAAP","Fill=—")</f>
        <v>—</v>
      </c>
      <c r="J16" s="21" t="str">
        <f>_xll.BDP("CRM US Equity","EFF_TAX_RATE","EQY_FUND_YEAR=2014","FUND_PER=C1","EQY_FUND_CRNCY=USD","FILING_STATUS=MR","FA_ADJUSTED=GAAP","Fill=—")</f>
        <v>—</v>
      </c>
      <c r="K16" s="21" t="str">
        <f>_xll.BDP("CRM US Equity","EFF_TAX_RATE","EQY_FUND_YEAR=2014","FUND_PER=C2","EQY_FUND_CRNCY=USD","FILING_STATUS=MR","FA_ADJUSTED=GAAP","Fill=—")</f>
        <v>—</v>
      </c>
      <c r="L16" s="21" t="str">
        <f>_xll.BDP("CRM US Equity","EFF_TAX_RATE","EQY_FUND_YEAR=2014","FUND_PER=C3","EQY_FUND_CRNCY=USD","FILING_STATUS=MR","FA_ADJUSTED=GAAP","Fill=—")</f>
        <v>—</v>
      </c>
      <c r="M16" s="21" t="str">
        <f>_xll.BDP("CRM US Equity","EFF_TAX_RATE","EQY_FUND_YEAR=2014","FUND_PER=C4","EQY_FUND_CRNCY=USD","FILING_STATUS=MR","FA_ADJUSTED=GAAP","Fill=—")</f>
        <v>—</v>
      </c>
      <c r="N16" s="21" t="str">
        <f>_xll.BDP("CRM US Equity","EFF_TAX_RATE","EQY_FUND_YEAR=2015","FUND_PER=C1","EQY_FUND_CRNCY=USD","FILING_STATUS=MR","FA_ADJUSTED=GAAP","Fill=—")</f>
        <v>—</v>
      </c>
      <c r="O16" s="21" t="str">
        <f>_xll.BDP("CRM US Equity","EFF_TAX_RATE","EQY_FUND_YEAR=2015","FUND_PER=C2","EQY_FUND_CRNCY=USD","FILING_STATUS=MR","FA_ADJUSTED=GAAP","Fill=—")</f>
        <v>—</v>
      </c>
      <c r="P16" s="21" t="str">
        <f>_xll.BDP("CRM US Equity","EFF_TAX_RATE","EQY_FUND_YEAR=2015","FUND_PER=C3","EQY_FUND_CRNCY=USD","FILING_STATUS=MR","FA_ADJUSTED=GAAP","Fill=—")</f>
        <v>—</v>
      </c>
      <c r="Q16" s="21" t="str">
        <f>_xll.BDP("CRM US Equity","EFF_TAX_RATE","EQY_FUND_YEAR=2015","FUND_PER=C4","EQY_FUND_CRNCY=USD","FILING_STATUS=MR","FA_ADJUSTED=GAAP","Fill=—")</f>
        <v>—</v>
      </c>
      <c r="R16" s="21">
        <f>_xll.BDP("CRM US Equity","EFF_TAX_RATE","EQY_FUND_YEAR=2016","FUND_PER=C1","EQY_FUND_CRNCY=USD","FILING_STATUS=MR","FA_ADJUSTED=GAAP","Fill=—")</f>
        <v>77.35849056603773</v>
      </c>
      <c r="S16" s="21">
        <f>_xll.BDP("CRM US Equity","EFF_TAX_RATE","EQY_FUND_YEAR=2016","FUND_PER=C2","EQY_FUND_CRNCY=USD","FILING_STATUS=MR","FA_ADJUSTED=GAAP","Fill=—")</f>
        <v>87.056050497383254</v>
      </c>
      <c r="T16" s="21">
        <f>_xll.BDP("CRM US Equity","EFF_TAX_RATE","EQY_FUND_YEAR=2016","FUND_PER=C3","EQY_FUND_CRNCY=USD","FILING_STATUS=MR","FA_ADJUSTED=GAAP","Fill=—")</f>
        <v>132.03209494022389</v>
      </c>
      <c r="U16" s="21">
        <f>_xll.BDP("CRM US Equity","EFF_TAX_RATE","EQY_FUND_YEAR=2016","FUND_PER=C4","EQY_FUND_CRNCY=USD","FILING_STATUS=MR","FA_ADJUSTED=GAAP","Fill=—")</f>
        <v>173.78148384386813</v>
      </c>
      <c r="V16" s="21" t="str">
        <f>_xll.BDP("CRM US Equity","EFF_TAX_RATE","EQY_FUND_YEAR=2017","FUND_PER=C1","EQY_FUND_CRNCY=USD","FILING_STATUS=MR","FA_ADJUSTED=GAAP","Fill=—")</f>
        <v>—</v>
      </c>
      <c r="W16" s="21" t="str">
        <f>_xll.BDP("CRM US Equity","EFF_TAX_RATE","EQY_FUND_YEAR=2017","FUND_PER=C2","EQY_FUND_CRNCY=USD","FILING_STATUS=MR","FA_ADJUSTED=GAAP","Fill=—")</f>
        <v>—</v>
      </c>
      <c r="X16" s="21" t="str">
        <f>_xll.BDP("CRM US Equity","EFF_TAX_RATE","EQY_FUND_YEAR=2017","FUND_PER=C3","EQY_FUND_CRNCY=USD","FILING_STATUS=MR","FA_ADJUSTED=GAAP","Fill=—")</f>
        <v>—</v>
      </c>
      <c r="Y16" s="21" t="str">
        <f>_xll.BDP("CRM US Equity","EFF_TAX_RATE","EQY_FUND_YEAR=2017","FUND_PER=C4","EQY_FUND_CRNCY=USD","FILING_STATUS=MR","FA_ADJUSTED=GAAP","Fill=—")</f>
        <v>—</v>
      </c>
      <c r="Z16" s="21" t="str">
        <f>_xll.BDP("CRM US Equity","EFF_TAX_RATE","EQY_FUND_YEAR=2018","FUND_PER=C1","EQY_FUND_CRNCY=USD","FILING_STATUS=MR","FA_ADJUSTED=GAAP","Fill=—")</f>
        <v>—</v>
      </c>
      <c r="AA16" s="21">
        <f>_xll.BDP("CRM US Equity","EFF_TAX_RATE","EQY_FUND_YEAR=2018","FUND_PER=C2","EQY_FUND_CRNCY=USD","FILING_STATUS=MR","FA_ADJUSTED=GAAP","Fill=—")</f>
        <v>11.320754716981133</v>
      </c>
      <c r="AB16" s="21">
        <f>_xll.BDP("CRM US Equity","EFF_TAX_RATE","EQY_FUND_YEAR=2018","FUND_PER=C3","EQY_FUND_CRNCY=USD","FILING_STATUS=MR","FA_ADJUSTED=GAAP","Fill=—")</f>
        <v>22.613065326633166</v>
      </c>
      <c r="AC16" s="21">
        <f>_xll.BDP("CRM US Equity","EFF_TAX_RATE","EQY_FUND_YEAR=2018","FUND_PER=C4","EQY_FUND_CRNCY=USD","FILING_STATUS=MR","FA_ADJUSTED=GAAP","Fill=—")</f>
        <v>14.285714285714285</v>
      </c>
      <c r="AD16" s="21">
        <f>_xll.BDP("CRM US Equity","EFF_TAX_RATE","EQY_FUND_YEAR=2019","FUND_PER=C1","EQY_FUND_CRNCY=USD","FILING_STATUS=MR","FA_ADJUSTED=GAAP","Fill=—")</f>
        <v>10.649350649350648</v>
      </c>
      <c r="AE16" s="21" t="str">
        <f>_xll.BDP("CRM US Equity","EFF_TAX_RATE","EQY_FUND_YEAR=2019","FUND_PER=C2","EQY_FUND_CRNCY=USD","FILING_STATUS=MR","FA_ADJUSTED=GAAP","Fill=—")</f>
        <v>—</v>
      </c>
      <c r="AF16" s="21" t="str">
        <f>_xll.BDP("CRM US Equity","EFF_TAX_RATE","EQY_FUND_YEAR=2019","FUND_PER=C3","EQY_FUND_CRNCY=USD","FILING_STATUS=MR","FA_ADJUSTED=GAAP","Fill=—")</f>
        <v>—</v>
      </c>
      <c r="AG16" s="21" t="str">
        <f>_xll.BDP("CRM US Equity","EFF_TAX_RATE","EQY_FUND_YEAR=2019","FUND_PER=C4","EQY_FUND_CRNCY=USD","FILING_STATUS=MR","FA_ADJUSTED=GAAP","Fill=—")</f>
        <v>—</v>
      </c>
      <c r="AH16" s="21">
        <f>_xll.BDP("CRM US Equity","EFF_TAX_RATE","EQY_FUND_YEAR=2020","FUND_PER=C1","EQY_FUND_CRNCY=USD","FILING_STATUS=MR","FA_ADJUSTED=GAAP","Fill=—")</f>
        <v>18.672199170124482</v>
      </c>
      <c r="AI16" s="21">
        <f>_xll.BDP("CRM US Equity","EFF_TAX_RATE","EQY_FUND_YEAR=2020","FUND_PER=C2","EQY_FUND_CRNCY=USD","FILING_STATUS=MR","FA_ADJUSTED=GAAP","Fill=—")</f>
        <v>25.232198142414862</v>
      </c>
      <c r="AJ16" s="21">
        <f>_xll.BDP("CRM US Equity","EFF_TAX_RATE","EQY_FUND_YEAR=2020","FUND_PER=C3","EQY_FUND_CRNCY=USD","FILING_STATUS=MR","FA_ADJUSTED=GAAP","Fill=—")</f>
        <v>47.323943661971832</v>
      </c>
      <c r="AK16" s="21">
        <f>_xll.BDP("CRM US Equity","EFF_TAX_RATE","EQY_FUND_YEAR=2020","FUND_PER=C4","EQY_FUND_CRNCY=USD","FILING_STATUS=MR","FA_ADJUSTED=GAAP","Fill=—")</f>
        <v>82.152974504249286</v>
      </c>
      <c r="AL16" s="21" t="str">
        <f>_xll.BDP("CRM US Equity","EFF_TAX_RATE","EQY_FUND_YEAR=2021","FUND_PER=C1","EQY_FUND_CRNCY=USD","FILING_STATUS=MR","FA_ADJUSTED=GAAP","Fill=—")</f>
        <v>—</v>
      </c>
      <c r="AM16" s="21" t="str">
        <f>_xll.BDP("CRM US Equity","EFF_TAX_RATE","EQY_FUND_YEAR=2021","FUND_PER=C2","EQY_FUND_CRNCY=USD","FILING_STATUS=MR","FA_ADJUSTED=GAAP","Fill=—")</f>
        <v>—</v>
      </c>
      <c r="AN16" s="21" t="str">
        <f>_xll.BDP("CRM US Equity","EFF_TAX_RATE","EQY_FUND_YEAR=2021","FUND_PER=C3","EQY_FUND_CRNCY=USD","FILING_STATUS=MR","FA_ADJUSTED=GAAP","Fill=—")</f>
        <v>—</v>
      </c>
      <c r="AO16" s="21" t="str">
        <f>_xll.BDP("CRM US Equity","EFF_TAX_RATE","EQY_FUND_YEAR=2021","FUND_PER=C4","EQY_FUND_CRNCY=USD","FILING_STATUS=MR","FA_ADJUSTED=GAAP","Fill=—")</f>
        <v>—</v>
      </c>
      <c r="AP16" s="21">
        <f>_xll.BDP("CRM US Equity","EFF_TAX_RATE","EQY_FUND_YEAR=2022","FUND_PER=C1","EQY_FUND_CRNCY=USD","FILING_STATUS=MR","FA_ADJUSTED=GAAP","Fill=—")</f>
        <v>22.350993377483444</v>
      </c>
    </row>
    <row r="17" spans="1:42" x14ac:dyDescent="0.25">
      <c r="A17" s="8" t="s">
        <v>114</v>
      </c>
      <c r="B17" s="8" t="s">
        <v>115</v>
      </c>
      <c r="C17" s="21" t="str">
        <f>_xll.BDP("CRM US Equity","DVD_PAYOUT_RATIO","EQY_FUND_YEAR=2012","FUND_PER=C2","EQY_FUND_CRNCY=USD","FILING_STATUS=MR","FA_ADJUSTED=GAAP","Fill=—")</f>
        <v>—</v>
      </c>
      <c r="D17" s="21" t="str">
        <f>_xll.BDP("CRM US Equity","DVD_PAYOUT_RATIO","EQY_FUND_YEAR=2012","FUND_PER=C3","EQY_FUND_CRNCY=USD","FILING_STATUS=MR","FA_ADJUSTED=GAAP","Fill=—")</f>
        <v>—</v>
      </c>
      <c r="E17" s="21" t="str">
        <f>_xll.BDP("CRM US Equity","DVD_PAYOUT_RATIO","EQY_FUND_YEAR=2012","FUND_PER=C4","EQY_FUND_CRNCY=USD","FILING_STATUS=MR","FA_ADJUSTED=GAAP","Fill=—")</f>
        <v>—</v>
      </c>
      <c r="F17" s="21" t="str">
        <f>_xll.BDP("CRM US Equity","DVD_PAYOUT_RATIO","EQY_FUND_YEAR=2013","FUND_PER=C1","EQY_FUND_CRNCY=USD","FILING_STATUS=MR","FA_ADJUSTED=GAAP","Fill=—")</f>
        <v>—</v>
      </c>
      <c r="G17" s="21" t="str">
        <f>_xll.BDP("CRM US Equity","DVD_PAYOUT_RATIO","EQY_FUND_YEAR=2013","FUND_PER=C2","EQY_FUND_CRNCY=USD","FILING_STATUS=MR","FA_ADJUSTED=GAAP","Fill=—")</f>
        <v>—</v>
      </c>
      <c r="H17" s="21" t="str">
        <f>_xll.BDP("CRM US Equity","DVD_PAYOUT_RATIO","EQY_FUND_YEAR=2013","FUND_PER=C3","EQY_FUND_CRNCY=USD","FILING_STATUS=MR","FA_ADJUSTED=GAAP","Fill=—")</f>
        <v>—</v>
      </c>
      <c r="I17" s="21" t="str">
        <f>_xll.BDP("CRM US Equity","DVD_PAYOUT_RATIO","EQY_FUND_YEAR=2013","FUND_PER=C4","EQY_FUND_CRNCY=USD","FILING_STATUS=MR","FA_ADJUSTED=GAAP","Fill=—")</f>
        <v>—</v>
      </c>
      <c r="J17" s="21" t="str">
        <f>_xll.BDP("CRM US Equity","DVD_PAYOUT_RATIO","EQY_FUND_YEAR=2014","FUND_PER=C1","EQY_FUND_CRNCY=USD","FILING_STATUS=MR","FA_ADJUSTED=GAAP","Fill=—")</f>
        <v>—</v>
      </c>
      <c r="K17" s="21">
        <f>_xll.BDP("CRM US Equity","DVD_PAYOUT_RATIO","EQY_FUND_YEAR=2014","FUND_PER=C2","EQY_FUND_CRNCY=USD","FILING_STATUS=MR","FA_ADJUSTED=GAAP","Fill=—")</f>
        <v>0</v>
      </c>
      <c r="L17" s="21" t="str">
        <f>_xll.BDP("CRM US Equity","DVD_PAYOUT_RATIO","EQY_FUND_YEAR=2014","FUND_PER=C3","EQY_FUND_CRNCY=USD","FILING_STATUS=MR","FA_ADJUSTED=GAAP","Fill=—")</f>
        <v>—</v>
      </c>
      <c r="M17" s="21" t="str">
        <f>_xll.BDP("CRM US Equity","DVD_PAYOUT_RATIO","EQY_FUND_YEAR=2014","FUND_PER=C4","EQY_FUND_CRNCY=USD","FILING_STATUS=MR","FA_ADJUSTED=GAAP","Fill=—")</f>
        <v>—</v>
      </c>
      <c r="N17" s="21" t="str">
        <f>_xll.BDP("CRM US Equity","DVD_PAYOUT_RATIO","EQY_FUND_YEAR=2015","FUND_PER=C1","EQY_FUND_CRNCY=USD","FILING_STATUS=MR","FA_ADJUSTED=GAAP","Fill=—")</f>
        <v>—</v>
      </c>
      <c r="O17" s="21" t="str">
        <f>_xll.BDP("CRM US Equity","DVD_PAYOUT_RATIO","EQY_FUND_YEAR=2015","FUND_PER=C2","EQY_FUND_CRNCY=USD","FILING_STATUS=MR","FA_ADJUSTED=GAAP","Fill=—")</f>
        <v>—</v>
      </c>
      <c r="P17" s="21" t="str">
        <f>_xll.BDP("CRM US Equity","DVD_PAYOUT_RATIO","EQY_FUND_YEAR=2015","FUND_PER=C3","EQY_FUND_CRNCY=USD","FILING_STATUS=MR","FA_ADJUSTED=GAAP","Fill=—")</f>
        <v>—</v>
      </c>
      <c r="Q17" s="21" t="str">
        <f>_xll.BDP("CRM US Equity","DVD_PAYOUT_RATIO","EQY_FUND_YEAR=2015","FUND_PER=C4","EQY_FUND_CRNCY=USD","FILING_STATUS=MR","FA_ADJUSTED=GAAP","Fill=—")</f>
        <v>—</v>
      </c>
      <c r="R17" s="21">
        <f>_xll.BDP("CRM US Equity","DVD_PAYOUT_RATIO","EQY_FUND_YEAR=2016","FUND_PER=C1","EQY_FUND_CRNCY=USD","FILING_STATUS=MR","FA_ADJUSTED=GAAP","Fill=—")</f>
        <v>0</v>
      </c>
      <c r="S17" s="21">
        <f>_xll.BDP("CRM US Equity","DVD_PAYOUT_RATIO","EQY_FUND_YEAR=2016","FUND_PER=C2","EQY_FUND_CRNCY=USD","FILING_STATUS=MR","FA_ADJUSTED=GAAP","Fill=—")</f>
        <v>0</v>
      </c>
      <c r="T17" s="21" t="str">
        <f>_xll.BDP("CRM US Equity","DVD_PAYOUT_RATIO","EQY_FUND_YEAR=2016","FUND_PER=C3","EQY_FUND_CRNCY=USD","FILING_STATUS=MR","FA_ADJUSTED=GAAP","Fill=—")</f>
        <v>—</v>
      </c>
      <c r="U17" s="21" t="str">
        <f>_xll.BDP("CRM US Equity","DVD_PAYOUT_RATIO","EQY_FUND_YEAR=2016","FUND_PER=C4","EQY_FUND_CRNCY=USD","FILING_STATUS=MR","FA_ADJUSTED=GAAP","Fill=—")</f>
        <v>—</v>
      </c>
      <c r="V17" s="21">
        <f>_xll.BDP("CRM US Equity","DVD_PAYOUT_RATIO","EQY_FUND_YEAR=2017","FUND_PER=C1","EQY_FUND_CRNCY=USD","FILING_STATUS=MR","FA_ADJUSTED=GAAP","Fill=—")</f>
        <v>0</v>
      </c>
      <c r="W17" s="21">
        <f>_xll.BDP("CRM US Equity","DVD_PAYOUT_RATIO","EQY_FUND_YEAR=2017","FUND_PER=C2","EQY_FUND_CRNCY=USD","FILING_STATUS=MR","FA_ADJUSTED=GAAP","Fill=—")</f>
        <v>0</v>
      </c>
      <c r="X17" s="21">
        <f>_xll.BDP("CRM US Equity","DVD_PAYOUT_RATIO","EQY_FUND_YEAR=2017","FUND_PER=C3","EQY_FUND_CRNCY=USD","FILING_STATUS=MR","FA_ADJUSTED=GAAP","Fill=—")</f>
        <v>0</v>
      </c>
      <c r="Y17" s="21">
        <f>_xll.BDP("CRM US Equity","DVD_PAYOUT_RATIO","EQY_FUND_YEAR=2017","FUND_PER=C4","EQY_FUND_CRNCY=USD","FILING_STATUS=MR","FA_ADJUSTED=GAAP","Fill=—")</f>
        <v>0</v>
      </c>
      <c r="Z17" s="21">
        <f>_xll.BDP("CRM US Equity","DVD_PAYOUT_RATIO","EQY_FUND_YEAR=2018","FUND_PER=C1","EQY_FUND_CRNCY=USD","FILING_STATUS=MR","FA_ADJUSTED=GAAP","Fill=—")</f>
        <v>0</v>
      </c>
      <c r="AA17" s="21">
        <f>_xll.BDP("CRM US Equity","DVD_PAYOUT_RATIO","EQY_FUND_YEAR=2018","FUND_PER=C2","EQY_FUND_CRNCY=USD","FILING_STATUS=MR","FA_ADJUSTED=GAAP","Fill=—")</f>
        <v>0</v>
      </c>
      <c r="AB17" s="21">
        <f>_xll.BDP("CRM US Equity","DVD_PAYOUT_RATIO","EQY_FUND_YEAR=2018","FUND_PER=C3","EQY_FUND_CRNCY=USD","FILING_STATUS=MR","FA_ADJUSTED=GAAP","Fill=—")</f>
        <v>0</v>
      </c>
      <c r="AC17" s="21">
        <f>_xll.BDP("CRM US Equity","DVD_PAYOUT_RATIO","EQY_FUND_YEAR=2018","FUND_PER=C4","EQY_FUND_CRNCY=USD","FILING_STATUS=MR","FA_ADJUSTED=GAAP","Fill=—")</f>
        <v>0</v>
      </c>
      <c r="AD17" s="21">
        <f>_xll.BDP("CRM US Equity","DVD_PAYOUT_RATIO","EQY_FUND_YEAR=2019","FUND_PER=C1","EQY_FUND_CRNCY=USD","FILING_STATUS=MR","FA_ADJUSTED=GAAP","Fill=—")</f>
        <v>0</v>
      </c>
      <c r="AE17" s="21">
        <f>_xll.BDP("CRM US Equity","DVD_PAYOUT_RATIO","EQY_FUND_YEAR=2019","FUND_PER=C2","EQY_FUND_CRNCY=USD","FILING_STATUS=MR","FA_ADJUSTED=GAAP","Fill=—")</f>
        <v>0</v>
      </c>
      <c r="AF17" s="21">
        <f>_xll.BDP("CRM US Equity","DVD_PAYOUT_RATIO","EQY_FUND_YEAR=2019","FUND_PER=C3","EQY_FUND_CRNCY=USD","FILING_STATUS=MR","FA_ADJUSTED=GAAP","Fill=—")</f>
        <v>0</v>
      </c>
      <c r="AG17" s="21">
        <f>_xll.BDP("CRM US Equity","DVD_PAYOUT_RATIO","EQY_FUND_YEAR=2019","FUND_PER=C4","EQY_FUND_CRNCY=USD","FILING_STATUS=MR","FA_ADJUSTED=GAAP","Fill=—")</f>
        <v>0</v>
      </c>
      <c r="AH17" s="21">
        <f>_xll.BDP("CRM US Equity","DVD_PAYOUT_RATIO","EQY_FUND_YEAR=2020","FUND_PER=C1","EQY_FUND_CRNCY=USD","FILING_STATUS=MR","FA_ADJUSTED=GAAP","Fill=—")</f>
        <v>0</v>
      </c>
      <c r="AI17" s="21">
        <f>_xll.BDP("CRM US Equity","DVD_PAYOUT_RATIO","EQY_FUND_YEAR=2020","FUND_PER=C2","EQY_FUND_CRNCY=USD","FILING_STATUS=MR","FA_ADJUSTED=GAAP","Fill=—")</f>
        <v>0</v>
      </c>
      <c r="AJ17" s="21">
        <f>_xll.BDP("CRM US Equity","DVD_PAYOUT_RATIO","EQY_FUND_YEAR=2020","FUND_PER=C3","EQY_FUND_CRNCY=USD","FILING_STATUS=MR","FA_ADJUSTED=GAAP","Fill=—")</f>
        <v>0</v>
      </c>
      <c r="AK17" s="21">
        <f>_xll.BDP("CRM US Equity","DVD_PAYOUT_RATIO","EQY_FUND_YEAR=2020","FUND_PER=C4","EQY_FUND_CRNCY=USD","FILING_STATUS=MR","FA_ADJUSTED=GAAP","Fill=—")</f>
        <v>0</v>
      </c>
      <c r="AL17" s="21">
        <f>_xll.BDP("CRM US Equity","DVD_PAYOUT_RATIO","EQY_FUND_YEAR=2021","FUND_PER=C1","EQY_FUND_CRNCY=USD","FILING_STATUS=MR","FA_ADJUSTED=GAAP","Fill=—")</f>
        <v>0</v>
      </c>
      <c r="AM17" s="21">
        <f>_xll.BDP("CRM US Equity","DVD_PAYOUT_RATIO","EQY_FUND_YEAR=2021","FUND_PER=C2","EQY_FUND_CRNCY=USD","FILING_STATUS=MR","FA_ADJUSTED=GAAP","Fill=—")</f>
        <v>0</v>
      </c>
      <c r="AN17" s="21">
        <f>_xll.BDP("CRM US Equity","DVD_PAYOUT_RATIO","EQY_FUND_YEAR=2021","FUND_PER=C3","EQY_FUND_CRNCY=USD","FILING_STATUS=MR","FA_ADJUSTED=GAAP","Fill=—")</f>
        <v>0</v>
      </c>
      <c r="AO17" s="21">
        <f>_xll.BDP("CRM US Equity","DVD_PAYOUT_RATIO","EQY_FUND_YEAR=2021","FUND_PER=C4","EQY_FUND_CRNCY=USD","FILING_STATUS=MR","FA_ADJUSTED=GAAP","Fill=—")</f>
        <v>0</v>
      </c>
      <c r="AP17" s="21">
        <f>_xll.BDP("CRM US Equity","DVD_PAYOUT_RATIO","EQY_FUND_YEAR=2022","FUND_PER=C1","EQY_FUND_CRNCY=USD","FILING_STATUS=MR","FA_ADJUSTED=GAAP","Fill=—")</f>
        <v>0</v>
      </c>
    </row>
    <row r="18" spans="1:42" x14ac:dyDescent="0.25">
      <c r="A18" s="15" t="s">
        <v>118</v>
      </c>
      <c r="B18" s="15"/>
      <c r="C18" s="15" t="s"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193</v>
      </c>
      <c r="B6" s="8" t="s">
        <v>192</v>
      </c>
      <c r="C6" s="21">
        <f>_xll.BDH("CRM US Equity","CASH_RATIO","FQ2 2012","FQ2 2012","Currency=USD","Period=FQ","BEST_FPERIOD_OVERRIDE=FQ","FILING_STATUS=MR","Sort=A","Dates=H","DateFormat=P","Fill=—","Direction=H","UseDPDF=Y")</f>
        <v>0.31830000000000003</v>
      </c>
      <c r="D6" s="21">
        <f>_xll.BDH("CRM US Equity","CASH_RATIO","FQ3 2012","FQ3 2012","Currency=USD","Period=FQ","BEST_FPERIOD_OVERRIDE=FQ","FILING_STATUS=MR","Sort=A","Dates=H","DateFormat=P","Fill=—","Direction=H","UseDPDF=Y")</f>
        <v>0.35239999999999999</v>
      </c>
      <c r="E6" s="21" t="str">
        <f>_xll.BDH("CRM US Equity","CASH_RATIO","FQ4 2012","FQ4 2012","Currency=USD","Period=FQ","BEST_FPERIOD_OVERRIDE=FQ","FILING_STATUS=MR","Sort=A","Dates=H","DateFormat=P","Fill=—","Direction=H","UseDPDF=Y")</f>
        <v>#N/A Requesting Data...</v>
      </c>
      <c r="F6" s="21">
        <f>_xll.BDH("CRM US Equity","CASH_RATIO","FQ1 2013","FQ1 2013","Currency=USD","Period=FQ","BEST_FPERIOD_OVERRIDE=FQ","FILING_STATUS=MR","Sort=A","Dates=H","DateFormat=P","Fill=—","Direction=H","UseDPDF=Y")</f>
        <v>0.42359999999999998</v>
      </c>
      <c r="G6" s="21">
        <f>_xll.BDH("CRM US Equity","CASH_RATIO","FQ2 2013","FQ2 2013","Currency=USD","Period=FQ","BEST_FPERIOD_OVERRIDE=FQ","FILING_STATUS=MR","Sort=A","Dates=H","DateFormat=P","Fill=—","Direction=H","UseDPDF=Y")</f>
        <v>0.47560000000000002</v>
      </c>
      <c r="H6" s="21">
        <f>_xll.BDH("CRM US Equity","CASH_RATIO","FQ3 2013","FQ3 2013","Currency=USD","Period=FQ","BEST_FPERIOD_OVERRIDE=FQ","FILING_STATUS=MR","Sort=A","Dates=H","DateFormat=P","Fill=—","Direction=H","UseDPDF=Y")</f>
        <v>0.26069999999999999</v>
      </c>
      <c r="I6" s="21">
        <f>_xll.BDH("CRM US Equity","CASH_RATIO","FQ4 2013","FQ4 2013","Currency=USD","Period=FQ","BEST_FPERIOD_OVERRIDE=FQ","FILING_STATUS=MR","Sort=A","Dates=H","DateFormat=P","Fill=—","Direction=H","UseDPDF=Y")</f>
        <v>0.2974</v>
      </c>
      <c r="J6" s="21">
        <f>_xll.BDH("CRM US Equity","CASH_RATIO","FQ1 2014","FQ1 2014","Currency=USD","Period=FQ","BEST_FPERIOD_OVERRIDE=FQ","FILING_STATUS=MR","Sort=A","Dates=H","DateFormat=P","Fill=—","Direction=H","UseDPDF=Y")</f>
        <v>0.76929999999999998</v>
      </c>
      <c r="K6" s="21">
        <f>_xll.BDH("CRM US Equity","CASH_RATIO","FQ2 2014","FQ2 2014","Currency=USD","Period=FQ","BEST_FPERIOD_OVERRIDE=FQ","FILING_STATUS=MR","Sort=A","Dates=H","DateFormat=P","Fill=—","Direction=H","UseDPDF=Y")</f>
        <v>0.20349999999999999</v>
      </c>
      <c r="L6" s="21" t="str">
        <f>_xll.BDH("CRM US Equity","CASH_RATIO","FQ3 2014","FQ3 2014","Currency=USD","Period=FQ","BEST_FPERIOD_OVERRIDE=FQ","FILING_STATUS=MR","Sort=A","Dates=H","DateFormat=P","Fill=—","Direction=H","UseDPDF=Y")</f>
        <v>#N/A Requesting Data...</v>
      </c>
      <c r="M6" s="21" t="str">
        <f>_xll.BDH("CRM US Equity","CASH_RATIO","FQ4 2014","FQ4 2014","Currency=USD","Period=FQ","BEST_FPERIOD_OVERRIDE=FQ","FILING_STATUS=MR","Sort=A","Dates=H","DateFormat=P","Fill=—","Direction=H","UseDPDF=Y")</f>
        <v>#N/A Requesting Data...</v>
      </c>
      <c r="N6" s="21" t="str">
        <f>_xll.BDH("CRM US Equity","CASH_RATIO","FQ1 2015","FQ1 2015","Currency=USD","Period=FQ","BEST_FPERIOD_OVERRIDE=FQ","FILING_STATUS=MR","Sort=A","Dates=H","DateFormat=P","Fill=—","Direction=H","UseDPDF=Y")</f>
        <v>#N/A Requesting Data...</v>
      </c>
      <c r="O6" s="21" t="str">
        <f>_xll.BDH("CRM US Equity","CASH_RATIO","FQ2 2015","FQ2 2015","Currency=USD","Period=FQ","BEST_FPERIOD_OVERRIDE=FQ","FILING_STATUS=MR","Sort=A","Dates=H","DateFormat=P","Fill=—","Direction=H","UseDPDF=Y")</f>
        <v>#N/A Requesting Data...</v>
      </c>
      <c r="P6" s="21">
        <f>_xll.BDH("CRM US Equity","CASH_RATIO","FQ3 2015","FQ3 2015","Currency=USD","Period=FQ","BEST_FPERIOD_OVERRIDE=FQ","FILING_STATUS=MR","Sort=A","Dates=H","DateFormat=P","Fill=—","Direction=H","UseDPDF=Y")</f>
        <v>0.27989999999999998</v>
      </c>
      <c r="Q6" s="21" t="str">
        <f>_xll.BDH("CRM US Equity","CASH_RATIO","FQ4 2015","FQ4 2015","Currency=USD","Period=FQ","BEST_FPERIOD_OVERRIDE=FQ","FILING_STATUS=MR","Sort=A","Dates=H","DateFormat=P","Fill=—","Direction=H","UseDPDF=Y")</f>
        <v>#N/A Requesting Data...</v>
      </c>
      <c r="R6" s="21">
        <f>_xll.BDH("CRM US Equity","CASH_RATIO","FQ1 2016","FQ1 2016","Currency=USD","Period=FQ","BEST_FPERIOD_OVERRIDE=FQ","FILING_STATUS=MR","Sort=A","Dates=H","DateFormat=P","Fill=—","Direction=H","UseDPDF=Y")</f>
        <v>0.25729999999999997</v>
      </c>
      <c r="S6" s="21">
        <f>_xll.BDH("CRM US Equity","CASH_RATIO","FQ2 2016","FQ2 2016","Currency=USD","Period=FQ","BEST_FPERIOD_OVERRIDE=FQ","FILING_STATUS=MR","Sort=A","Dates=H","DateFormat=P","Fill=—","Direction=H","UseDPDF=Y")</f>
        <v>0.28460000000000002</v>
      </c>
      <c r="T6" s="21">
        <f>_xll.BDH("CRM US Equity","CASH_RATIO","FQ3 2016","FQ3 2016","Currency=USD","Period=FQ","BEST_FPERIOD_OVERRIDE=FQ","FILING_STATUS=MR","Sort=A","Dates=H","DateFormat=P","Fill=—","Direction=H","UseDPDF=Y")</f>
        <v>0.34150000000000003</v>
      </c>
      <c r="U6" s="21">
        <f>_xll.BDH("CRM US Equity","CASH_RATIO","FQ4 2016","FQ4 2016","Currency=USD","Period=FQ","BEST_FPERIOD_OVERRIDE=FQ","FILING_STATUS=MR","Sort=A","Dates=H","DateFormat=P","Fill=—","Direction=H","UseDPDF=Y")</f>
        <v>0.48520000000000002</v>
      </c>
      <c r="V6" s="21">
        <f>_xll.BDH("CRM US Equity","CASH_RATIO","FQ1 2017","FQ1 2017","Currency=USD","Period=FQ","BEST_FPERIOD_OVERRIDE=FQ","FILING_STATUS=MR","Sort=A","Dates=H","DateFormat=P","Fill=—","Direction=H","UseDPDF=Y")</f>
        <v>0.39939999999999998</v>
      </c>
      <c r="W6" s="21" t="str">
        <f>_xll.BDH("CRM US Equity","CASH_RATIO","FQ2 2017","FQ2 2017","Currency=USD","Period=FQ","BEST_FPERIOD_OVERRIDE=FQ","FILING_STATUS=MR","Sort=A","Dates=H","DateFormat=P","Fill=—","Direction=H","UseDPDF=Y")</f>
        <v>#N/A Requesting Data...</v>
      </c>
      <c r="X6" s="21" t="str">
        <f>_xll.BDH("CRM US Equity","CASH_RATIO","FQ3 2017","FQ3 2017","Currency=USD","Period=FQ","BEST_FPERIOD_OVERRIDE=FQ","FILING_STATUS=MR","Sort=A","Dates=H","DateFormat=P","Fill=—","Direction=H","UseDPDF=Y")</f>
        <v>#N/A Requesting Data...</v>
      </c>
      <c r="Y6" s="21" t="str">
        <f>_xll.BDH("CRM US Equity","CASH_RATIO","FQ4 2017","FQ4 2017","Currency=USD","Period=FQ","BEST_FPERIOD_OVERRIDE=FQ","FILING_STATUS=MR","Sort=A","Dates=H","DateFormat=P","Fill=—","Direction=H","UseDPDF=Y")</f>
        <v>#N/A Requesting Data...</v>
      </c>
      <c r="Z6" s="21" t="str">
        <f>_xll.BDH("CRM US Equity","CASH_RATIO","FQ1 2018","FQ1 2018","Currency=USD","Period=FQ","BEST_FPERIOD_OVERRIDE=FQ","FILING_STATUS=MR","Sort=A","Dates=H","DateFormat=P","Fill=—","Direction=H","UseDPDF=Y")</f>
        <v>#N/A Requesting Data...</v>
      </c>
      <c r="AA6" s="21">
        <f>_xll.BDH("CRM US Equity","CASH_RATIO","FQ2 2018","FQ2 2018","Currency=USD","Period=FQ","BEST_FPERIOD_OVERRIDE=FQ","FILING_STATUS=MR","Sort=A","Dates=H","DateFormat=P","Fill=—","Direction=H","UseDPDF=Y")</f>
        <v>0.4652</v>
      </c>
      <c r="AB6" s="21">
        <f>_xll.BDH("CRM US Equity","CASH_RATIO","FQ3 2018","FQ3 2018","Currency=USD","Period=FQ","BEST_FPERIOD_OVERRIDE=FQ","FILING_STATUS=MR","Sort=A","Dates=H","DateFormat=P","Fill=—","Direction=H","UseDPDF=Y")</f>
        <v>0.50280000000000002</v>
      </c>
      <c r="AC6" s="21" t="str">
        <f>_xll.BDH("CRM US Equity","CASH_RATIO","FQ4 2018","FQ4 2018","Currency=USD","Period=FQ","BEST_FPERIOD_OVERRIDE=FQ","FILING_STATUS=MR","Sort=A","Dates=H","DateFormat=P","Fill=—","Direction=H","UseDPDF=Y")</f>
        <v>#N/A Requesting Data...</v>
      </c>
      <c r="AD6" s="21">
        <f>_xll.BDH("CRM US Equity","CASH_RATIO","FQ1 2019","FQ1 2019","Currency=USD","Period=FQ","BEST_FPERIOD_OVERRIDE=FQ","FILING_STATUS=MR","Sort=A","Dates=H","DateFormat=P","Fill=—","Direction=H","UseDPDF=Y")</f>
        <v>0.90680000000000005</v>
      </c>
      <c r="AE6" s="21">
        <f>_xll.BDH("CRM US Equity","CASH_RATIO","FQ2 2019","FQ2 2019","Currency=USD","Period=FQ","BEST_FPERIOD_OVERRIDE=FQ","FILING_STATUS=MR","Sort=A","Dates=H","DateFormat=P","Fill=—","Direction=H","UseDPDF=Y")</f>
        <v>0.4047</v>
      </c>
      <c r="AF6" s="21">
        <f>_xll.BDH("CRM US Equity","CASH_RATIO","FQ3 2019","FQ3 2019","Currency=USD","Period=FQ","BEST_FPERIOD_OVERRIDE=FQ","FILING_STATUS=MR","Sort=A","Dates=H","DateFormat=P","Fill=—","Direction=H","UseDPDF=Y")</f>
        <v>0.43009999999999998</v>
      </c>
      <c r="AG6" s="21">
        <f>_xll.BDH("CRM US Equity","CASH_RATIO","FQ4 2019","FQ4 2019","Currency=USD","Period=FQ","BEST_FPERIOD_OVERRIDE=FQ","FILING_STATUS=MR","Sort=A","Dates=H","DateFormat=P","Fill=—","Direction=H","UseDPDF=Y")</f>
        <v>0.38569999999999999</v>
      </c>
      <c r="AH6" s="21">
        <f>_xll.BDH("CRM US Equity","CASH_RATIO","FQ1 2020","FQ1 2020","Currency=USD","Period=FQ","BEST_FPERIOD_OVERRIDE=FQ","FILING_STATUS=MR","Sort=A","Dates=H","DateFormat=P","Fill=—","Direction=H","UseDPDF=Y")</f>
        <v>0.60799999999999998</v>
      </c>
      <c r="AI6" s="21" t="str">
        <f>_xll.BDH("CRM US Equity","CASH_RATIO","FQ2 2020","FQ2 2020","Currency=USD","Period=FQ","BEST_FPERIOD_OVERRIDE=FQ","FILING_STATUS=MR","Sort=A","Dates=H","DateFormat=P","Fill=—","Direction=H","UseDPDF=Y")</f>
        <v>#N/A Requesting Data...</v>
      </c>
      <c r="AJ6" s="21" t="str">
        <f>_xll.BDH("CRM US Equity","CASH_RATIO","FQ3 2020","FQ3 2020","Currency=USD","Period=FQ","BEST_FPERIOD_OVERRIDE=FQ","FILING_STATUS=MR","Sort=A","Dates=H","DateFormat=P","Fill=—","Direction=H","UseDPDF=Y")</f>
        <v>#N/A Requesting Data...</v>
      </c>
      <c r="AK6" s="21" t="str">
        <f>_xll.BDH("CRM US Equity","CASH_RATIO","FQ4 2020","FQ4 2020","Currency=USD","Period=FQ","BEST_FPERIOD_OVERRIDE=FQ","FILING_STATUS=MR","Sort=A","Dates=H","DateFormat=P","Fill=—","Direction=H","UseDPDF=Y")</f>
        <v>#N/A Requesting Data...</v>
      </c>
      <c r="AL6" s="21" t="str">
        <f>_xll.BDH("CRM US Equity","CASH_RATIO","FQ1 2021","FQ1 2021","Currency=USD","Period=FQ","BEST_FPERIOD_OVERRIDE=FQ","FILING_STATUS=MR","Sort=A","Dates=H","DateFormat=P","Fill=—","Direction=H","UseDPDF=Y")</f>
        <v>#N/A Requesting Data...</v>
      </c>
      <c r="AM6" s="21" t="str">
        <f>_xll.BDH("CRM US Equity","CASH_RATIO","FQ2 2021","FQ2 2021","Currency=USD","Period=FQ","BEST_FPERIOD_OVERRIDE=FQ","FILING_STATUS=MR","Sort=A","Dates=H","DateFormat=P","Fill=—","Direction=H","UseDPDF=Y")</f>
        <v>#N/A Requesting Data...</v>
      </c>
      <c r="AN6" s="21" t="str">
        <f>_xll.BDH("CRM US Equity","CASH_RATIO","FQ3 2021","FQ3 2021","Currency=USD","Period=FQ","BEST_FPERIOD_OVERRIDE=FQ","FILING_STATUS=MR","Sort=A","Dates=H","DateFormat=P","Fill=—","Direction=H","UseDPDF=Y")</f>
        <v>#N/A Requesting Data...</v>
      </c>
      <c r="AO6" s="21" t="str">
        <f>_xll.BDH("CRM US Equity","CASH_RATIO","FQ4 2021","FQ4 2021","Currency=USD","Period=FQ","BEST_FPERIOD_OVERRIDE=FQ","FILING_STATUS=MR","Sort=A","Dates=H","DateFormat=P","Fill=—","Direction=H","UseDPDF=Y")</f>
        <v>#N/A Requesting Data...</v>
      </c>
      <c r="AP6" s="21">
        <f>_xll.BDH("CRM US Equity","CASH_RATIO","FQ1 2022","FQ1 2022","Currency=USD","Period=FQ","BEST_FPERIOD_OVERRIDE=FQ","FILING_STATUS=MR","Sort=A","Dates=H","DateFormat=P","Fill=—","Direction=H","UseDPDF=Y")</f>
        <v>0.98019999999999996</v>
      </c>
    </row>
    <row r="7" spans="1:42" x14ac:dyDescent="0.25">
      <c r="A7" s="8" t="s">
        <v>191</v>
      </c>
      <c r="B7" s="8" t="s">
        <v>190</v>
      </c>
      <c r="C7" s="21">
        <f>_xll.BDH("CRM US Equity","CUR_RATIO","FQ2 2012","FQ2 2012","Currency=USD","Period=FQ","BEST_FPERIOD_OVERRIDE=FQ","FILING_STATUS=MR","Sort=A","Dates=H","DateFormat=P","Fill=—","Direction=H","UseDPDF=Y")</f>
        <v>0.61450000000000005</v>
      </c>
      <c r="D7" s="21">
        <f>_xll.BDH("CRM US Equity","CUR_RATIO","FQ3 2012","FQ3 2012","Currency=USD","Period=FQ","BEST_FPERIOD_OVERRIDE=FQ","FILING_STATUS=MR","Sort=A","Dates=H","DateFormat=P","Fill=—","Direction=H","UseDPDF=Y")</f>
        <v>0.62660000000000005</v>
      </c>
      <c r="E7" s="21">
        <f>_xll.BDH("CRM US Equity","CUR_RATIO","FQ4 2012","FQ4 2012","Currency=USD","Period=FQ","BEST_FPERIOD_OVERRIDE=FQ","FILING_STATUS=MR","Sort=A","Dates=H","DateFormat=P","Fill=—","Direction=H","UseDPDF=Y")</f>
        <v>0.72699999999999998</v>
      </c>
      <c r="F7" s="21" t="str">
        <f>_xll.BDH("CRM US Equity","CUR_RATIO","FQ1 2013","FQ1 2013","Currency=USD","Period=FQ","BEST_FPERIOD_OVERRIDE=FQ","FILING_STATUS=MR","Sort=A","Dates=H","DateFormat=P","Fill=—","Direction=H","UseDPDF=Y")</f>
        <v>#N/A Requesting Data...</v>
      </c>
      <c r="G7" s="21" t="str">
        <f>_xll.BDH("CRM US Equity","CUR_RATIO","FQ2 2013","FQ2 2013","Currency=USD","Period=FQ","BEST_FPERIOD_OVERRIDE=FQ","FILING_STATUS=MR","Sort=A","Dates=H","DateFormat=P","Fill=—","Direction=H","UseDPDF=Y")</f>
        <v>#N/A Requesting Data...</v>
      </c>
      <c r="H7" s="21" t="str">
        <f>_xll.BDH("CRM US Equity","CUR_RATIO","FQ3 2013","FQ3 2013","Currency=USD","Period=FQ","BEST_FPERIOD_OVERRIDE=FQ","FILING_STATUS=MR","Sort=A","Dates=H","DateFormat=P","Fill=—","Direction=H","UseDPDF=Y")</f>
        <v>#N/A Requesting Data...</v>
      </c>
      <c r="I7" s="21" t="str">
        <f>_xll.BDH("CRM US Equity","CUR_RATIO","FQ4 2013","FQ4 2013","Currency=USD","Period=FQ","BEST_FPERIOD_OVERRIDE=FQ","FILING_STATUS=MR","Sort=A","Dates=H","DateFormat=P","Fill=—","Direction=H","UseDPDF=Y")</f>
        <v>#N/A Requesting Data...</v>
      </c>
      <c r="J7" s="21" t="str">
        <f>_xll.BDH("CRM US Equity","CUR_RATIO","FQ1 2014","FQ1 2014","Currency=USD","Period=FQ","BEST_FPERIOD_OVERRIDE=FQ","FILING_STATUS=MR","Sort=A","Dates=H","DateFormat=P","Fill=—","Direction=H","UseDPDF=Y")</f>
        <v>#N/A Requesting Data...</v>
      </c>
      <c r="K7" s="21">
        <f>_xll.BDH("CRM US Equity","CUR_RATIO","FQ2 2014","FQ2 2014","Currency=USD","Period=FQ","BEST_FPERIOD_OVERRIDE=FQ","FILING_STATUS=MR","Sort=A","Dates=H","DateFormat=P","Fill=—","Direction=H","UseDPDF=Y")</f>
        <v>0.5544</v>
      </c>
      <c r="L7" s="21" t="str">
        <f>_xll.BDH("CRM US Equity","CUR_RATIO","FQ3 2014","FQ3 2014","Currency=USD","Period=FQ","BEST_FPERIOD_OVERRIDE=FQ","FILING_STATUS=MR","Sort=A","Dates=H","DateFormat=P","Fill=—","Direction=H","UseDPDF=Y")</f>
        <v>#N/A Requesting Data...</v>
      </c>
      <c r="M7" s="21" t="str">
        <f>_xll.BDH("CRM US Equity","CUR_RATIO","FQ4 2014","FQ4 2014","Currency=USD","Period=FQ","BEST_FPERIOD_OVERRIDE=FQ","FILING_STATUS=MR","Sort=A","Dates=H","DateFormat=P","Fill=—","Direction=H","UseDPDF=Y")</f>
        <v>#N/A Requesting Data...</v>
      </c>
      <c r="N7" s="21">
        <f>_xll.BDH("CRM US Equity","CUR_RATIO","FQ1 2015","FQ1 2015","Currency=USD","Period=FQ","BEST_FPERIOD_OVERRIDE=FQ","FILING_STATUS=MR","Sort=A","Dates=H","DateFormat=P","Fill=—","Direction=H","UseDPDF=Y")</f>
        <v>0.60699999999999998</v>
      </c>
      <c r="O7" s="21">
        <f>_xll.BDH("CRM US Equity","CUR_RATIO","FQ2 2015","FQ2 2015","Currency=USD","Period=FQ","BEST_FPERIOD_OVERRIDE=FQ","FILING_STATUS=MR","Sort=A","Dates=H","DateFormat=P","Fill=—","Direction=H","UseDPDF=Y")</f>
        <v>0.65800000000000003</v>
      </c>
      <c r="P7" s="21">
        <f>_xll.BDH("CRM US Equity","CUR_RATIO","FQ3 2015","FQ3 2015","Currency=USD","Period=FQ","BEST_FPERIOD_OVERRIDE=FQ","FILING_STATUS=MR","Sort=A","Dates=H","DateFormat=P","Fill=—","Direction=H","UseDPDF=Y")</f>
        <v>0.73729999999999996</v>
      </c>
      <c r="Q7" s="21">
        <f>_xll.BDH("CRM US Equity","CUR_RATIO","FQ4 2015","FQ4 2015","Currency=USD","Period=FQ","BEST_FPERIOD_OVERRIDE=FQ","FILING_STATUS=MR","Sort=A","Dates=H","DateFormat=P","Fill=—","Direction=H","UseDPDF=Y")</f>
        <v>0.80059999999999998</v>
      </c>
      <c r="R7" s="21" t="str">
        <f>_xll.BDH("CRM US Equity","CUR_RATIO","FQ1 2016","FQ1 2016","Currency=USD","Period=FQ","BEST_FPERIOD_OVERRIDE=FQ","FILING_STATUS=MR","Sort=A","Dates=H","DateFormat=P","Fill=—","Direction=H","UseDPDF=Y")</f>
        <v>#N/A Requesting Data...</v>
      </c>
      <c r="S7" s="21">
        <f>_xll.BDH("CRM US Equity","CUR_RATIO","FQ2 2016","FQ2 2016","Currency=USD","Period=FQ","BEST_FPERIOD_OVERRIDE=FQ","FILING_STATUS=MR","Sort=A","Dates=H","DateFormat=P","Fill=—","Direction=H","UseDPDF=Y")</f>
        <v>0.70920000000000005</v>
      </c>
      <c r="T7" s="21" t="str">
        <f>_xll.BDH("CRM US Equity","CUR_RATIO","FQ3 2016","FQ3 2016","Currency=USD","Period=FQ","BEST_FPERIOD_OVERRIDE=FQ","FILING_STATUS=MR","Sort=A","Dates=H","DateFormat=P","Fill=—","Direction=H","UseDPDF=Y")</f>
        <v>#N/A Requesting Data...</v>
      </c>
      <c r="U7" s="21" t="str">
        <f>_xll.BDH("CRM US Equity","CUR_RATIO","FQ4 2016","FQ4 2016","Currency=USD","Period=FQ","BEST_FPERIOD_OVERRIDE=FQ","FILING_STATUS=MR","Sort=A","Dates=H","DateFormat=P","Fill=—","Direction=H","UseDPDF=Y")</f>
        <v>#N/A Requesting Data...</v>
      </c>
      <c r="V7" s="21" t="str">
        <f>_xll.BDH("CRM US Equity","CUR_RATIO","FQ1 2017","FQ1 2017","Currency=USD","Period=FQ","BEST_FPERIOD_OVERRIDE=FQ","FILING_STATUS=MR","Sort=A","Dates=H","DateFormat=P","Fill=—","Direction=H","UseDPDF=Y")</f>
        <v>#N/A Requesting Data...</v>
      </c>
      <c r="W7" s="21">
        <f>_xll.BDH("CRM US Equity","CUR_RATIO","FQ2 2017","FQ2 2017","Currency=USD","Period=FQ","BEST_FPERIOD_OVERRIDE=FQ","FILING_STATUS=MR","Sort=A","Dates=H","DateFormat=P","Fill=—","Direction=H","UseDPDF=Y")</f>
        <v>0.60970000000000002</v>
      </c>
      <c r="X7" s="21" t="str">
        <f>_xll.BDH("CRM US Equity","CUR_RATIO","FQ3 2017","FQ3 2017","Currency=USD","Period=FQ","BEST_FPERIOD_OVERRIDE=FQ","FILING_STATUS=MR","Sort=A","Dates=H","DateFormat=P","Fill=—","Direction=H","UseDPDF=Y")</f>
        <v>#N/A Requesting Data...</v>
      </c>
      <c r="Y7" s="21" t="str">
        <f>_xll.BDH("CRM US Equity","CUR_RATIO","FQ4 2017","FQ4 2017","Currency=USD","Period=FQ","BEST_FPERIOD_OVERRIDE=FQ","FILING_STATUS=MR","Sort=A","Dates=H","DateFormat=P","Fill=—","Direction=H","UseDPDF=Y")</f>
        <v>#N/A Requesting Data...</v>
      </c>
      <c r="Z7" s="21">
        <f>_xll.BDH("CRM US Equity","CUR_RATIO","FQ1 2018","FQ1 2018","Currency=USD","Period=FQ","BEST_FPERIOD_OVERRIDE=FQ","FILING_STATUS=MR","Sort=A","Dates=H","DateFormat=P","Fill=—","Direction=H","UseDPDF=Y")</f>
        <v>0.7087</v>
      </c>
      <c r="AA7" s="21">
        <f>_xll.BDH("CRM US Equity","CUR_RATIO","FQ2 2018","FQ2 2018","Currency=USD","Period=FQ","BEST_FPERIOD_OVERRIDE=FQ","FILING_STATUS=MR","Sort=A","Dates=H","DateFormat=P","Fill=—","Direction=H","UseDPDF=Y")</f>
        <v>0.77210000000000001</v>
      </c>
      <c r="AB7" s="21">
        <f>_xll.BDH("CRM US Equity","CUR_RATIO","FQ3 2018","FQ3 2018","Currency=USD","Period=FQ","BEST_FPERIOD_OVERRIDE=FQ","FILING_STATUS=MR","Sort=A","Dates=H","DateFormat=P","Fill=—","Direction=H","UseDPDF=Y")</f>
        <v>0.82399999999999995</v>
      </c>
      <c r="AC7" s="21">
        <f>_xll.BDH("CRM US Equity","CUR_RATIO","FQ4 2018","FQ4 2018","Currency=USD","Period=FQ","BEST_FPERIOD_OVERRIDE=FQ","FILING_STATUS=MR","Sort=A","Dates=H","DateFormat=P","Fill=—","Direction=H","UseDPDF=Y")</f>
        <v>0.95199999999999996</v>
      </c>
      <c r="AD7" s="21" t="str">
        <f>_xll.BDH("CRM US Equity","CUR_RATIO","FQ1 2019","FQ1 2019","Currency=USD","Period=FQ","BEST_FPERIOD_OVERRIDE=FQ","FILING_STATUS=MR","Sort=A","Dates=H","DateFormat=P","Fill=—","Direction=H","UseDPDF=Y")</f>
        <v>#N/A Requesting Data...</v>
      </c>
      <c r="AE7" s="21">
        <f>_xll.BDH("CRM US Equity","CUR_RATIO","FQ2 2019","FQ2 2019","Currency=USD","Period=FQ","BEST_FPERIOD_OVERRIDE=FQ","FILING_STATUS=MR","Sort=A","Dates=H","DateFormat=P","Fill=—","Direction=H","UseDPDF=Y")</f>
        <v>0.80320000000000003</v>
      </c>
      <c r="AF7" s="21" t="str">
        <f>_xll.BDH("CRM US Equity","CUR_RATIO","FQ3 2019","FQ3 2019","Currency=USD","Period=FQ","BEST_FPERIOD_OVERRIDE=FQ","FILING_STATUS=MR","Sort=A","Dates=H","DateFormat=P","Fill=—","Direction=H","UseDPDF=Y")</f>
        <v>#N/A Requesting Data...</v>
      </c>
      <c r="AG7" s="21" t="str">
        <f>_xll.BDH("CRM US Equity","CUR_RATIO","FQ4 2019","FQ4 2019","Currency=USD","Period=FQ","BEST_FPERIOD_OVERRIDE=FQ","FILING_STATUS=MR","Sort=A","Dates=H","DateFormat=P","Fill=—","Direction=H","UseDPDF=Y")</f>
        <v>#N/A Requesting Data...</v>
      </c>
      <c r="AH7" s="21" t="str">
        <f>_xll.BDH("CRM US Equity","CUR_RATIO","FQ1 2020","FQ1 2020","Currency=USD","Period=FQ","BEST_FPERIOD_OVERRIDE=FQ","FILING_STATUS=MR","Sort=A","Dates=H","DateFormat=P","Fill=—","Direction=H","UseDPDF=Y")</f>
        <v>#N/A Requesting Data...</v>
      </c>
      <c r="AI7" s="21">
        <f>_xll.BDH("CRM US Equity","CUR_RATIO","FQ2 2020","FQ2 2020","Currency=USD","Period=FQ","BEST_FPERIOD_OVERRIDE=FQ","FILING_STATUS=MR","Sort=A","Dates=H","DateFormat=P","Fill=—","Direction=H","UseDPDF=Y")</f>
        <v>0.97099999999999997</v>
      </c>
      <c r="AJ7" s="21" t="str">
        <f>_xll.BDH("CRM US Equity","CUR_RATIO","FQ3 2020","FQ3 2020","Currency=USD","Period=FQ","BEST_FPERIOD_OVERRIDE=FQ","FILING_STATUS=MR","Sort=A","Dates=H","DateFormat=P","Fill=—","Direction=H","UseDPDF=Y")</f>
        <v>#N/A Requesting Data...</v>
      </c>
      <c r="AK7" s="21" t="str">
        <f>_xll.BDH("CRM US Equity","CUR_RATIO","FQ4 2020","FQ4 2020","Currency=USD","Period=FQ","BEST_FPERIOD_OVERRIDE=FQ","FILING_STATUS=MR","Sort=A","Dates=H","DateFormat=P","Fill=—","Direction=H","UseDPDF=Y")</f>
        <v>#N/A Requesting Data...</v>
      </c>
      <c r="AL7" s="21">
        <f>_xll.BDH("CRM US Equity","CUR_RATIO","FQ1 2021","FQ1 2021","Currency=USD","Period=FQ","BEST_FPERIOD_OVERRIDE=FQ","FILING_STATUS=MR","Sort=A","Dates=H","DateFormat=P","Fill=—","Direction=H","UseDPDF=Y")</f>
        <v>1.1452</v>
      </c>
      <c r="AM7" s="21">
        <f>_xll.BDH("CRM US Equity","CUR_RATIO","FQ2 2021","FQ2 2021","Currency=USD","Period=FQ","BEST_FPERIOD_OVERRIDE=FQ","FILING_STATUS=MR","Sort=A","Dates=H","DateFormat=P","Fill=—","Direction=H","UseDPDF=Y")</f>
        <v>1.145</v>
      </c>
      <c r="AN7" s="21">
        <f>_xll.BDH("CRM US Equity","CUR_RATIO","FQ3 2021","FQ3 2021","Currency=USD","Period=FQ","BEST_FPERIOD_OVERRIDE=FQ","FILING_STATUS=MR","Sort=A","Dates=H","DateFormat=P","Fill=—","Direction=H","UseDPDF=Y")</f>
        <v>1.2217</v>
      </c>
      <c r="AO7" s="21">
        <f>_xll.BDH("CRM US Equity","CUR_RATIO","FQ4 2021","FQ4 2021","Currency=USD","Period=FQ","BEST_FPERIOD_OVERRIDE=FQ","FILING_STATUS=MR","Sort=A","Dates=H","DateFormat=P","Fill=—","Direction=H","UseDPDF=Y")</f>
        <v>1.2343999999999999</v>
      </c>
      <c r="AP7" s="21">
        <f>_xll.BDH("CRM US Equity","CUR_RATIO","FQ1 2022","FQ1 2022","Currency=USD","Period=FQ","BEST_FPERIOD_OVERRIDE=FQ","FILING_STATUS=MR","Sort=A","Dates=H","DateFormat=P","Fill=—","Direction=H","UseDPDF=Y")</f>
        <v>1.3338999999999999</v>
      </c>
    </row>
    <row r="8" spans="1:42" x14ac:dyDescent="0.25">
      <c r="A8" s="8" t="s">
        <v>189</v>
      </c>
      <c r="B8" s="8" t="s">
        <v>188</v>
      </c>
      <c r="C8" s="21">
        <f>_xll.BDH("CRM US Equity","QUICK_RATIO","FQ2 2012","FQ2 2012","Currency=USD","Period=FQ","BEST_FPERIOD_OVERRIDE=FQ","FILING_STATUS=MR","Sort=A","Dates=H","DateFormat=P","Fill=—","Direction=H","UseDPDF=Y")</f>
        <v>0.50700000000000001</v>
      </c>
      <c r="D8" s="21" t="str">
        <f>_xll.BDH("CRM US Equity","QUICK_RATIO","FQ3 2012","FQ3 2012","Currency=USD","Period=FQ","BEST_FPERIOD_OVERRIDE=FQ","FILING_STATUS=MR","Sort=A","Dates=H","DateFormat=P","Fill=—","Direction=H","UseDPDF=Y")</f>
        <v>#N/A Requesting Data...</v>
      </c>
      <c r="E8" s="21" t="str">
        <f>_xll.BDH("CRM US Equity","QUICK_RATIO","FQ4 2012","FQ4 2012","Currency=USD","Period=FQ","BEST_FPERIOD_OVERRIDE=FQ","FILING_STATUS=MR","Sort=A","Dates=H","DateFormat=P","Fill=—","Direction=H","UseDPDF=Y")</f>
        <v>#N/A Requesting Data...</v>
      </c>
      <c r="F8" s="21" t="str">
        <f>_xll.BDH("CRM US Equity","QUICK_RATIO","FQ1 2013","FQ1 2013","Currency=USD","Period=FQ","BEST_FPERIOD_OVERRIDE=FQ","FILING_STATUS=MR","Sort=A","Dates=H","DateFormat=P","Fill=—","Direction=H","UseDPDF=Y")</f>
        <v>#N/A Requesting Data...</v>
      </c>
      <c r="G8" s="21">
        <f>_xll.BDH("CRM US Equity","QUICK_RATIO","FQ2 2013","FQ2 2013","Currency=USD","Period=FQ","BEST_FPERIOD_OVERRIDE=FQ","FILING_STATUS=MR","Sort=A","Dates=H","DateFormat=P","Fill=—","Direction=H","UseDPDF=Y")</f>
        <v>0.66739999999999999</v>
      </c>
      <c r="H8" s="21" t="str">
        <f>_xll.BDH("CRM US Equity","QUICK_RATIO","FQ3 2013","FQ3 2013","Currency=USD","Period=FQ","BEST_FPERIOD_OVERRIDE=FQ","FILING_STATUS=MR","Sort=A","Dates=H","DateFormat=P","Fill=—","Direction=H","UseDPDF=Y")</f>
        <v>#N/A Requesting Data...</v>
      </c>
      <c r="I8" s="21" t="str">
        <f>_xll.BDH("CRM US Equity","QUICK_RATIO","FQ4 2013","FQ4 2013","Currency=USD","Period=FQ","BEST_FPERIOD_OVERRIDE=FQ","FILING_STATUS=MR","Sort=A","Dates=H","DateFormat=P","Fill=—","Direction=H","UseDPDF=Y")</f>
        <v>#N/A Requesting Data...</v>
      </c>
      <c r="J8" s="21">
        <f>_xll.BDH("CRM US Equity","QUICK_RATIO","FQ1 2014","FQ1 2014","Currency=USD","Period=FQ","BEST_FPERIOD_OVERRIDE=FQ","FILING_STATUS=MR","Sort=A","Dates=H","DateFormat=P","Fill=—","Direction=H","UseDPDF=Y")</f>
        <v>0.95340000000000003</v>
      </c>
      <c r="K8" s="21">
        <f>_xll.BDH("CRM US Equity","QUICK_RATIO","FQ2 2014","FQ2 2014","Currency=USD","Period=FQ","BEST_FPERIOD_OVERRIDE=FQ","FILING_STATUS=MR","Sort=A","Dates=H","DateFormat=P","Fill=—","Direction=H","UseDPDF=Y")</f>
        <v>0.39929999999999999</v>
      </c>
      <c r="L8" s="21">
        <f>_xll.BDH("CRM US Equity","QUICK_RATIO","FQ3 2014","FQ3 2014","Currency=USD","Period=FQ","BEST_FPERIOD_OVERRIDE=FQ","FILING_STATUS=MR","Sort=A","Dates=H","DateFormat=P","Fill=—","Direction=H","UseDPDF=Y")</f>
        <v>0.42230000000000001</v>
      </c>
      <c r="M8" s="21">
        <f>_xll.BDH("CRM US Equity","QUICK_RATIO","FQ4 2014","FQ4 2014","Currency=USD","Period=FQ","BEST_FPERIOD_OVERRIDE=FQ","FILING_STATUS=MR","Sort=A","Dates=H","DateFormat=P","Fill=—","Direction=H","UseDPDF=Y")</f>
        <v>0.55259999999999998</v>
      </c>
      <c r="N8" s="21">
        <f>_xll.BDH("CRM US Equity","QUICK_RATIO","FQ1 2015","FQ1 2015","Currency=USD","Period=FQ","BEST_FPERIOD_OVERRIDE=FQ","FILING_STATUS=MR","Sort=A","Dates=H","DateFormat=P","Fill=—","Direction=H","UseDPDF=Y")</f>
        <v>0.46529999999999999</v>
      </c>
      <c r="O8" s="21">
        <f>_xll.BDH("CRM US Equity","QUICK_RATIO","FQ2 2015","FQ2 2015","Currency=USD","Period=FQ","BEST_FPERIOD_OVERRIDE=FQ","FILING_STATUS=MR","Sort=A","Dates=H","DateFormat=P","Fill=—","Direction=H","UseDPDF=Y")</f>
        <v>0.4793</v>
      </c>
      <c r="P8" s="21" t="str">
        <f>_xll.BDH("CRM US Equity","QUICK_RATIO","FQ3 2015","FQ3 2015","Currency=USD","Period=FQ","BEST_FPERIOD_OVERRIDE=FQ","FILING_STATUS=MR","Sort=A","Dates=H","DateFormat=P","Fill=—","Direction=H","UseDPDF=Y")</f>
        <v>#N/A Requesting Data...</v>
      </c>
      <c r="Q8" s="21" t="str">
        <f>_xll.BDH("CRM US Equity","QUICK_RATIO","FQ4 2015","FQ4 2015","Currency=USD","Period=FQ","BEST_FPERIOD_OVERRIDE=FQ","FILING_STATUS=MR","Sort=A","Dates=H","DateFormat=P","Fill=—","Direction=H","UseDPDF=Y")</f>
        <v>#N/A Requesting Data...</v>
      </c>
      <c r="R8" s="21" t="str">
        <f>_xll.BDH("CRM US Equity","QUICK_RATIO","FQ1 2016","FQ1 2016","Currency=USD","Period=FQ","BEST_FPERIOD_OVERRIDE=FQ","FILING_STATUS=MR","Sort=A","Dates=H","DateFormat=P","Fill=—","Direction=H","UseDPDF=Y")</f>
        <v>#N/A Requesting Data...</v>
      </c>
      <c r="S8" s="21" t="str">
        <f>_xll.BDH("CRM US Equity","QUICK_RATIO","FQ2 2016","FQ2 2016","Currency=USD","Period=FQ","BEST_FPERIOD_OVERRIDE=FQ","FILING_STATUS=MR","Sort=A","Dates=H","DateFormat=P","Fill=—","Direction=H","UseDPDF=Y")</f>
        <v>#N/A Requesting Data...</v>
      </c>
      <c r="T8" s="21" t="str">
        <f>_xll.BDH("CRM US Equity","QUICK_RATIO","FQ3 2016","FQ3 2016","Currency=USD","Period=FQ","BEST_FPERIOD_OVERRIDE=FQ","FILING_STATUS=MR","Sort=A","Dates=H","DateFormat=P","Fill=—","Direction=H","UseDPDF=Y")</f>
        <v>#N/A Requesting Data...</v>
      </c>
      <c r="U8" s="21" t="str">
        <f>_xll.BDH("CRM US Equity","QUICK_RATIO","FQ4 2016","FQ4 2016","Currency=USD","Period=FQ","BEST_FPERIOD_OVERRIDE=FQ","FILING_STATUS=MR","Sort=A","Dates=H","DateFormat=P","Fill=—","Direction=H","UseDPDF=Y")</f>
        <v>#N/A Requesting Data...</v>
      </c>
      <c r="V8" s="21">
        <f>_xll.BDH("CRM US Equity","QUICK_RATIO","FQ1 2017","FQ1 2017","Currency=USD","Period=FQ","BEST_FPERIOD_OVERRIDE=FQ","FILING_STATUS=MR","Sort=A","Dates=H","DateFormat=P","Fill=—","Direction=H","UseDPDF=Y")</f>
        <v>0.63400000000000001</v>
      </c>
      <c r="W8" s="21">
        <f>_xll.BDH("CRM US Equity","QUICK_RATIO","FQ2 2017","FQ2 2017","Currency=USD","Period=FQ","BEST_FPERIOD_OVERRIDE=FQ","FILING_STATUS=MR","Sort=A","Dates=H","DateFormat=P","Fill=—","Direction=H","UseDPDF=Y")</f>
        <v>0.46450000000000002</v>
      </c>
      <c r="X8" s="21">
        <f>_xll.BDH("CRM US Equity","QUICK_RATIO","FQ3 2017","FQ3 2017","Currency=USD","Period=FQ","BEST_FPERIOD_OVERRIDE=FQ","FILING_STATUS=MR","Sort=A","Dates=H","DateFormat=P","Fill=—","Direction=H","UseDPDF=Y")</f>
        <v>0.49890000000000001</v>
      </c>
      <c r="Y8" s="21">
        <f>_xll.BDH("CRM US Equity","QUICK_RATIO","FQ4 2017","FQ4 2017","Currency=USD","Period=FQ","BEST_FPERIOD_OVERRIDE=FQ","FILING_STATUS=MR","Sort=A","Dates=H","DateFormat=P","Fill=—","Direction=H","UseDPDF=Y")</f>
        <v>0.7409</v>
      </c>
      <c r="Z8" s="21">
        <f>_xll.BDH("CRM US Equity","QUICK_RATIO","FQ1 2018","FQ1 2018","Currency=USD","Period=FQ","BEST_FPERIOD_OVERRIDE=FQ","FILING_STATUS=MR","Sort=A","Dates=H","DateFormat=P","Fill=—","Direction=H","UseDPDF=Y")</f>
        <v>0.61099999999999999</v>
      </c>
      <c r="AA8" s="21" t="str">
        <f>_xll.BDH("CRM US Equity","QUICK_RATIO","FQ2 2018","FQ2 2018","Currency=USD","Period=FQ","BEST_FPERIOD_OVERRIDE=FQ","FILING_STATUS=MR","Sort=A","Dates=H","DateFormat=P","Fill=—","Direction=H","UseDPDF=Y")</f>
        <v>#N/A Requesting Data...</v>
      </c>
      <c r="AB8" s="21" t="str">
        <f>_xll.BDH("CRM US Equity","QUICK_RATIO","FQ3 2018","FQ3 2018","Currency=USD","Period=FQ","BEST_FPERIOD_OVERRIDE=FQ","FILING_STATUS=MR","Sort=A","Dates=H","DateFormat=P","Fill=—","Direction=H","UseDPDF=Y")</f>
        <v>#N/A Requesting Data...</v>
      </c>
      <c r="AC8" s="21" t="str">
        <f>_xll.BDH("CRM US Equity","QUICK_RATIO","FQ4 2018","FQ4 2018","Currency=USD","Period=FQ","BEST_FPERIOD_OVERRIDE=FQ","FILING_STATUS=MR","Sort=A","Dates=H","DateFormat=P","Fill=—","Direction=H","UseDPDF=Y")</f>
        <v>#N/A Requesting Data...</v>
      </c>
      <c r="AD8" s="21">
        <f>_xll.BDH("CRM US Equity","QUICK_RATIO","FQ1 2019","FQ1 2019","Currency=USD","Period=FQ","BEST_FPERIOD_OVERRIDE=FQ","FILING_STATUS=MR","Sort=A","Dates=H","DateFormat=P","Fill=—","Direction=H","UseDPDF=Y")</f>
        <v>1.1301000000000001</v>
      </c>
      <c r="AE8" s="21" t="str">
        <f>_xll.BDH("CRM US Equity","QUICK_RATIO","FQ2 2019","FQ2 2019","Currency=USD","Period=FQ","BEST_FPERIOD_OVERRIDE=FQ","FILING_STATUS=MR","Sort=A","Dates=H","DateFormat=P","Fill=—","Direction=H","UseDPDF=Y")</f>
        <v>#N/A Requesting Data...</v>
      </c>
      <c r="AF8" s="21" t="str">
        <f>_xll.BDH("CRM US Equity","QUICK_RATIO","FQ3 2019","FQ3 2019","Currency=USD","Period=FQ","BEST_FPERIOD_OVERRIDE=FQ","FILING_STATUS=MR","Sort=A","Dates=H","DateFormat=P","Fill=—","Direction=H","UseDPDF=Y")</f>
        <v>#N/A Requesting Data...</v>
      </c>
      <c r="AG8" s="21" t="str">
        <f>_xll.BDH("CRM US Equity","QUICK_RATIO","FQ4 2019","FQ4 2019","Currency=USD","Period=FQ","BEST_FPERIOD_OVERRIDE=FQ","FILING_STATUS=MR","Sort=A","Dates=H","DateFormat=P","Fill=—","Direction=H","UseDPDF=Y")</f>
        <v>#N/A Requesting Data...</v>
      </c>
      <c r="AH8" s="21">
        <f>_xll.BDH("CRM US Equity","QUICK_RATIO","FQ1 2020","FQ1 2020","Currency=USD","Period=FQ","BEST_FPERIOD_OVERRIDE=FQ","FILING_STATUS=MR","Sort=A","Dates=H","DateFormat=P","Fill=—","Direction=H","UseDPDF=Y")</f>
        <v>0.81320000000000003</v>
      </c>
      <c r="AI8" s="21">
        <f>_xll.BDH("CRM US Equity","QUICK_RATIO","FQ2 2020","FQ2 2020","Currency=USD","Period=FQ","BEST_FPERIOD_OVERRIDE=FQ","FILING_STATUS=MR","Sort=A","Dates=H","DateFormat=P","Fill=—","Direction=H","UseDPDF=Y")</f>
        <v>0.82110000000000005</v>
      </c>
      <c r="AJ8" s="21">
        <f>_xll.BDH("CRM US Equity","QUICK_RATIO","FQ3 2020","FQ3 2020","Currency=USD","Period=FQ","BEST_FPERIOD_OVERRIDE=FQ","FILING_STATUS=MR","Sort=A","Dates=H","DateFormat=P","Fill=—","Direction=H","UseDPDF=Y")</f>
        <v>0.86880000000000002</v>
      </c>
      <c r="AK8" s="21">
        <f>_xll.BDH("CRM US Equity","QUICK_RATIO","FQ4 2020","FQ4 2020","Currency=USD","Period=FQ","BEST_FPERIOD_OVERRIDE=FQ","FILING_STATUS=MR","Sort=A","Dates=H","DateFormat=P","Fill=—","Direction=H","UseDPDF=Y")</f>
        <v>0.95099999999999996</v>
      </c>
      <c r="AL8" s="21">
        <f>_xll.BDH("CRM US Equity","QUICK_RATIO","FQ1 2021","FQ1 2021","Currency=USD","Period=FQ","BEST_FPERIOD_OVERRIDE=FQ","FILING_STATUS=MR","Sort=A","Dates=H","DateFormat=P","Fill=—","Direction=H","UseDPDF=Y")</f>
        <v>1.0024</v>
      </c>
      <c r="AM8" s="21" t="str">
        <f>_xll.BDH("CRM US Equity","QUICK_RATIO","FQ2 2021","FQ2 2021","Currency=USD","Period=FQ","BEST_FPERIOD_OVERRIDE=FQ","FILING_STATUS=MR","Sort=A","Dates=H","DateFormat=P","Fill=—","Direction=H","UseDPDF=Y")</f>
        <v>#N/A Requesting Data...</v>
      </c>
      <c r="AN8" s="21" t="str">
        <f>_xll.BDH("CRM US Equity","QUICK_RATIO","FQ3 2021","FQ3 2021","Currency=USD","Period=FQ","BEST_FPERIOD_OVERRIDE=FQ","FILING_STATUS=MR","Sort=A","Dates=H","DateFormat=P","Fill=—","Direction=H","UseDPDF=Y")</f>
        <v>#N/A Requesting Data...</v>
      </c>
      <c r="AO8" s="21" t="str">
        <f>_xll.BDH("CRM US Equity","QUICK_RATIO","FQ4 2021","FQ4 2021","Currency=USD","Period=FQ","BEST_FPERIOD_OVERRIDE=FQ","FILING_STATUS=MR","Sort=A","Dates=H","DateFormat=P","Fill=—","Direction=H","UseDPDF=Y")</f>
        <v>#N/A Requesting Data...</v>
      </c>
      <c r="AP8" s="21" t="str">
        <f>_xll.BDH("CRM US Equity","QUICK_RATIO","FQ1 2022","FQ1 2022","Currency=USD","Period=FQ","BEST_FPERIOD_OVERRIDE=FQ","FILING_STATUS=MR","Sort=A","Dates=H","DateFormat=P","Fill=—","Direction=H","UseDPDF=Y")</f>
        <v>#N/A Requesting Data...</v>
      </c>
    </row>
    <row r="9" spans="1:42" x14ac:dyDescent="0.25">
      <c r="A9" s="8" t="s">
        <v>187</v>
      </c>
      <c r="B9" s="8" t="s">
        <v>186</v>
      </c>
      <c r="C9" s="21" t="str">
        <f>_xll.BDH("CRM US Equity","CFO_TO_AVG_CURRENT_LIABILITIES","FQ2 2012","FQ2 2012","Currency=USD","Period=FQ","BEST_FPERIOD_OVERRIDE=FQ","FILING_STATUS=MR","Sort=A","Dates=H","DateFormat=P","Fill=—","Direction=H","UseDPDF=Y")</f>
        <v>#N/A Requesting Data...</v>
      </c>
      <c r="D9" s="21" t="str">
        <f>_xll.BDH("CRM US Equity","CFO_TO_AVG_CURRENT_LIABILITIES","FQ3 2012","FQ3 2012","Currency=USD","Period=FQ","BEST_FPERIOD_OVERRIDE=FQ","FILING_STATUS=MR","Sort=A","Dates=H","DateFormat=P","Fill=—","Direction=H","UseDPDF=Y")</f>
        <v>#N/A Requesting Data...</v>
      </c>
      <c r="E9" s="21" t="str">
        <f>_xll.BDH("CRM US Equity","CFO_TO_AVG_CURRENT_LIABILITIES","FQ4 2012","FQ4 2012","Currency=USD","Period=FQ","BEST_FPERIOD_OVERRIDE=FQ","FILING_STATUS=MR","Sort=A","Dates=H","DateFormat=P","Fill=—","Direction=H","UseDPDF=Y")</f>
        <v>#N/A Requesting Data...</v>
      </c>
      <c r="F9" s="21">
        <f>_xll.BDH("CRM US Equity","CFO_TO_AVG_CURRENT_LIABILITIES","FQ1 2013","FQ1 2013","Currency=USD","Period=FQ","BEST_FPERIOD_OVERRIDE=FQ","FILING_STATUS=MR","Sort=A","Dates=H","DateFormat=P","Fill=—","Direction=H","UseDPDF=Y")</f>
        <v>0.3957</v>
      </c>
      <c r="G9" s="21">
        <f>_xll.BDH("CRM US Equity","CFO_TO_AVG_CURRENT_LIABILITIES","FQ2 2013","FQ2 2013","Currency=USD","Period=FQ","BEST_FPERIOD_OVERRIDE=FQ","FILING_STATUS=MR","Sort=A","Dates=H","DateFormat=P","Fill=—","Direction=H","UseDPDF=Y")</f>
        <v>0.3468</v>
      </c>
      <c r="H9" s="21">
        <f>_xll.BDH("CRM US Equity","CFO_TO_AVG_CURRENT_LIABILITIES","FQ3 2013","FQ3 2013","Currency=USD","Period=FQ","BEST_FPERIOD_OVERRIDE=FQ","FILING_STATUS=MR","Sort=A","Dates=H","DateFormat=P","Fill=—","Direction=H","UseDPDF=Y")</f>
        <v>0.33479999999999999</v>
      </c>
      <c r="I9" s="21">
        <f>_xll.BDH("CRM US Equity","CFO_TO_AVG_CURRENT_LIABILITIES","FQ4 2013","FQ4 2013","Currency=USD","Period=FQ","BEST_FPERIOD_OVERRIDE=FQ","FILING_STATUS=MR","Sort=A","Dates=H","DateFormat=P","Fill=—","Direction=H","UseDPDF=Y")</f>
        <v>0.28249999999999997</v>
      </c>
      <c r="J9" s="21">
        <f>_xll.BDH("CRM US Equity","CFO_TO_AVG_CURRENT_LIABILITIES","FQ1 2014","FQ1 2014","Currency=USD","Period=FQ","BEST_FPERIOD_OVERRIDE=FQ","FILING_STATUS=MR","Sort=A","Dates=H","DateFormat=P","Fill=—","Direction=H","UseDPDF=Y")</f>
        <v>0.36620000000000003</v>
      </c>
      <c r="K9" s="21">
        <f>_xll.BDH("CRM US Equity","CFO_TO_AVG_CURRENT_LIABILITIES","FQ2 2014","FQ2 2014","Currency=USD","Period=FQ","BEST_FPERIOD_OVERRIDE=FQ","FILING_STATUS=MR","Sort=A","Dates=H","DateFormat=P","Fill=—","Direction=H","UseDPDF=Y")</f>
        <v>0.31669999999999998</v>
      </c>
      <c r="L9" s="21" t="str">
        <f>_xll.BDH("CRM US Equity","CFO_TO_AVG_CURRENT_LIABILITIES","FQ3 2014","FQ3 2014","Currency=USD","Period=FQ","BEST_FPERIOD_OVERRIDE=FQ","FILING_STATUS=MR","Sort=A","Dates=H","DateFormat=P","Fill=—","Direction=H","UseDPDF=Y")</f>
        <v>#N/A Requesting Data...</v>
      </c>
      <c r="M9" s="21" t="str">
        <f>_xll.BDH("CRM US Equity","CFO_TO_AVG_CURRENT_LIABILITIES","FQ4 2014","FQ4 2014","Currency=USD","Period=FQ","BEST_FPERIOD_OVERRIDE=FQ","FILING_STATUS=MR","Sort=A","Dates=H","DateFormat=P","Fill=—","Direction=H","UseDPDF=Y")</f>
        <v>#N/A Requesting Data...</v>
      </c>
      <c r="N9" s="21" t="str">
        <f>_xll.BDH("CRM US Equity","CFO_TO_AVG_CURRENT_LIABILITIES","FQ1 2015","FQ1 2015","Currency=USD","Period=FQ","BEST_FPERIOD_OVERRIDE=FQ","FILING_STATUS=MR","Sort=A","Dates=H","DateFormat=P","Fill=—","Direction=H","UseDPDF=Y")</f>
        <v>#N/A Requesting Data...</v>
      </c>
      <c r="O9" s="21">
        <f>_xll.BDH("CRM US Equity","CFO_TO_AVG_CURRENT_LIABILITIES","FQ2 2015","FQ2 2015","Currency=USD","Period=FQ","BEST_FPERIOD_OVERRIDE=FQ","FILING_STATUS=MR","Sort=A","Dates=H","DateFormat=P","Fill=—","Direction=H","UseDPDF=Y")</f>
        <v>0.34360000000000002</v>
      </c>
      <c r="P9" s="21" t="str">
        <f>_xll.BDH("CRM US Equity","CFO_TO_AVG_CURRENT_LIABILITIES","FQ3 2015","FQ3 2015","Currency=USD","Period=FQ","BEST_FPERIOD_OVERRIDE=FQ","FILING_STATUS=MR","Sort=A","Dates=H","DateFormat=P","Fill=—","Direction=H","UseDPDF=Y")</f>
        <v>#N/A Requesting Data...</v>
      </c>
      <c r="Q9" s="21" t="str">
        <f>_xll.BDH("CRM US Equity","CFO_TO_AVG_CURRENT_LIABILITIES","FQ4 2015","FQ4 2015","Currency=USD","Period=FQ","BEST_FPERIOD_OVERRIDE=FQ","FILING_STATUS=MR","Sort=A","Dates=H","DateFormat=P","Fill=—","Direction=H","UseDPDF=Y")</f>
        <v>#N/A Requesting Data...</v>
      </c>
      <c r="R9" s="21">
        <f>_xll.BDH("CRM US Equity","CFO_TO_AVG_CURRENT_LIABILITIES","FQ1 2016","FQ1 2016","Currency=USD","Period=FQ","BEST_FPERIOD_OVERRIDE=FQ","FILING_STATUS=MR","Sort=A","Dates=H","DateFormat=P","Fill=—","Direction=H","UseDPDF=Y")</f>
        <v>0.39219999999999999</v>
      </c>
      <c r="S9" s="21">
        <f>_xll.BDH("CRM US Equity","CFO_TO_AVG_CURRENT_LIABILITIES","FQ2 2016","FQ2 2016","Currency=USD","Period=FQ","BEST_FPERIOD_OVERRIDE=FQ","FILING_STATUS=MR","Sort=A","Dates=H","DateFormat=P","Fill=—","Direction=H","UseDPDF=Y")</f>
        <v>0.39240000000000003</v>
      </c>
      <c r="T9" s="21">
        <f>_xll.BDH("CRM US Equity","CFO_TO_AVG_CURRENT_LIABILITIES","FQ3 2016","FQ3 2016","Currency=USD","Period=FQ","BEST_FPERIOD_OVERRIDE=FQ","FILING_STATUS=MR","Sort=A","Dates=H","DateFormat=P","Fill=—","Direction=H","UseDPDF=Y")</f>
        <v>0.42109999999999997</v>
      </c>
      <c r="U9" s="21">
        <f>_xll.BDH("CRM US Equity","CFO_TO_AVG_CURRENT_LIABILITIES","FQ4 2016","FQ4 2016","Currency=USD","Period=FQ","BEST_FPERIOD_OVERRIDE=FQ","FILING_STATUS=MR","Sort=A","Dates=H","DateFormat=P","Fill=—","Direction=H","UseDPDF=Y")</f>
        <v>0.3342</v>
      </c>
      <c r="V9" s="21">
        <f>_xll.BDH("CRM US Equity","CFO_TO_AVG_CURRENT_LIABILITIES","FQ1 2017","FQ1 2017","Currency=USD","Period=FQ","BEST_FPERIOD_OVERRIDE=FQ","FILING_STATUS=MR","Sort=A","Dates=H","DateFormat=P","Fill=—","Direction=H","UseDPDF=Y")</f>
        <v>0.4395</v>
      </c>
      <c r="W9" s="21" t="str">
        <f>_xll.BDH("CRM US Equity","CFO_TO_AVG_CURRENT_LIABILITIES","FQ2 2017","FQ2 2017","Currency=USD","Period=FQ","BEST_FPERIOD_OVERRIDE=FQ","FILING_STATUS=MR","Sort=A","Dates=H","DateFormat=P","Fill=—","Direction=H","UseDPDF=Y")</f>
        <v>#N/A Requesting Data...</v>
      </c>
      <c r="X9" s="21" t="str">
        <f>_xll.BDH("CRM US Equity","CFO_TO_AVG_CURRENT_LIABILITIES","FQ3 2017","FQ3 2017","Currency=USD","Period=FQ","BEST_FPERIOD_OVERRIDE=FQ","FILING_STATUS=MR","Sort=A","Dates=H","DateFormat=P","Fill=—","Direction=H","UseDPDF=Y")</f>
        <v>#N/A Requesting Data...</v>
      </c>
      <c r="Y9" s="21" t="str">
        <f>_xll.BDH("CRM US Equity","CFO_TO_AVG_CURRENT_LIABILITIES","FQ4 2017","FQ4 2017","Currency=USD","Period=FQ","BEST_FPERIOD_OVERRIDE=FQ","FILING_STATUS=MR","Sort=A","Dates=H","DateFormat=P","Fill=—","Direction=H","UseDPDF=Y")</f>
        <v>#N/A Requesting Data...</v>
      </c>
      <c r="Z9" s="21" t="str">
        <f>_xll.BDH("CRM US Equity","CFO_TO_AVG_CURRENT_LIABILITIES","FQ1 2018","FQ1 2018","Currency=USD","Period=FQ","BEST_FPERIOD_OVERRIDE=FQ","FILING_STATUS=MR","Sort=A","Dates=H","DateFormat=P","Fill=—","Direction=H","UseDPDF=Y")</f>
        <v>#N/A Requesting Data...</v>
      </c>
      <c r="AA9" s="21">
        <f>_xll.BDH("CRM US Equity","CFO_TO_AVG_CURRENT_LIABILITIES","FQ2 2018","FQ2 2018","Currency=USD","Period=FQ","BEST_FPERIOD_OVERRIDE=FQ","FILING_STATUS=MR","Sort=A","Dates=H","DateFormat=P","Fill=—","Direction=H","UseDPDF=Y")</f>
        <v>0.37530000000000002</v>
      </c>
      <c r="AB9" s="21" t="str">
        <f>_xll.BDH("CRM US Equity","CFO_TO_AVG_CURRENT_LIABILITIES","FQ3 2018","FQ3 2018","Currency=USD","Period=FQ","BEST_FPERIOD_OVERRIDE=FQ","FILING_STATUS=MR","Sort=A","Dates=H","DateFormat=P","Fill=—","Direction=H","UseDPDF=Y")</f>
        <v>#N/A Requesting Data...</v>
      </c>
      <c r="AC9" s="21" t="str">
        <f>_xll.BDH("CRM US Equity","CFO_TO_AVG_CURRENT_LIABILITIES","FQ4 2018","FQ4 2018","Currency=USD","Period=FQ","BEST_FPERIOD_OVERRIDE=FQ","FILING_STATUS=MR","Sort=A","Dates=H","DateFormat=P","Fill=—","Direction=H","UseDPDF=Y")</f>
        <v>#N/A Requesting Data...</v>
      </c>
      <c r="AD9" s="21">
        <f>_xll.BDH("CRM US Equity","CFO_TO_AVG_CURRENT_LIABILITIES","FQ1 2019","FQ1 2019","Currency=USD","Period=FQ","BEST_FPERIOD_OVERRIDE=FQ","FILING_STATUS=MR","Sort=A","Dates=H","DateFormat=P","Fill=—","Direction=H","UseDPDF=Y")</f>
        <v>0.38319999999999999</v>
      </c>
      <c r="AE9" s="21">
        <f>_xll.BDH("CRM US Equity","CFO_TO_AVG_CURRENT_LIABILITIES","FQ2 2019","FQ2 2019","Currency=USD","Period=FQ","BEST_FPERIOD_OVERRIDE=FQ","FILING_STATUS=MR","Sort=A","Dates=H","DateFormat=P","Fill=—","Direction=H","UseDPDF=Y")</f>
        <v>0.38769999999999999</v>
      </c>
      <c r="AF9" s="21">
        <f>_xll.BDH("CRM US Equity","CFO_TO_AVG_CURRENT_LIABILITIES","FQ3 2019","FQ3 2019","Currency=USD","Period=FQ","BEST_FPERIOD_OVERRIDE=FQ","FILING_STATUS=MR","Sort=A","Dates=H","DateFormat=P","Fill=—","Direction=H","UseDPDF=Y")</f>
        <v>0.40939999999999999</v>
      </c>
      <c r="AG9" s="21">
        <f>_xll.BDH("CRM US Equity","CFO_TO_AVG_CURRENT_LIABILITIES","FQ4 2019","FQ4 2019","Currency=USD","Period=FQ","BEST_FPERIOD_OVERRIDE=FQ","FILING_STATUS=MR","Sort=A","Dates=H","DateFormat=P","Fill=—","Direction=H","UseDPDF=Y")</f>
        <v>0.31869999999999998</v>
      </c>
      <c r="AH9" s="21">
        <f>_xll.BDH("CRM US Equity","CFO_TO_AVG_CURRENT_LIABILITIES","FQ1 2020","FQ1 2020","Currency=USD","Period=FQ","BEST_FPERIOD_OVERRIDE=FQ","FILING_STATUS=MR","Sort=A","Dates=H","DateFormat=P","Fill=—","Direction=H","UseDPDF=Y")</f>
        <v>0.4239</v>
      </c>
      <c r="AI9" s="21" t="str">
        <f>_xll.BDH("CRM US Equity","CFO_TO_AVG_CURRENT_LIABILITIES","FQ2 2020","FQ2 2020","Currency=USD","Period=FQ","BEST_FPERIOD_OVERRIDE=FQ","FILING_STATUS=MR","Sort=A","Dates=H","DateFormat=P","Fill=—","Direction=H","UseDPDF=Y")</f>
        <v>#N/A Requesting Data...</v>
      </c>
      <c r="AJ9" s="21" t="str">
        <f>_xll.BDH("CRM US Equity","CFO_TO_AVG_CURRENT_LIABILITIES","FQ3 2020","FQ3 2020","Currency=USD","Period=FQ","BEST_FPERIOD_OVERRIDE=FQ","FILING_STATUS=MR","Sort=A","Dates=H","DateFormat=P","Fill=—","Direction=H","UseDPDF=Y")</f>
        <v>#N/A Requesting Data...</v>
      </c>
      <c r="AK9" s="21" t="str">
        <f>_xll.BDH("CRM US Equity","CFO_TO_AVG_CURRENT_LIABILITIES","FQ4 2020","FQ4 2020","Currency=USD","Period=FQ","BEST_FPERIOD_OVERRIDE=FQ","FILING_STATUS=MR","Sort=A","Dates=H","DateFormat=P","Fill=—","Direction=H","UseDPDF=Y")</f>
        <v>#N/A Requesting Data...</v>
      </c>
      <c r="AL9" s="21">
        <f>_xll.BDH("CRM US Equity","CFO_TO_AVG_CURRENT_LIABILITIES","FQ1 2021","FQ1 2021","Currency=USD","Period=FQ","BEST_FPERIOD_OVERRIDE=FQ","FILING_STATUS=MR","Sort=A","Dates=H","DateFormat=P","Fill=—","Direction=H","UseDPDF=Y")</f>
        <v>0.36209999999999998</v>
      </c>
      <c r="AM9" s="21">
        <f>_xll.BDH("CRM US Equity","CFO_TO_AVG_CURRENT_LIABILITIES","FQ2 2021","FQ2 2021","Currency=USD","Period=FQ","BEST_FPERIOD_OVERRIDE=FQ","FILING_STATUS=MR","Sort=A","Dates=H","DateFormat=P","Fill=—","Direction=H","UseDPDF=Y")</f>
        <v>0.36420000000000002</v>
      </c>
      <c r="AN9" s="21" t="str">
        <f>_xll.BDH("CRM US Equity","CFO_TO_AVG_CURRENT_LIABILITIES","FQ3 2021","FQ3 2021","Currency=USD","Period=FQ","BEST_FPERIOD_OVERRIDE=FQ","FILING_STATUS=MR","Sort=A","Dates=H","DateFormat=P","Fill=—","Direction=H","UseDPDF=Y")</f>
        <v>#N/A Requesting Data...</v>
      </c>
      <c r="AO9" s="21" t="str">
        <f>_xll.BDH("CRM US Equity","CFO_TO_AVG_CURRENT_LIABILITIES","FQ4 2021","FQ4 2021","Currency=USD","Period=FQ","BEST_FPERIOD_OVERRIDE=FQ","FILING_STATUS=MR","Sort=A","Dates=H","DateFormat=P","Fill=—","Direction=H","UseDPDF=Y")</f>
        <v>#N/A Requesting Data...</v>
      </c>
      <c r="AP9" s="21">
        <f>_xll.BDH("CRM US Equity","CFO_TO_AVG_CURRENT_LIABILITIES","FQ1 2022","FQ1 2022","Currency=USD","Period=FQ","BEST_FPERIOD_OVERRIDE=FQ","FILING_STATUS=MR","Sort=A","Dates=H","DateFormat=P","Fill=—","Direction=H","UseDPDF=Y")</f>
        <v>0.438</v>
      </c>
    </row>
    <row r="10" spans="1:42" x14ac:dyDescent="0.25">
      <c r="A10" s="8" t="s">
        <v>185</v>
      </c>
      <c r="B10" s="8" t="s">
        <v>184</v>
      </c>
      <c r="C10" s="21">
        <f>_xll.BDH("CRM US Equity","COM_EQY_TO_TOT_ASSET","FQ2 2012","FQ2 2012","Currency=USD","Period=FQ","BEST_FPERIOD_OVERRIDE=FQ","FILING_STATUS=MR","Sort=A","Dates=H","DateFormat=P","Fill=—","Direction=H","UseDPDF=Y")</f>
        <v>44.102600000000002</v>
      </c>
      <c r="D10" s="21">
        <f>_xll.BDH("CRM US Equity","COM_EQY_TO_TOT_ASSET","FQ3 2012","FQ3 2012","Currency=USD","Period=FQ","BEST_FPERIOD_OVERRIDE=FQ","FILING_STATUS=MR","Sort=A","Dates=H","DateFormat=P","Fill=—","Direction=H","UseDPDF=Y")</f>
        <v>45.087899999999998</v>
      </c>
      <c r="E10" s="21">
        <f>_xll.BDH("CRM US Equity","COM_EQY_TO_TOT_ASSET","FQ4 2012","FQ4 2012","Currency=USD","Period=FQ","BEST_FPERIOD_OVERRIDE=FQ","FILING_STATUS=MR","Sort=A","Dates=H","DateFormat=P","Fill=—","Direction=H","UseDPDF=Y")</f>
        <v>40.010599999999997</v>
      </c>
      <c r="F10" s="21">
        <f>_xll.BDH("CRM US Equity","COM_EQY_TO_TOT_ASSET","FQ1 2013","FQ1 2013","Currency=USD","Period=FQ","BEST_FPERIOD_OVERRIDE=FQ","FILING_STATUS=MR","Sort=A","Dates=H","DateFormat=P","Fill=—","Direction=H","UseDPDF=Y")</f>
        <v>43.545000000000002</v>
      </c>
      <c r="G10" s="21">
        <f>_xll.BDH("CRM US Equity","COM_EQY_TO_TOT_ASSET","FQ2 2013","FQ2 2013","Currency=USD","Period=FQ","BEST_FPERIOD_OVERRIDE=FQ","FILING_STATUS=MR","Sort=A","Dates=H","DateFormat=P","Fill=—","Direction=H","UseDPDF=Y")</f>
        <v>43.979799999999997</v>
      </c>
      <c r="H10" s="21">
        <f>_xll.BDH("CRM US Equity","COM_EQY_TO_TOT_ASSET","FQ3 2013","FQ3 2013","Currency=USD","Period=FQ","BEST_FPERIOD_OVERRIDE=FQ","FILING_STATUS=MR","Sort=A","Dates=H","DateFormat=P","Fill=—","Direction=H","UseDPDF=Y")</f>
        <v>46.175800000000002</v>
      </c>
      <c r="I10" s="21" t="str">
        <f>_xll.BDH("CRM US Equity","COM_EQY_TO_TOT_ASSET","FQ4 2013","FQ4 2013","Currency=USD","Period=FQ","BEST_FPERIOD_OVERRIDE=FQ","FILING_STATUS=MR","Sort=A","Dates=H","DateFormat=P","Fill=—","Direction=H","UseDPDF=Y")</f>
        <v>#N/A Requesting Data...</v>
      </c>
      <c r="J10" s="21" t="str">
        <f>_xll.BDH("CRM US Equity","COM_EQY_TO_TOT_ASSET","FQ1 2014","FQ1 2014","Currency=USD","Period=FQ","BEST_FPERIOD_OVERRIDE=FQ","FILING_STATUS=MR","Sort=A","Dates=H","DateFormat=P","Fill=—","Direction=H","UseDPDF=Y")</f>
        <v>#N/A Requesting Data...</v>
      </c>
      <c r="K10" s="21">
        <f>_xll.BDH("CRM US Equity","COM_EQY_TO_TOT_ASSET","FQ2 2014","FQ2 2014","Currency=USD","Period=FQ","BEST_FPERIOD_OVERRIDE=FQ","FILING_STATUS=MR","Sort=A","Dates=H","DateFormat=P","Fill=—","Direction=H","UseDPDF=Y")</f>
        <v>35.874299999999998</v>
      </c>
      <c r="L10" s="21" t="str">
        <f>_xll.BDH("CRM US Equity","COM_EQY_TO_TOT_ASSET","FQ3 2014","FQ3 2014","Currency=USD","Period=FQ","BEST_FPERIOD_OVERRIDE=FQ","FILING_STATUS=MR","Sort=A","Dates=H","DateFormat=P","Fill=—","Direction=H","UseDPDF=Y")</f>
        <v>#N/A Requesting Data...</v>
      </c>
      <c r="M10" s="21" t="str">
        <f>_xll.BDH("CRM US Equity","COM_EQY_TO_TOT_ASSET","FQ4 2014","FQ4 2014","Currency=USD","Period=FQ","BEST_FPERIOD_OVERRIDE=FQ","FILING_STATUS=MR","Sort=A","Dates=H","DateFormat=P","Fill=—","Direction=H","UseDPDF=Y")</f>
        <v>#N/A Requesting Data...</v>
      </c>
      <c r="N10" s="21">
        <f>_xll.BDH("CRM US Equity","COM_EQY_TO_TOT_ASSET","FQ1 2015","FQ1 2015","Currency=USD","Period=FQ","BEST_FPERIOD_OVERRIDE=FQ","FILING_STATUS=MR","Sort=A","Dates=H","DateFormat=P","Fill=—","Direction=H","UseDPDF=Y")</f>
        <v>36.358400000000003</v>
      </c>
      <c r="O10" s="21">
        <f>_xll.BDH("CRM US Equity","COM_EQY_TO_TOT_ASSET","FQ2 2015","FQ2 2015","Currency=USD","Period=FQ","BEST_FPERIOD_OVERRIDE=FQ","FILING_STATUS=MR","Sort=A","Dates=H","DateFormat=P","Fill=—","Direction=H","UseDPDF=Y")</f>
        <v>36.701500000000003</v>
      </c>
      <c r="P10" s="21">
        <f>_xll.BDH("CRM US Equity","COM_EQY_TO_TOT_ASSET","FQ3 2015","FQ3 2015","Currency=USD","Period=FQ","BEST_FPERIOD_OVERRIDE=FQ","FILING_STATUS=MR","Sort=A","Dates=H","DateFormat=P","Fill=—","Direction=H","UseDPDF=Y")</f>
        <v>40.291400000000003</v>
      </c>
      <c r="Q10" s="21">
        <f>_xll.BDH("CRM US Equity","COM_EQY_TO_TOT_ASSET","FQ4 2015","FQ4 2015","Currency=USD","Period=FQ","BEST_FPERIOD_OVERRIDE=FQ","FILING_STATUS=MR","Sort=A","Dates=H","DateFormat=P","Fill=—","Direction=H","UseDPDF=Y")</f>
        <v>37.2727</v>
      </c>
      <c r="R10" s="21">
        <f>_xll.BDH("CRM US Equity","COM_EQY_TO_TOT_ASSET","FQ1 2016","FQ1 2016","Currency=USD","Period=FQ","BEST_FPERIOD_OVERRIDE=FQ","FILING_STATUS=MR","Sort=A","Dates=H","DateFormat=P","Fill=—","Direction=H","UseDPDF=Y")</f>
        <v>40.857900000000001</v>
      </c>
      <c r="S10" s="21">
        <f>_xll.BDH("CRM US Equity","COM_EQY_TO_TOT_ASSET","FQ2 2016","FQ2 2016","Currency=USD","Period=FQ","BEST_FPERIOD_OVERRIDE=FQ","FILING_STATUS=MR","Sort=A","Dates=H","DateFormat=P","Fill=—","Direction=H","UseDPDF=Y")</f>
        <v>42.021599999999999</v>
      </c>
      <c r="T10" s="21" t="str">
        <f>_xll.BDH("CRM US Equity","COM_EQY_TO_TOT_ASSET","FQ3 2016","FQ3 2016","Currency=USD","Period=FQ","BEST_FPERIOD_OVERRIDE=FQ","FILING_STATUS=MR","Sort=A","Dates=H","DateFormat=P","Fill=—","Direction=H","UseDPDF=Y")</f>
        <v>#N/A Requesting Data...</v>
      </c>
      <c r="U10" s="21" t="str">
        <f>_xll.BDH("CRM US Equity","COM_EQY_TO_TOT_ASSET","FQ4 2016","FQ4 2016","Currency=USD","Period=FQ","BEST_FPERIOD_OVERRIDE=FQ","FILING_STATUS=MR","Sort=A","Dates=H","DateFormat=P","Fill=—","Direction=H","UseDPDF=Y")</f>
        <v>#N/A Requesting Data...</v>
      </c>
      <c r="V10" s="21" t="str">
        <f>_xll.BDH("CRM US Equity","COM_EQY_TO_TOT_ASSET","FQ1 2017","FQ1 2017","Currency=USD","Period=FQ","BEST_FPERIOD_OVERRIDE=FQ","FILING_STATUS=MR","Sort=A","Dates=H","DateFormat=P","Fill=—","Direction=H","UseDPDF=Y")</f>
        <v>#N/A Requesting Data...</v>
      </c>
      <c r="W10" s="21" t="str">
        <f>_xll.BDH("CRM US Equity","COM_EQY_TO_TOT_ASSET","FQ2 2017","FQ2 2017","Currency=USD","Period=FQ","BEST_FPERIOD_OVERRIDE=FQ","FILING_STATUS=MR","Sort=A","Dates=H","DateFormat=P","Fill=—","Direction=H","UseDPDF=Y")</f>
        <v>#N/A Requesting Data...</v>
      </c>
      <c r="X10" s="21" t="str">
        <f>_xll.BDH("CRM US Equity","COM_EQY_TO_TOT_ASSET","FQ3 2017","FQ3 2017","Currency=USD","Period=FQ","BEST_FPERIOD_OVERRIDE=FQ","FILING_STATUS=MR","Sort=A","Dates=H","DateFormat=P","Fill=—","Direction=H","UseDPDF=Y")</f>
        <v>#N/A Requesting Data...</v>
      </c>
      <c r="Y10" s="21" t="str">
        <f>_xll.BDH("CRM US Equity","COM_EQY_TO_TOT_ASSET","FQ4 2017","FQ4 2017","Currency=USD","Period=FQ","BEST_FPERIOD_OVERRIDE=FQ","FILING_STATUS=MR","Sort=A","Dates=H","DateFormat=P","Fill=—","Direction=H","UseDPDF=Y")</f>
        <v>#N/A Requesting Data...</v>
      </c>
      <c r="Z10" s="21">
        <f>_xll.BDH("CRM US Equity","COM_EQY_TO_TOT_ASSET","FQ1 2018","FQ1 2018","Currency=USD","Period=FQ","BEST_FPERIOD_OVERRIDE=FQ","FILING_STATUS=MR","Sort=A","Dates=H","DateFormat=P","Fill=—","Direction=H","UseDPDF=Y")</f>
        <v>46.5122</v>
      </c>
      <c r="AA10" s="21">
        <f>_xll.BDH("CRM US Equity","COM_EQY_TO_TOT_ASSET","FQ2 2018","FQ2 2018","Currency=USD","Period=FQ","BEST_FPERIOD_OVERRIDE=FQ","FILING_STATUS=MR","Sort=A","Dates=H","DateFormat=P","Fill=—","Direction=H","UseDPDF=Y")</f>
        <v>48.617199999999997</v>
      </c>
      <c r="AB10" s="21">
        <f>_xll.BDH("CRM US Equity","COM_EQY_TO_TOT_ASSET","FQ3 2018","FQ3 2018","Currency=USD","Period=FQ","BEST_FPERIOD_OVERRIDE=FQ","FILING_STATUS=MR","Sort=A","Dates=H","DateFormat=P","Fill=—","Direction=H","UseDPDF=Y")</f>
        <v>50.482300000000002</v>
      </c>
      <c r="AC10" s="21">
        <f>_xll.BDH("CRM US Equity","COM_EQY_TO_TOT_ASSET","FQ4 2018","FQ4 2018","Currency=USD","Period=FQ","BEST_FPERIOD_OVERRIDE=FQ","FILING_STATUS=MR","Sort=A","Dates=H","DateFormat=P","Fill=—","Direction=H","UseDPDF=Y")</f>
        <v>47.198</v>
      </c>
      <c r="AD10" s="21">
        <f>_xll.BDH("CRM US Equity","COM_EQY_TO_TOT_ASSET","FQ1 2019","FQ1 2019","Currency=USD","Period=FQ","BEST_FPERIOD_OVERRIDE=FQ","FILING_STATUS=MR","Sort=A","Dates=H","DateFormat=P","Fill=—","Direction=H","UseDPDF=Y")</f>
        <v>48.164400000000001</v>
      </c>
      <c r="AE10" s="21" t="str">
        <f>_xll.BDH("CRM US Equity","COM_EQY_TO_TOT_ASSET","FQ2 2019","FQ2 2019","Currency=USD","Period=FQ","BEST_FPERIOD_OVERRIDE=FQ","FILING_STATUS=MR","Sort=A","Dates=H","DateFormat=P","Fill=—","Direction=H","UseDPDF=Y")</f>
        <v>#N/A Requesting Data...</v>
      </c>
      <c r="AF10" s="21" t="str">
        <f>_xll.BDH("CRM US Equity","COM_EQY_TO_TOT_ASSET","FQ3 2019","FQ3 2019","Currency=USD","Period=FQ","BEST_FPERIOD_OVERRIDE=FQ","FILING_STATUS=MR","Sort=A","Dates=H","DateFormat=P","Fill=—","Direction=H","UseDPDF=Y")</f>
        <v>#N/A Requesting Data...</v>
      </c>
      <c r="AG10" s="21" t="str">
        <f>_xll.BDH("CRM US Equity","COM_EQY_TO_TOT_ASSET","FQ4 2019","FQ4 2019","Currency=USD","Period=FQ","BEST_FPERIOD_OVERRIDE=FQ","FILING_STATUS=MR","Sort=A","Dates=H","DateFormat=P","Fill=—","Direction=H","UseDPDF=Y")</f>
        <v>#N/A Requesting Data...</v>
      </c>
      <c r="AH10" s="21" t="str">
        <f>_xll.BDH("CRM US Equity","COM_EQY_TO_TOT_ASSET","FQ1 2020","FQ1 2020","Currency=USD","Period=FQ","BEST_FPERIOD_OVERRIDE=FQ","FILING_STATUS=MR","Sort=A","Dates=H","DateFormat=P","Fill=—","Direction=H","UseDPDF=Y")</f>
        <v>#N/A Requesting Data...</v>
      </c>
      <c r="AI10" s="21">
        <f>_xll.BDH("CRM US Equity","COM_EQY_TO_TOT_ASSET","FQ2 2020","FQ2 2020","Currency=USD","Period=FQ","BEST_FPERIOD_OVERRIDE=FQ","FILING_STATUS=MR","Sort=A","Dates=H","DateFormat=P","Fill=—","Direction=H","UseDPDF=Y")</f>
        <v>51.493899999999996</v>
      </c>
      <c r="AJ10" s="21" t="str">
        <f>_xll.BDH("CRM US Equity","COM_EQY_TO_TOT_ASSET","FQ3 2020","FQ3 2020","Currency=USD","Period=FQ","BEST_FPERIOD_OVERRIDE=FQ","FILING_STATUS=MR","Sort=A","Dates=H","DateFormat=P","Fill=—","Direction=H","UseDPDF=Y")</f>
        <v>#N/A Requesting Data...</v>
      </c>
      <c r="AK10" s="21" t="str">
        <f>_xll.BDH("CRM US Equity","COM_EQY_TO_TOT_ASSET","FQ4 2020","FQ4 2020","Currency=USD","Period=FQ","BEST_FPERIOD_OVERRIDE=FQ","FILING_STATUS=MR","Sort=A","Dates=H","DateFormat=P","Fill=—","Direction=H","UseDPDF=Y")</f>
        <v>#N/A Requesting Data...</v>
      </c>
      <c r="AL10" s="21">
        <f>_xll.BDH("CRM US Equity","COM_EQY_TO_TOT_ASSET","FQ1 2021","FQ1 2021","Currency=USD","Period=FQ","BEST_FPERIOD_OVERRIDE=FQ","FILING_STATUS=MR","Sort=A","Dates=H","DateFormat=P","Fill=—","Direction=H","UseDPDF=Y")</f>
        <v>64.459299999999999</v>
      </c>
      <c r="AM10" s="21">
        <f>_xll.BDH("CRM US Equity","COM_EQY_TO_TOT_ASSET","FQ2 2021","FQ2 2021","Currency=USD","Period=FQ","BEST_FPERIOD_OVERRIDE=FQ","FILING_STATUS=MR","Sort=A","Dates=H","DateFormat=P","Fill=—","Direction=H","UseDPDF=Y")</f>
        <v>66.528199999999998</v>
      </c>
      <c r="AN10" s="21">
        <f>_xll.BDH("CRM US Equity","COM_EQY_TO_TOT_ASSET","FQ3 2021","FQ3 2021","Currency=USD","Period=FQ","BEST_FPERIOD_OVERRIDE=FQ","FILING_STATUS=MR","Sort=A","Dates=H","DateFormat=P","Fill=—","Direction=H","UseDPDF=Y")</f>
        <v>68.164900000000003</v>
      </c>
      <c r="AO10" s="21">
        <f>_xll.BDH("CRM US Equity","COM_EQY_TO_TOT_ASSET","FQ4 2021","FQ4 2021","Currency=USD","Period=FQ","BEST_FPERIOD_OVERRIDE=FQ","FILING_STATUS=MR","Sort=A","Dates=H","DateFormat=P","Fill=—","Direction=H","UseDPDF=Y")</f>
        <v>62.582799999999999</v>
      </c>
      <c r="AP10" s="21">
        <f>_xll.BDH("CRM US Equity","COM_EQY_TO_TOT_ASSET","FQ1 2022","FQ1 2022","Currency=USD","Period=FQ","BEST_FPERIOD_OVERRIDE=FQ","FILING_STATUS=MR","Sort=A","Dates=H","DateFormat=P","Fill=—","Direction=H","UseDPDF=Y")</f>
        <v>65.603800000000007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183</v>
      </c>
      <c r="B12" s="8" t="s">
        <v>182</v>
      </c>
      <c r="C12" s="21">
        <f>_xll.BDH("CRM US Equity","LT_DEBT_TO_TOT_EQY","FQ2 2012","FQ2 2012","Currency=USD","Period=FQ","BEST_FPERIOD_OVERRIDE=FQ","FILING_STATUS=MR","Sort=A","Dates=H","DateFormat=P","Fill=—","Direction=H","UseDPDF=Y")</f>
        <v>0</v>
      </c>
      <c r="D12" s="21" t="str">
        <f>_xll.BDH("CRM US Equity","LT_DEBT_TO_TOT_EQY","FQ3 2012","FQ3 2012","Currency=USD","Period=FQ","BEST_FPERIOD_OVERRIDE=FQ","FILING_STATUS=MR","Sort=A","Dates=H","DateFormat=P","Fill=—","Direction=H","UseDPDF=Y")</f>
        <v>#N/A Requesting Data...</v>
      </c>
      <c r="E12" s="21">
        <f>_xll.BDH("CRM US Equity","LT_DEBT_TO_TOT_EQY","FQ4 2012","FQ4 2012","Currency=USD","Period=FQ","BEST_FPERIOD_OVERRIDE=FQ","FILING_STATUS=MR","Sort=A","Dates=H","DateFormat=P","Fill=—","Direction=H","UseDPDF=Y")</f>
        <v>0</v>
      </c>
      <c r="F12" s="21" t="str">
        <f>_xll.BDH("CRM US Equity","LT_DEBT_TO_TOT_EQY","FQ1 2013","FQ1 2013","Currency=USD","Period=FQ","BEST_FPERIOD_OVERRIDE=FQ","FILING_STATUS=MR","Sort=A","Dates=H","DateFormat=P","Fill=—","Direction=H","UseDPDF=Y")</f>
        <v>#N/A Requesting Data...</v>
      </c>
      <c r="G12" s="21">
        <f>_xll.BDH("CRM US Equity","LT_DEBT_TO_TOT_EQY","FQ2 2013","FQ2 2013","Currency=USD","Period=FQ","BEST_FPERIOD_OVERRIDE=FQ","FILING_STATUS=MR","Sort=A","Dates=H","DateFormat=P","Fill=—","Direction=H","UseDPDF=Y")</f>
        <v>0</v>
      </c>
      <c r="H12" s="21" t="str">
        <f>_xll.BDH("CRM US Equity","LT_DEBT_TO_TOT_EQY","FQ3 2013","FQ3 2013","Currency=USD","Period=FQ","BEST_FPERIOD_OVERRIDE=FQ","FILING_STATUS=MR","Sort=A","Dates=H","DateFormat=P","Fill=—","Direction=H","UseDPDF=Y")</f>
        <v>#N/A Requesting Data...</v>
      </c>
      <c r="I12" s="21" t="str">
        <f>_xll.BDH("CRM US Equity","LT_DEBT_TO_TOT_EQY","FQ4 2013","FQ4 2013","Currency=USD","Period=FQ","BEST_FPERIOD_OVERRIDE=FQ","FILING_STATUS=MR","Sort=A","Dates=H","DateFormat=P","Fill=—","Direction=H","UseDPDF=Y")</f>
        <v>#N/A Requesting Data...</v>
      </c>
      <c r="J12" s="21">
        <f>_xll.BDH("CRM US Equity","LT_DEBT_TO_TOT_EQY","FQ1 2014","FQ1 2014","Currency=USD","Period=FQ","BEST_FPERIOD_OVERRIDE=FQ","FILING_STATUS=MR","Sort=A","Dates=H","DateFormat=P","Fill=—","Direction=H","UseDPDF=Y")</f>
        <v>43.440899999999999</v>
      </c>
      <c r="K12" s="21">
        <f>_xll.BDH("CRM US Equity","LT_DEBT_TO_TOT_EQY","FQ2 2014","FQ2 2014","Currency=USD","Period=FQ","BEST_FPERIOD_OVERRIDE=FQ","FILING_STATUS=MR","Sort=A","Dates=H","DateFormat=P","Fill=—","Direction=H","UseDPDF=Y")</f>
        <v>63.736699999999999</v>
      </c>
      <c r="L12" s="21">
        <f>_xll.BDH("CRM US Equity","LT_DEBT_TO_TOT_EQY","FQ3 2014","FQ3 2014","Currency=USD","Period=FQ","BEST_FPERIOD_OVERRIDE=FQ","FILING_STATUS=MR","Sort=A","Dates=H","DateFormat=P","Fill=—","Direction=H","UseDPDF=Y")</f>
        <v>61.851599999999998</v>
      </c>
      <c r="M12" s="21">
        <f>_xll.BDH("CRM US Equity","LT_DEBT_TO_TOT_EQY","FQ4 2014","FQ4 2014","Currency=USD","Period=FQ","BEST_FPERIOD_OVERRIDE=FQ","FILING_STATUS=MR","Sort=A","Dates=H","DateFormat=P","Fill=—","Direction=H","UseDPDF=Y")</f>
        <v>59.381599999999999</v>
      </c>
      <c r="N12" s="21">
        <f>_xll.BDH("CRM US Equity","LT_DEBT_TO_TOT_EQY","FQ1 2015","FQ1 2015","Currency=USD","Period=FQ","BEST_FPERIOD_OVERRIDE=FQ","FILING_STATUS=MR","Sort=A","Dates=H","DateFormat=P","Fill=—","Direction=H","UseDPDF=Y")</f>
        <v>49.854300000000002</v>
      </c>
      <c r="O12" s="21" t="str">
        <f>_xll.BDH("CRM US Equity","LT_DEBT_TO_TOT_EQY","FQ2 2015","FQ2 2015","Currency=USD","Period=FQ","BEST_FPERIOD_OVERRIDE=FQ","FILING_STATUS=MR","Sort=A","Dates=H","DateFormat=P","Fill=—","Direction=H","UseDPDF=Y")</f>
        <v>#N/A Requesting Data...</v>
      </c>
      <c r="P12" s="21" t="str">
        <f>_xll.BDH("CRM US Equity","LT_DEBT_TO_TOT_EQY","FQ3 2015","FQ3 2015","Currency=USD","Period=FQ","BEST_FPERIOD_OVERRIDE=FQ","FILING_STATUS=MR","Sort=A","Dates=H","DateFormat=P","Fill=—","Direction=H","UseDPDF=Y")</f>
        <v>#N/A Requesting Data...</v>
      </c>
      <c r="Q12" s="21" t="str">
        <f>_xll.BDH("CRM US Equity","LT_DEBT_TO_TOT_EQY","FQ4 2015","FQ4 2015","Currency=USD","Period=FQ","BEST_FPERIOD_OVERRIDE=FQ","FILING_STATUS=MR","Sort=A","Dates=H","DateFormat=P","Fill=—","Direction=H","UseDPDF=Y")</f>
        <v>#N/A Requesting Data...</v>
      </c>
      <c r="R12" s="21" t="str">
        <f>_xll.BDH("CRM US Equity","LT_DEBT_TO_TOT_EQY","FQ1 2016","FQ1 2016","Currency=USD","Period=FQ","BEST_FPERIOD_OVERRIDE=FQ","FILING_STATUS=MR","Sort=A","Dates=H","DateFormat=P","Fill=—","Direction=H","UseDPDF=Y")</f>
        <v>#N/A Requesting Data...</v>
      </c>
      <c r="S12" s="21" t="str">
        <f>_xll.BDH("CRM US Equity","LT_DEBT_TO_TOT_EQY","FQ2 2016","FQ2 2016","Currency=USD","Period=FQ","BEST_FPERIOD_OVERRIDE=FQ","FILING_STATUS=MR","Sort=A","Dates=H","DateFormat=P","Fill=—","Direction=H","UseDPDF=Y")</f>
        <v>#N/A Requesting Data...</v>
      </c>
      <c r="T12" s="21" t="str">
        <f>_xll.BDH("CRM US Equity","LT_DEBT_TO_TOT_EQY","FQ3 2016","FQ3 2016","Currency=USD","Period=FQ","BEST_FPERIOD_OVERRIDE=FQ","FILING_STATUS=MR","Sort=A","Dates=H","DateFormat=P","Fill=—","Direction=H","UseDPDF=Y")</f>
        <v>#N/A Requesting Data...</v>
      </c>
      <c r="U12" s="21" t="str">
        <f>_xll.BDH("CRM US Equity","LT_DEBT_TO_TOT_EQY","FQ4 2016","FQ4 2016","Currency=USD","Period=FQ","BEST_FPERIOD_OVERRIDE=FQ","FILING_STATUS=MR","Sort=A","Dates=H","DateFormat=P","Fill=—","Direction=H","UseDPDF=Y")</f>
        <v>#N/A Requesting Data...</v>
      </c>
      <c r="V12" s="21">
        <f>_xll.BDH("CRM US Equity","LT_DEBT_TO_TOT_EQY","FQ1 2017","FQ1 2017","Currency=USD","Period=FQ","BEST_FPERIOD_OVERRIDE=FQ","FILING_STATUS=MR","Sort=A","Dates=H","DateFormat=P","Fill=—","Direction=H","UseDPDF=Y")</f>
        <v>31.192499999999999</v>
      </c>
      <c r="W12" s="21">
        <f>_xll.BDH("CRM US Equity","LT_DEBT_TO_TOT_EQY","FQ2 2017","FQ2 2017","Currency=USD","Period=FQ","BEST_FPERIOD_OVERRIDE=FQ","FILING_STATUS=MR","Sort=A","Dates=H","DateFormat=P","Fill=—","Direction=H","UseDPDF=Y")</f>
        <v>29.301400000000001</v>
      </c>
      <c r="X12" s="21">
        <f>_xll.BDH("CRM US Equity","LT_DEBT_TO_TOT_EQY","FQ3 2017","FQ3 2017","Currency=USD","Period=FQ","BEST_FPERIOD_OVERRIDE=FQ","FILING_STATUS=MR","Sort=A","Dates=H","DateFormat=P","Fill=—","Direction=H","UseDPDF=Y")</f>
        <v>26.511299999999999</v>
      </c>
      <c r="Y12" s="21">
        <f>_xll.BDH("CRM US Equity","LT_DEBT_TO_TOT_EQY","FQ4 2017","FQ4 2017","Currency=USD","Period=FQ","BEST_FPERIOD_OVERRIDE=FQ","FILING_STATUS=MR","Sort=A","Dates=H","DateFormat=P","Fill=—","Direction=H","UseDPDF=Y")</f>
        <v>26.778099999999998</v>
      </c>
      <c r="Z12" s="21">
        <f>_xll.BDH("CRM US Equity","LT_DEBT_TO_TOT_EQY","FQ1 2018","FQ1 2018","Currency=USD","Period=FQ","BEST_FPERIOD_OVERRIDE=FQ","FILING_STATUS=MR","Sort=A","Dates=H","DateFormat=P","Fill=—","Direction=H","UseDPDF=Y")</f>
        <v>8.7698999999999998</v>
      </c>
      <c r="AA12" s="21">
        <f>_xll.BDH("CRM US Equity","LT_DEBT_TO_TOT_EQY","FQ2 2018","FQ2 2018","Currency=USD","Period=FQ","BEST_FPERIOD_OVERRIDE=FQ","FILING_STATUS=MR","Sort=A","Dates=H","DateFormat=P","Fill=—","Direction=H","UseDPDF=Y")</f>
        <v>8.2210000000000001</v>
      </c>
      <c r="AB12" s="21" t="str">
        <f>_xll.BDH("CRM US Equity","LT_DEBT_TO_TOT_EQY","FQ3 2018","FQ3 2018","Currency=USD","Period=FQ","BEST_FPERIOD_OVERRIDE=FQ","FILING_STATUS=MR","Sort=A","Dates=H","DateFormat=P","Fill=—","Direction=H","UseDPDF=Y")</f>
        <v>#N/A Requesting Data...</v>
      </c>
      <c r="AC12" s="21" t="str">
        <f>_xll.BDH("CRM US Equity","LT_DEBT_TO_TOT_EQY","FQ4 2018","FQ4 2018","Currency=USD","Period=FQ","BEST_FPERIOD_OVERRIDE=FQ","FILING_STATUS=MR","Sort=A","Dates=H","DateFormat=P","Fill=—","Direction=H","UseDPDF=Y")</f>
        <v>#N/A Requesting Data...</v>
      </c>
      <c r="AD12" s="21" t="str">
        <f>_xll.BDH("CRM US Equity","LT_DEBT_TO_TOT_EQY","FQ1 2019","FQ1 2019","Currency=USD","Period=FQ","BEST_FPERIOD_OVERRIDE=FQ","FILING_STATUS=MR","Sort=A","Dates=H","DateFormat=P","Fill=—","Direction=H","UseDPDF=Y")</f>
        <v>#N/A Requesting Data...</v>
      </c>
      <c r="AE12" s="21" t="str">
        <f>_xll.BDH("CRM US Equity","LT_DEBT_TO_TOT_EQY","FQ2 2019","FQ2 2019","Currency=USD","Period=FQ","BEST_FPERIOD_OVERRIDE=FQ","FILING_STATUS=MR","Sort=A","Dates=H","DateFormat=P","Fill=—","Direction=H","UseDPDF=Y")</f>
        <v>#N/A Requesting Data...</v>
      </c>
      <c r="AF12" s="21" t="str">
        <f>_xll.BDH("CRM US Equity","LT_DEBT_TO_TOT_EQY","FQ3 2019","FQ3 2019","Currency=USD","Period=FQ","BEST_FPERIOD_OVERRIDE=FQ","FILING_STATUS=MR","Sort=A","Dates=H","DateFormat=P","Fill=—","Direction=H","UseDPDF=Y")</f>
        <v>#N/A Requesting Data...</v>
      </c>
      <c r="AG12" s="21" t="str">
        <f>_xll.BDH("CRM US Equity","LT_DEBT_TO_TOT_EQY","FQ4 2019","FQ4 2019","Currency=USD","Period=FQ","BEST_FPERIOD_OVERRIDE=FQ","FILING_STATUS=MR","Sort=A","Dates=H","DateFormat=P","Fill=—","Direction=H","UseDPDF=Y")</f>
        <v>#N/A Requesting Data...</v>
      </c>
      <c r="AH12" s="21">
        <f>_xll.BDH("CRM US Equity","LT_DEBT_TO_TOT_EQY","FQ1 2020","FQ1 2020","Currency=USD","Period=FQ","BEST_FPERIOD_OVERRIDE=FQ","FILING_STATUS=MR","Sort=A","Dates=H","DateFormat=P","Fill=—","Direction=H","UseDPDF=Y")</f>
        <v>35.941899999999997</v>
      </c>
      <c r="AI12" s="21">
        <f>_xll.BDH("CRM US Equity","LT_DEBT_TO_TOT_EQY","FQ2 2020","FQ2 2020","Currency=USD","Period=FQ","BEST_FPERIOD_OVERRIDE=FQ","FILING_STATUS=MR","Sort=A","Dates=H","DateFormat=P","Fill=—","Direction=H","UseDPDF=Y")</f>
        <v>32.890599999999999</v>
      </c>
      <c r="AJ12" s="21">
        <f>_xll.BDH("CRM US Equity","LT_DEBT_TO_TOT_EQY","FQ3 2020","FQ3 2020","Currency=USD","Period=FQ","BEST_FPERIOD_OVERRIDE=FQ","FILING_STATUS=MR","Sort=A","Dates=H","DateFormat=P","Fill=—","Direction=H","UseDPDF=Y")</f>
        <v>17.097899999999999</v>
      </c>
      <c r="AK12" s="21">
        <f>_xll.BDH("CRM US Equity","LT_DEBT_TO_TOT_EQY","FQ4 2020","FQ4 2020","Currency=USD","Period=FQ","BEST_FPERIOD_OVERRIDE=FQ","FILING_STATUS=MR","Sort=A","Dates=H","DateFormat=P","Fill=—","Direction=H","UseDPDF=Y")</f>
        <v>16.071999999999999</v>
      </c>
      <c r="AL12" s="21">
        <f>_xll.BDH("CRM US Equity","LT_DEBT_TO_TOT_EQY","FQ1 2021","FQ1 2021","Currency=USD","Period=FQ","BEST_FPERIOD_OVERRIDE=FQ","FILING_STATUS=MR","Sort=A","Dates=H","DateFormat=P","Fill=—","Direction=H","UseDPDF=Y")</f>
        <v>14.7288</v>
      </c>
      <c r="AM12" s="21" t="str">
        <f>_xll.BDH("CRM US Equity","LT_DEBT_TO_TOT_EQY","FQ2 2021","FQ2 2021","Currency=USD","Period=FQ","BEST_FPERIOD_OVERRIDE=FQ","FILING_STATUS=MR","Sort=A","Dates=H","DateFormat=P","Fill=—","Direction=H","UseDPDF=Y")</f>
        <v>#N/A Requesting Data...</v>
      </c>
      <c r="AN12" s="21" t="str">
        <f>_xll.BDH("CRM US Equity","LT_DEBT_TO_TOT_EQY","FQ3 2021","FQ3 2021","Currency=USD","Period=FQ","BEST_FPERIOD_OVERRIDE=FQ","FILING_STATUS=MR","Sort=A","Dates=H","DateFormat=P","Fill=—","Direction=H","UseDPDF=Y")</f>
        <v>#N/A Requesting Data...</v>
      </c>
      <c r="AO12" s="21" t="str">
        <f>_xll.BDH("CRM US Equity","LT_DEBT_TO_TOT_EQY","FQ4 2021","FQ4 2021","Currency=USD","Period=FQ","BEST_FPERIOD_OVERRIDE=FQ","FILING_STATUS=MR","Sort=A","Dates=H","DateFormat=P","Fill=—","Direction=H","UseDPDF=Y")</f>
        <v>#N/A Requesting Data...</v>
      </c>
      <c r="AP12" s="21" t="str">
        <f>_xll.BDH("CRM US Equity","LT_DEBT_TO_TOT_EQY","FQ1 2022","FQ1 2022","Currency=USD","Period=FQ","BEST_FPERIOD_OVERRIDE=FQ","FILING_STATUS=MR","Sort=A","Dates=H","DateFormat=P","Fill=—","Direction=H","UseDPDF=Y")</f>
        <v>#N/A Requesting Data...</v>
      </c>
    </row>
    <row r="13" spans="1:42" x14ac:dyDescent="0.25">
      <c r="A13" s="8" t="s">
        <v>181</v>
      </c>
      <c r="B13" s="8" t="s">
        <v>180</v>
      </c>
      <c r="C13" s="21" t="str">
        <f>_xll.BDH("CRM US Equity","LT_DEBT_TO_TOT_CAP","FQ2 2012","FQ2 2012","Currency=USD","Period=FQ","BEST_FPERIOD_OVERRIDE=FQ","FILING_STATUS=MR","Sort=A","Dates=H","DateFormat=P","Fill=—","Direction=H","UseDPDF=Y")</f>
        <v>#N/A Requesting Data...</v>
      </c>
      <c r="D13" s="21" t="str">
        <f>_xll.BDH("CRM US Equity","LT_DEBT_TO_TOT_CAP","FQ3 2012","FQ3 2012","Currency=USD","Period=FQ","BEST_FPERIOD_OVERRIDE=FQ","FILING_STATUS=MR","Sort=A","Dates=H","DateFormat=P","Fill=—","Direction=H","UseDPDF=Y")</f>
        <v>#N/A Requesting Data...</v>
      </c>
      <c r="E13" s="21" t="str">
        <f>_xll.BDH("CRM US Equity","LT_DEBT_TO_TOT_CAP","FQ4 2012","FQ4 2012","Currency=USD","Period=FQ","BEST_FPERIOD_OVERRIDE=FQ","FILING_STATUS=MR","Sort=A","Dates=H","DateFormat=P","Fill=—","Direction=H","UseDPDF=Y")</f>
        <v>#N/A Requesting Data...</v>
      </c>
      <c r="F13" s="21">
        <f>_xll.BDH("CRM US Equity","LT_DEBT_TO_TOT_CAP","FQ1 2013","FQ1 2013","Currency=USD","Period=FQ","BEST_FPERIOD_OVERRIDE=FQ","FILING_STATUS=MR","Sort=A","Dates=H","DateFormat=P","Fill=—","Direction=H","UseDPDF=Y")</f>
        <v>21.725999999999999</v>
      </c>
      <c r="G13" s="21">
        <f>_xll.BDH("CRM US Equity","LT_DEBT_TO_TOT_CAP","FQ2 2013","FQ2 2013","Currency=USD","Period=FQ","BEST_FPERIOD_OVERRIDE=FQ","FILING_STATUS=MR","Sort=A","Dates=H","DateFormat=P","Fill=—","Direction=H","UseDPDF=Y")</f>
        <v>0</v>
      </c>
      <c r="H13" s="21">
        <f>_xll.BDH("CRM US Equity","LT_DEBT_TO_TOT_CAP","FQ3 2013","FQ3 2013","Currency=USD","Period=FQ","BEST_FPERIOD_OVERRIDE=FQ","FILING_STATUS=MR","Sort=A","Dates=H","DateFormat=P","Fill=—","Direction=H","UseDPDF=Y")</f>
        <v>0</v>
      </c>
      <c r="I13" s="21">
        <f>_xll.BDH("CRM US Equity","LT_DEBT_TO_TOT_CAP","FQ4 2013","FQ4 2013","Currency=USD","Period=FQ","BEST_FPERIOD_OVERRIDE=FQ","FILING_STATUS=MR","Sort=A","Dates=H","DateFormat=P","Fill=—","Direction=H","UseDPDF=Y")</f>
        <v>2.1254</v>
      </c>
      <c r="J13" s="21">
        <f>_xll.BDH("CRM US Equity","LT_DEBT_TO_TOT_CAP","FQ1 2014","FQ1 2014","Currency=USD","Period=FQ","BEST_FPERIOD_OVERRIDE=FQ","FILING_STATUS=MR","Sort=A","Dates=H","DateFormat=P","Fill=—","Direction=H","UseDPDF=Y")</f>
        <v>26.412600000000001</v>
      </c>
      <c r="K13" s="21">
        <f>_xll.BDH("CRM US Equity","LT_DEBT_TO_TOT_CAP","FQ2 2014","FQ2 2014","Currency=USD","Period=FQ","BEST_FPERIOD_OVERRIDE=FQ","FILING_STATUS=MR","Sort=A","Dates=H","DateFormat=P","Fill=—","Direction=H","UseDPDF=Y")</f>
        <v>34.738300000000002</v>
      </c>
      <c r="L13" s="21" t="str">
        <f>_xll.BDH("CRM US Equity","LT_DEBT_TO_TOT_CAP","FQ3 2014","FQ3 2014","Currency=USD","Period=FQ","BEST_FPERIOD_OVERRIDE=FQ","FILING_STATUS=MR","Sort=A","Dates=H","DateFormat=P","Fill=—","Direction=H","UseDPDF=Y")</f>
        <v>#N/A Requesting Data...</v>
      </c>
      <c r="M13" s="21" t="str">
        <f>_xll.BDH("CRM US Equity","LT_DEBT_TO_TOT_CAP","FQ4 2014","FQ4 2014","Currency=USD","Period=FQ","BEST_FPERIOD_OVERRIDE=FQ","FILING_STATUS=MR","Sort=A","Dates=H","DateFormat=P","Fill=—","Direction=H","UseDPDF=Y")</f>
        <v>#N/A Requesting Data...</v>
      </c>
      <c r="N13" s="21" t="str">
        <f>_xll.BDH("CRM US Equity","LT_DEBT_TO_TOT_CAP","FQ1 2015","FQ1 2015","Currency=USD","Period=FQ","BEST_FPERIOD_OVERRIDE=FQ","FILING_STATUS=MR","Sort=A","Dates=H","DateFormat=P","Fill=—","Direction=H","UseDPDF=Y")</f>
        <v>#N/A Requesting Data...</v>
      </c>
      <c r="O13" s="21">
        <f>_xll.BDH("CRM US Equity","LT_DEBT_TO_TOT_CAP","FQ2 2015","FQ2 2015","Currency=USD","Period=FQ","BEST_FPERIOD_OVERRIDE=FQ","FILING_STATUS=MR","Sort=A","Dates=H","DateFormat=P","Fill=—","Direction=H","UseDPDF=Y")</f>
        <v>33.853000000000002</v>
      </c>
      <c r="P13" s="21" t="str">
        <f>_xll.BDH("CRM US Equity","LT_DEBT_TO_TOT_CAP","FQ3 2015","FQ3 2015","Currency=USD","Period=FQ","BEST_FPERIOD_OVERRIDE=FQ","FILING_STATUS=MR","Sort=A","Dates=H","DateFormat=P","Fill=—","Direction=H","UseDPDF=Y")</f>
        <v>#N/A Requesting Data...</v>
      </c>
      <c r="Q13" s="21">
        <f>_xll.BDH("CRM US Equity","LT_DEBT_TO_TOT_CAP","FQ4 2015","FQ4 2015","Currency=USD","Period=FQ","BEST_FPERIOD_OVERRIDE=FQ","FILING_STATUS=MR","Sort=A","Dates=H","DateFormat=P","Fill=—","Direction=H","UseDPDF=Y")</f>
        <v>32.769199999999998</v>
      </c>
      <c r="R13" s="21">
        <f>_xll.BDH("CRM US Equity","LT_DEBT_TO_TOT_CAP","FQ1 2016","FQ1 2016","Currency=USD","Period=FQ","BEST_FPERIOD_OVERRIDE=FQ","FILING_STATUS=MR","Sort=A","Dates=H","DateFormat=P","Fill=—","Direction=H","UseDPDF=Y")</f>
        <v>20.27</v>
      </c>
      <c r="S13" s="21">
        <f>_xll.BDH("CRM US Equity","LT_DEBT_TO_TOT_CAP","FQ2 2016","FQ2 2016","Currency=USD","Period=FQ","BEST_FPERIOD_OVERRIDE=FQ","FILING_STATUS=MR","Sort=A","Dates=H","DateFormat=P","Fill=—","Direction=H","UseDPDF=Y")</f>
        <v>28.378599999999999</v>
      </c>
      <c r="T13" s="21">
        <f>_xll.BDH("CRM US Equity","LT_DEBT_TO_TOT_CAP","FQ3 2016","FQ3 2016","Currency=USD","Period=FQ","BEST_FPERIOD_OVERRIDE=FQ","FILING_STATUS=MR","Sort=A","Dates=H","DateFormat=P","Fill=—","Direction=H","UseDPDF=Y")</f>
        <v>27.432600000000001</v>
      </c>
      <c r="U13" s="21">
        <f>_xll.BDH("CRM US Equity","LT_DEBT_TO_TOT_CAP","FQ4 2016","FQ4 2016","Currency=USD","Period=FQ","BEST_FPERIOD_OVERRIDE=FQ","FILING_STATUS=MR","Sort=A","Dates=H","DateFormat=P","Fill=—","Direction=H","UseDPDF=Y")</f>
        <v>20.45</v>
      </c>
      <c r="V13" s="21">
        <f>_xll.BDH("CRM US Equity","LT_DEBT_TO_TOT_CAP","FQ1 2017","FQ1 2017","Currency=USD","Period=FQ","BEST_FPERIOD_OVERRIDE=FQ","FILING_STATUS=MR","Sort=A","Dates=H","DateFormat=P","Fill=—","Direction=H","UseDPDF=Y")</f>
        <v>23.7761</v>
      </c>
      <c r="W13" s="21" t="str">
        <f>_xll.BDH("CRM US Equity","LT_DEBT_TO_TOT_CAP","FQ2 2017","FQ2 2017","Currency=USD","Period=FQ","BEST_FPERIOD_OVERRIDE=FQ","FILING_STATUS=MR","Sort=A","Dates=H","DateFormat=P","Fill=—","Direction=H","UseDPDF=Y")</f>
        <v>#N/A Requesting Data...</v>
      </c>
      <c r="X13" s="21" t="str">
        <f>_xll.BDH("CRM US Equity","LT_DEBT_TO_TOT_CAP","FQ3 2017","FQ3 2017","Currency=USD","Period=FQ","BEST_FPERIOD_OVERRIDE=FQ","FILING_STATUS=MR","Sort=A","Dates=H","DateFormat=P","Fill=—","Direction=H","UseDPDF=Y")</f>
        <v>#N/A Requesting Data...</v>
      </c>
      <c r="Y13" s="21" t="str">
        <f>_xll.BDH("CRM US Equity","LT_DEBT_TO_TOT_CAP","FQ4 2017","FQ4 2017","Currency=USD","Period=FQ","BEST_FPERIOD_OVERRIDE=FQ","FILING_STATUS=MR","Sort=A","Dates=H","DateFormat=P","Fill=—","Direction=H","UseDPDF=Y")</f>
        <v>#N/A Requesting Data...</v>
      </c>
      <c r="Z13" s="21" t="str">
        <f>_xll.BDH("CRM US Equity","LT_DEBT_TO_TOT_CAP","FQ1 2018","FQ1 2018","Currency=USD","Period=FQ","BEST_FPERIOD_OVERRIDE=FQ","FILING_STATUS=MR","Sort=A","Dates=H","DateFormat=P","Fill=—","Direction=H","UseDPDF=Y")</f>
        <v>#N/A Requesting Data...</v>
      </c>
      <c r="AA13" s="21" t="str">
        <f>_xll.BDH("CRM US Equity","LT_DEBT_TO_TOT_CAP","FQ2 2018","FQ2 2018","Currency=USD","Period=FQ","BEST_FPERIOD_OVERRIDE=FQ","FILING_STATUS=MR","Sort=A","Dates=H","DateFormat=P","Fill=—","Direction=H","UseDPDF=Y")</f>
        <v>#N/A Requesting Data...</v>
      </c>
      <c r="AB13" s="21">
        <f>_xll.BDH("CRM US Equity","LT_DEBT_TO_TOT_CAP","FQ3 2018","FQ3 2018","Currency=USD","Period=FQ","BEST_FPERIOD_OVERRIDE=FQ","FILING_STATUS=MR","Sort=A","Dates=H","DateFormat=P","Fill=—","Direction=H","UseDPDF=Y")</f>
        <v>6.6264000000000003</v>
      </c>
      <c r="AC13" s="21" t="str">
        <f>_xll.BDH("CRM US Equity","LT_DEBT_TO_TOT_CAP","FQ4 2018","FQ4 2018","Currency=USD","Period=FQ","BEST_FPERIOD_OVERRIDE=FQ","FILING_STATUS=MR","Sort=A","Dates=H","DateFormat=P","Fill=—","Direction=H","UseDPDF=Y")</f>
        <v>#N/A Requesting Data...</v>
      </c>
      <c r="AD13" s="21">
        <f>_xll.BDH("CRM US Equity","LT_DEBT_TO_TOT_CAP","FQ1 2019","FQ1 2019","Currency=USD","Period=FQ","BEST_FPERIOD_OVERRIDE=FQ","FILING_STATUS=MR","Sort=A","Dates=H","DateFormat=P","Fill=—","Direction=H","UseDPDF=Y")</f>
        <v>22.283100000000001</v>
      </c>
      <c r="AE13" s="21">
        <f>_xll.BDH("CRM US Equity","LT_DEBT_TO_TOT_CAP","FQ2 2019","FQ2 2019","Currency=USD","Period=FQ","BEST_FPERIOD_OVERRIDE=FQ","FILING_STATUS=MR","Sort=A","Dates=H","DateFormat=P","Fill=—","Direction=H","UseDPDF=Y")</f>
        <v>18.4434</v>
      </c>
      <c r="AF13" s="21">
        <f>_xll.BDH("CRM US Equity","LT_DEBT_TO_TOT_CAP","FQ3 2019","FQ3 2019","Currency=USD","Period=FQ","BEST_FPERIOD_OVERRIDE=FQ","FILING_STATUS=MR","Sort=A","Dates=H","DateFormat=P","Fill=—","Direction=H","UseDPDF=Y")</f>
        <v>17.273700000000002</v>
      </c>
      <c r="AG13" s="21">
        <f>_xll.BDH("CRM US Equity","LT_DEBT_TO_TOT_CAP","FQ4 2019","FQ4 2019","Currency=USD","Period=FQ","BEST_FPERIOD_OVERRIDE=FQ","FILING_STATUS=MR","Sort=A","Dates=H","DateFormat=P","Fill=—","Direction=H","UseDPDF=Y")</f>
        <v>17.718399999999999</v>
      </c>
      <c r="AH13" s="21">
        <f>_xll.BDH("CRM US Equity","LT_DEBT_TO_TOT_CAP","FQ1 2020","FQ1 2020","Currency=USD","Period=FQ","BEST_FPERIOD_OVERRIDE=FQ","FILING_STATUS=MR","Sort=A","Dates=H","DateFormat=P","Fill=—","Direction=H","UseDPDF=Y")</f>
        <v>25.463100000000001</v>
      </c>
      <c r="AI13" s="21">
        <f>_xll.BDH("CRM US Equity","LT_DEBT_TO_TOT_CAP","FQ2 2020","FQ2 2020","Currency=USD","Period=FQ","BEST_FPERIOD_OVERRIDE=FQ","FILING_STATUS=MR","Sort=A","Dates=H","DateFormat=P","Fill=—","Direction=H","UseDPDF=Y")</f>
        <v>23.925799999999999</v>
      </c>
      <c r="AJ13" s="21" t="str">
        <f>_xll.BDH("CRM US Equity","LT_DEBT_TO_TOT_CAP","FQ3 2020","FQ3 2020","Currency=USD","Period=FQ","BEST_FPERIOD_OVERRIDE=FQ","FILING_STATUS=MR","Sort=A","Dates=H","DateFormat=P","Fill=—","Direction=H","UseDPDF=Y")</f>
        <v>#N/A Requesting Data...</v>
      </c>
      <c r="AK13" s="21" t="str">
        <f>_xll.BDH("CRM US Equity","LT_DEBT_TO_TOT_CAP","FQ4 2020","FQ4 2020","Currency=USD","Period=FQ","BEST_FPERIOD_OVERRIDE=FQ","FILING_STATUS=MR","Sort=A","Dates=H","DateFormat=P","Fill=—","Direction=H","UseDPDF=Y")</f>
        <v>#N/A Requesting Data...</v>
      </c>
      <c r="AL13" s="21" t="str">
        <f>_xll.BDH("CRM US Equity","LT_DEBT_TO_TOT_CAP","FQ1 2021","FQ1 2021","Currency=USD","Period=FQ","BEST_FPERIOD_OVERRIDE=FQ","FILING_STATUS=MR","Sort=A","Dates=H","DateFormat=P","Fill=—","Direction=H","UseDPDF=Y")</f>
        <v>#N/A Requesting Data...</v>
      </c>
      <c r="AM13" s="21">
        <f>_xll.BDH("CRM US Equity","LT_DEBT_TO_TOT_CAP","FQ2 2021","FQ2 2021","Currency=USD","Period=FQ","BEST_FPERIOD_OVERRIDE=FQ","FILING_STATUS=MR","Sort=A","Dates=H","DateFormat=P","Fill=—","Direction=H","UseDPDF=Y")</f>
        <v>12.1098</v>
      </c>
      <c r="AN13" s="21" t="str">
        <f>_xll.BDH("CRM US Equity","LT_DEBT_TO_TOT_CAP","FQ3 2021","FQ3 2021","Currency=USD","Period=FQ","BEST_FPERIOD_OVERRIDE=FQ","FILING_STATUS=MR","Sort=A","Dates=H","DateFormat=P","Fill=—","Direction=H","UseDPDF=Y")</f>
        <v>#N/A Requesting Data...</v>
      </c>
      <c r="AO13" s="21" t="str">
        <f>_xll.BDH("CRM US Equity","LT_DEBT_TO_TOT_CAP","FQ4 2021","FQ4 2021","Currency=USD","Period=FQ","BEST_FPERIOD_OVERRIDE=FQ","FILING_STATUS=MR","Sort=A","Dates=H","DateFormat=P","Fill=—","Direction=H","UseDPDF=Y")</f>
        <v>#N/A Requesting Data...</v>
      </c>
      <c r="AP13" s="21">
        <f>_xll.BDH("CRM US Equity","LT_DEBT_TO_TOT_CAP","FQ1 2022","FQ1 2022","Currency=USD","Period=FQ","BEST_FPERIOD_OVERRIDE=FQ","FILING_STATUS=MR","Sort=A","Dates=H","DateFormat=P","Fill=—","Direction=H","UseDPDF=Y")</f>
        <v>11.092599999999999</v>
      </c>
    </row>
    <row r="14" spans="1:42" x14ac:dyDescent="0.25">
      <c r="A14" s="8" t="s">
        <v>179</v>
      </c>
      <c r="B14" s="8" t="s">
        <v>178</v>
      </c>
      <c r="C14" s="21">
        <f>_xll.BDH("CRM US Equity","LT_DEBT_TO_TOT_ASSET","FQ2 2012","FQ2 2012","Currency=USD","Period=FQ","BEST_FPERIOD_OVERRIDE=FQ","FILING_STATUS=MR","Sort=A","Dates=H","DateFormat=P","Fill=—","Direction=H","UseDPDF=Y")</f>
        <v>0</v>
      </c>
      <c r="D14" s="21">
        <f>_xll.BDH("CRM US Equity","LT_DEBT_TO_TOT_ASSET","FQ3 2012","FQ3 2012","Currency=USD","Period=FQ","BEST_FPERIOD_OVERRIDE=FQ","FILING_STATUS=MR","Sort=A","Dates=H","DateFormat=P","Fill=—","Direction=H","UseDPDF=Y")</f>
        <v>0</v>
      </c>
      <c r="E14" s="21">
        <f>_xll.BDH("CRM US Equity","LT_DEBT_TO_TOT_ASSET","FQ4 2012","FQ4 2012","Currency=USD","Period=FQ","BEST_FPERIOD_OVERRIDE=FQ","FILING_STATUS=MR","Sort=A","Dates=H","DateFormat=P","Fill=—","Direction=H","UseDPDF=Y")</f>
        <v>0</v>
      </c>
      <c r="F14" s="21">
        <f>_xll.BDH("CRM US Equity","LT_DEBT_TO_TOT_ASSET","FQ1 2013","FQ1 2013","Currency=USD","Period=FQ","BEST_FPERIOD_OVERRIDE=FQ","FILING_STATUS=MR","Sort=A","Dates=H","DateFormat=P","Fill=—","Direction=H","UseDPDF=Y")</f>
        <v>12.086499999999999</v>
      </c>
      <c r="G14" s="21">
        <f>_xll.BDH("CRM US Equity","LT_DEBT_TO_TOT_ASSET","FQ2 2013","FQ2 2013","Currency=USD","Period=FQ","BEST_FPERIOD_OVERRIDE=FQ","FILING_STATUS=MR","Sort=A","Dates=H","DateFormat=P","Fill=—","Direction=H","UseDPDF=Y")</f>
        <v>0</v>
      </c>
      <c r="H14" s="21" t="str">
        <f>_xll.BDH("CRM US Equity","LT_DEBT_TO_TOT_ASSET","FQ3 2013","FQ3 2013","Currency=USD","Period=FQ","BEST_FPERIOD_OVERRIDE=FQ","FILING_STATUS=MR","Sort=A","Dates=H","DateFormat=P","Fill=—","Direction=H","UseDPDF=Y")</f>
        <v>#N/A Requesting Data...</v>
      </c>
      <c r="I14" s="21">
        <f>_xll.BDH("CRM US Equity","LT_DEBT_TO_TOT_ASSET","FQ4 2013","FQ4 2013","Currency=USD","Period=FQ","BEST_FPERIOD_OVERRIDE=FQ","FILING_STATUS=MR","Sort=A","Dates=H","DateFormat=P","Fill=—","Direction=H","UseDPDF=Y")</f>
        <v>1.1360999999999999</v>
      </c>
      <c r="J14" s="21">
        <f>_xll.BDH("CRM US Equity","LT_DEBT_TO_TOT_ASSET","FQ1 2014","FQ1 2014","Currency=USD","Period=FQ","BEST_FPERIOD_OVERRIDE=FQ","FILING_STATUS=MR","Sort=A","Dates=H","DateFormat=P","Fill=—","Direction=H","UseDPDF=Y")</f>
        <v>16.738700000000001</v>
      </c>
      <c r="K14" s="21" t="str">
        <f>_xll.BDH("CRM US Equity","LT_DEBT_TO_TOT_ASSET","FQ2 2014","FQ2 2014","Currency=USD","Period=FQ","BEST_FPERIOD_OVERRIDE=FQ","FILING_STATUS=MR","Sort=A","Dates=H","DateFormat=P","Fill=—","Direction=H","UseDPDF=Y")</f>
        <v>#N/A Requesting Data...</v>
      </c>
      <c r="L14" s="21" t="str">
        <f>_xll.BDH("CRM US Equity","LT_DEBT_TO_TOT_ASSET","FQ3 2014","FQ3 2014","Currency=USD","Period=FQ","BEST_FPERIOD_OVERRIDE=FQ","FILING_STATUS=MR","Sort=A","Dates=H","DateFormat=P","Fill=—","Direction=H","UseDPDF=Y")</f>
        <v>#N/A Requesting Data...</v>
      </c>
      <c r="M14" s="21" t="str">
        <f>_xll.BDH("CRM US Equity","LT_DEBT_TO_TOT_ASSET","FQ4 2014","FQ4 2014","Currency=USD","Period=FQ","BEST_FPERIOD_OVERRIDE=FQ","FILING_STATUS=MR","Sort=A","Dates=H","DateFormat=P","Fill=—","Direction=H","UseDPDF=Y")</f>
        <v>#N/A Requesting Data...</v>
      </c>
      <c r="N14" s="21">
        <f>_xll.BDH("CRM US Equity","LT_DEBT_TO_TOT_ASSET","FQ1 2015","FQ1 2015","Currency=USD","Period=FQ","BEST_FPERIOD_OVERRIDE=FQ","FILING_STATUS=MR","Sort=A","Dates=H","DateFormat=P","Fill=—","Direction=H","UseDPDF=Y")</f>
        <v>18.126200000000001</v>
      </c>
      <c r="O14" s="21">
        <f>_xll.BDH("CRM US Equity","LT_DEBT_TO_TOT_ASSET","FQ2 2015","FQ2 2015","Currency=USD","Period=FQ","BEST_FPERIOD_OVERRIDE=FQ","FILING_STATUS=MR","Sort=A","Dates=H","DateFormat=P","Fill=—","Direction=H","UseDPDF=Y")</f>
        <v>20.459499999999998</v>
      </c>
      <c r="P14" s="21">
        <f>_xll.BDH("CRM US Equity","LT_DEBT_TO_TOT_ASSET","FQ3 2015","FQ3 2015","Currency=USD","Period=FQ","BEST_FPERIOD_OVERRIDE=FQ","FILING_STATUS=MR","Sort=A","Dates=H","DateFormat=P","Fill=—","Direction=H","UseDPDF=Y")</f>
        <v>20.5825</v>
      </c>
      <c r="Q14" s="21">
        <f>_xll.BDH("CRM US Equity","LT_DEBT_TO_TOT_ASSET","FQ4 2015","FQ4 2015","Currency=USD","Period=FQ","BEST_FPERIOD_OVERRIDE=FQ","FILING_STATUS=MR","Sort=A","Dates=H","DateFormat=P","Fill=—","Direction=H","UseDPDF=Y")</f>
        <v>18.167200000000001</v>
      </c>
      <c r="R14" s="21">
        <f>_xll.BDH("CRM US Equity","LT_DEBT_TO_TOT_ASSET","FQ1 2016","FQ1 2016","Currency=USD","Period=FQ","BEST_FPERIOD_OVERRIDE=FQ","FILING_STATUS=MR","Sort=A","Dates=H","DateFormat=P","Fill=—","Direction=H","UseDPDF=Y")</f>
        <v>10.3874</v>
      </c>
      <c r="S14" s="21">
        <f>_xll.BDH("CRM US Equity","LT_DEBT_TO_TOT_ASSET","FQ2 2016","FQ2 2016","Currency=USD","Period=FQ","BEST_FPERIOD_OVERRIDE=FQ","FILING_STATUS=MR","Sort=A","Dates=H","DateFormat=P","Fill=—","Direction=H","UseDPDF=Y")</f>
        <v>16.650300000000001</v>
      </c>
      <c r="T14" s="21" t="str">
        <f>_xll.BDH("CRM US Equity","LT_DEBT_TO_TOT_ASSET","FQ3 2016","FQ3 2016","Currency=USD","Period=FQ","BEST_FPERIOD_OVERRIDE=FQ","FILING_STATUS=MR","Sort=A","Dates=H","DateFormat=P","Fill=—","Direction=H","UseDPDF=Y")</f>
        <v>#N/A Requesting Data...</v>
      </c>
      <c r="U14" s="21" t="str">
        <f>_xll.BDH("CRM US Equity","LT_DEBT_TO_TOT_ASSET","FQ4 2016","FQ4 2016","Currency=USD","Period=FQ","BEST_FPERIOD_OVERRIDE=FQ","FILING_STATUS=MR","Sort=A","Dates=H","DateFormat=P","Fill=—","Direction=H","UseDPDF=Y")</f>
        <v>#N/A Requesting Data...</v>
      </c>
      <c r="V14" s="21" t="str">
        <f>_xll.BDH("CRM US Equity","LT_DEBT_TO_TOT_ASSET","FQ1 2017","FQ1 2017","Currency=USD","Period=FQ","BEST_FPERIOD_OVERRIDE=FQ","FILING_STATUS=MR","Sort=A","Dates=H","DateFormat=P","Fill=—","Direction=H","UseDPDF=Y")</f>
        <v>#N/A Requesting Data...</v>
      </c>
      <c r="W14" s="21" t="str">
        <f>_xll.BDH("CRM US Equity","LT_DEBT_TO_TOT_ASSET","FQ2 2017","FQ2 2017","Currency=USD","Period=FQ","BEST_FPERIOD_OVERRIDE=FQ","FILING_STATUS=MR","Sort=A","Dates=H","DateFormat=P","Fill=—","Direction=H","UseDPDF=Y")</f>
        <v>#N/A Requesting Data...</v>
      </c>
      <c r="X14" s="21" t="str">
        <f>_xll.BDH("CRM US Equity","LT_DEBT_TO_TOT_ASSET","FQ3 2017","FQ3 2017","Currency=USD","Period=FQ","BEST_FPERIOD_OVERRIDE=FQ","FILING_STATUS=MR","Sort=A","Dates=H","DateFormat=P","Fill=—","Direction=H","UseDPDF=Y")</f>
        <v>#N/A Requesting Data...</v>
      </c>
      <c r="Y14" s="21" t="str">
        <f>_xll.BDH("CRM US Equity","LT_DEBT_TO_TOT_ASSET","FQ4 2017","FQ4 2017","Currency=USD","Period=FQ","BEST_FPERIOD_OVERRIDE=FQ","FILING_STATUS=MR","Sort=A","Dates=H","DateFormat=P","Fill=—","Direction=H","UseDPDF=Y")</f>
        <v>#N/A Requesting Data...</v>
      </c>
      <c r="Z14" s="21">
        <f>_xll.BDH("CRM US Equity","LT_DEBT_TO_TOT_ASSET","FQ1 2018","FQ1 2018","Currency=USD","Period=FQ","BEST_FPERIOD_OVERRIDE=FQ","FILING_STATUS=MR","Sort=A","Dates=H","DateFormat=P","Fill=—","Direction=H","UseDPDF=Y")</f>
        <v>4.0791000000000004</v>
      </c>
      <c r="AA14" s="21">
        <f>_xll.BDH("CRM US Equity","LT_DEBT_TO_TOT_ASSET","FQ2 2018","FQ2 2018","Currency=USD","Period=FQ","BEST_FPERIOD_OVERRIDE=FQ","FILING_STATUS=MR","Sort=A","Dates=H","DateFormat=P","Fill=—","Direction=H","UseDPDF=Y")</f>
        <v>3.9967999999999999</v>
      </c>
      <c r="AB14" s="21">
        <f>_xll.BDH("CRM US Equity","LT_DEBT_TO_TOT_ASSET","FQ3 2018","FQ3 2018","Currency=USD","Period=FQ","BEST_FPERIOD_OVERRIDE=FQ","FILING_STATUS=MR","Sort=A","Dates=H","DateFormat=P","Fill=—","Direction=H","UseDPDF=Y")</f>
        <v>4.0442999999999998</v>
      </c>
      <c r="AC14" s="21">
        <f>_xll.BDH("CRM US Equity","LT_DEBT_TO_TOT_ASSET","FQ4 2018","FQ4 2018","Currency=USD","Period=FQ","BEST_FPERIOD_OVERRIDE=FQ","FILING_STATUS=MR","Sort=A","Dates=H","DateFormat=P","Fill=—","Direction=H","UseDPDF=Y")</f>
        <v>3.1614</v>
      </c>
      <c r="AD14" s="21">
        <f>_xll.BDH("CRM US Equity","LT_DEBT_TO_TOT_ASSET","FQ1 2019","FQ1 2019","Currency=USD","Period=FQ","BEST_FPERIOD_OVERRIDE=FQ","FILING_STATUS=MR","Sort=A","Dates=H","DateFormat=P","Fill=—","Direction=H","UseDPDF=Y")</f>
        <v>13.813499999999999</v>
      </c>
      <c r="AE14" s="21" t="str">
        <f>_xll.BDH("CRM US Equity","LT_DEBT_TO_TOT_ASSET","FQ2 2019","FQ2 2019","Currency=USD","Period=FQ","BEST_FPERIOD_OVERRIDE=FQ","FILING_STATUS=MR","Sort=A","Dates=H","DateFormat=P","Fill=—","Direction=H","UseDPDF=Y")</f>
        <v>#N/A Requesting Data...</v>
      </c>
      <c r="AF14" s="21">
        <f>_xll.BDH("CRM US Equity","LT_DEBT_TO_TOT_ASSET","FQ3 2019","FQ3 2019","Currency=USD","Period=FQ","BEST_FPERIOD_OVERRIDE=FQ","FILING_STATUS=MR","Sort=A","Dates=H","DateFormat=P","Fill=—","Direction=H","UseDPDF=Y")</f>
        <v>11.933999999999999</v>
      </c>
      <c r="AG14" s="21" t="str">
        <f>_xll.BDH("CRM US Equity","LT_DEBT_TO_TOT_ASSET","FQ4 2019","FQ4 2019","Currency=USD","Period=FQ","BEST_FPERIOD_OVERRIDE=FQ","FILING_STATUS=MR","Sort=A","Dates=H","DateFormat=P","Fill=—","Direction=H","UseDPDF=Y")</f>
        <v>#N/A Requesting Data...</v>
      </c>
      <c r="AH14" s="21" t="str">
        <f>_xll.BDH("CRM US Equity","LT_DEBT_TO_TOT_ASSET","FQ1 2020","FQ1 2020","Currency=USD","Period=FQ","BEST_FPERIOD_OVERRIDE=FQ","FILING_STATUS=MR","Sort=A","Dates=H","DateFormat=P","Fill=—","Direction=H","UseDPDF=Y")</f>
        <v>#N/A Requesting Data...</v>
      </c>
      <c r="AI14" s="21" t="str">
        <f>_xll.BDH("CRM US Equity","LT_DEBT_TO_TOT_ASSET","FQ2 2020","FQ2 2020","Currency=USD","Period=FQ","BEST_FPERIOD_OVERRIDE=FQ","FILING_STATUS=MR","Sort=A","Dates=H","DateFormat=P","Fill=—","Direction=H","UseDPDF=Y")</f>
        <v>#N/A Requesting Data...</v>
      </c>
      <c r="AJ14" s="21" t="str">
        <f>_xll.BDH("CRM US Equity","LT_DEBT_TO_TOT_ASSET","FQ3 2020","FQ3 2020","Currency=USD","Period=FQ","BEST_FPERIOD_OVERRIDE=FQ","FILING_STATUS=MR","Sort=A","Dates=H","DateFormat=P","Fill=—","Direction=H","UseDPDF=Y")</f>
        <v>#N/A Requesting Data...</v>
      </c>
      <c r="AK14" s="21" t="str">
        <f>_xll.BDH("CRM US Equity","LT_DEBT_TO_TOT_ASSET","FQ4 2020","FQ4 2020","Currency=USD","Period=FQ","BEST_FPERIOD_OVERRIDE=FQ","FILING_STATUS=MR","Sort=A","Dates=H","DateFormat=P","Fill=—","Direction=H","UseDPDF=Y")</f>
        <v>#N/A Requesting Data...</v>
      </c>
      <c r="AL14" s="21">
        <f>_xll.BDH("CRM US Equity","LT_DEBT_TO_TOT_ASSET","FQ1 2021","FQ1 2021","Currency=USD","Period=FQ","BEST_FPERIOD_OVERRIDE=FQ","FILING_STATUS=MR","Sort=A","Dates=H","DateFormat=P","Fill=—","Direction=H","UseDPDF=Y")</f>
        <v>9.4940999999999995</v>
      </c>
      <c r="AM14" s="21">
        <f>_xll.BDH("CRM US Equity","LT_DEBT_TO_TOT_ASSET","FQ2 2021","FQ2 2021","Currency=USD","Period=FQ","BEST_FPERIOD_OVERRIDE=FQ","FILING_STATUS=MR","Sort=A","Dates=H","DateFormat=P","Fill=—","Direction=H","UseDPDF=Y")</f>
        <v>9.3527000000000005</v>
      </c>
      <c r="AN14" s="21">
        <f>_xll.BDH("CRM US Equity","LT_DEBT_TO_TOT_ASSET","FQ3 2021","FQ3 2021","Currency=USD","Period=FQ","BEST_FPERIOD_OVERRIDE=FQ","FILING_STATUS=MR","Sort=A","Dates=H","DateFormat=P","Fill=—","Direction=H","UseDPDF=Y")</f>
        <v>9.2093000000000007</v>
      </c>
      <c r="AO14" s="21">
        <f>_xll.BDH("CRM US Equity","LT_DEBT_TO_TOT_ASSET","FQ4 2021","FQ4 2021","Currency=USD","Period=FQ","BEST_FPERIOD_OVERRIDE=FQ","FILING_STATUS=MR","Sort=A","Dates=H","DateFormat=P","Fill=—","Direction=H","UseDPDF=Y")</f>
        <v>8.4524000000000008</v>
      </c>
      <c r="AP14" s="21">
        <f>_xll.BDH("CRM US Equity","LT_DEBT_TO_TOT_ASSET","FQ1 2022","FQ1 2022","Currency=USD","Period=FQ","BEST_FPERIOD_OVERRIDE=FQ","FILING_STATUS=MR","Sort=A","Dates=H","DateFormat=P","Fill=—","Direction=H","UseDPDF=Y")</f>
        <v>8.3254999999999999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177</v>
      </c>
      <c r="B16" s="8" t="s">
        <v>176</v>
      </c>
      <c r="C16" s="21" t="str">
        <f>_xll.BDH("CRM US Equity","TOT_DEBT_TO_TOT_EQY","FQ2 2012","FQ2 2012","Currency=USD","Period=FQ","BEST_FPERIOD_OVERRIDE=FQ","FILING_STATUS=MR","Sort=A","Dates=H","DateFormat=P","Fill=—","Direction=H","UseDPDF=Y")</f>
        <v>#N/A Requesting Data...</v>
      </c>
      <c r="D16" s="21" t="str">
        <f>_xll.BDH("CRM US Equity","TOT_DEBT_TO_TOT_EQY","FQ3 2012","FQ3 2012","Currency=USD","Period=FQ","BEST_FPERIOD_OVERRIDE=FQ","FILING_STATUS=MR","Sort=A","Dates=H","DateFormat=P","Fill=—","Direction=H","UseDPDF=Y")</f>
        <v>#N/A Requesting Data...</v>
      </c>
      <c r="E16" s="21" t="str">
        <f>_xll.BDH("CRM US Equity","TOT_DEBT_TO_TOT_EQY","FQ4 2012","FQ4 2012","Currency=USD","Period=FQ","BEST_FPERIOD_OVERRIDE=FQ","FILING_STATUS=MR","Sort=A","Dates=H","DateFormat=P","Fill=—","Direction=H","UseDPDF=Y")</f>
        <v>#N/A Requesting Data...</v>
      </c>
      <c r="F16" s="21" t="str">
        <f>_xll.BDH("CRM US Equity","TOT_DEBT_TO_TOT_EQY","FQ1 2013","FQ1 2013","Currency=USD","Period=FQ","BEST_FPERIOD_OVERRIDE=FQ","FILING_STATUS=MR","Sort=A","Dates=H","DateFormat=P","Fill=—","Direction=H","UseDPDF=Y")</f>
        <v>#N/A Requesting Data...</v>
      </c>
      <c r="G16" s="21" t="str">
        <f>_xll.BDH("CRM US Equity","TOT_DEBT_TO_TOT_EQY","FQ2 2013","FQ2 2013","Currency=USD","Period=FQ","BEST_FPERIOD_OVERRIDE=FQ","FILING_STATUS=MR","Sort=A","Dates=H","DateFormat=P","Fill=—","Direction=H","UseDPDF=Y")</f>
        <v>#N/A Requesting Data...</v>
      </c>
      <c r="H16" s="21" t="str">
        <f>_xll.BDH("CRM US Equity","TOT_DEBT_TO_TOT_EQY","FQ3 2013","FQ3 2013","Currency=USD","Period=FQ","BEST_FPERIOD_OVERRIDE=FQ","FILING_STATUS=MR","Sort=A","Dates=H","DateFormat=P","Fill=—","Direction=H","UseDPDF=Y")</f>
        <v>#N/A Requesting Data...</v>
      </c>
      <c r="I16" s="21" t="str">
        <f>_xll.BDH("CRM US Equity","TOT_DEBT_TO_TOT_EQY","FQ4 2013","FQ4 2013","Currency=USD","Period=FQ","BEST_FPERIOD_OVERRIDE=FQ","FILING_STATUS=MR","Sort=A","Dates=H","DateFormat=P","Fill=—","Direction=H","UseDPDF=Y")</f>
        <v>#N/A Requesting Data...</v>
      </c>
      <c r="J16" s="21">
        <f>_xll.BDH("CRM US Equity","TOT_DEBT_TO_TOT_EQY","FQ1 2014","FQ1 2014","Currency=USD","Period=FQ","BEST_FPERIOD_OVERRIDE=FQ","FILING_STATUS=MR","Sort=A","Dates=H","DateFormat=P","Fill=—","Direction=H","UseDPDF=Y")</f>
        <v>64.470200000000006</v>
      </c>
      <c r="K16" s="21">
        <f>_xll.BDH("CRM US Equity","TOT_DEBT_TO_TOT_EQY","FQ2 2014","FQ2 2014","Currency=USD","Period=FQ","BEST_FPERIOD_OVERRIDE=FQ","FILING_STATUS=MR","Sort=A","Dates=H","DateFormat=P","Fill=—","Direction=H","UseDPDF=Y")</f>
        <v>83.476500000000001</v>
      </c>
      <c r="L16" s="21">
        <f>_xll.BDH("CRM US Equity","TOT_DEBT_TO_TOT_EQY","FQ3 2014","FQ3 2014","Currency=USD","Period=FQ","BEST_FPERIOD_OVERRIDE=FQ","FILING_STATUS=MR","Sort=A","Dates=H","DateFormat=P","Fill=—","Direction=H","UseDPDF=Y")</f>
        <v>81.237499999999997</v>
      </c>
      <c r="M16" s="21">
        <f>_xll.BDH("CRM US Equity","TOT_DEBT_TO_TOT_EQY","FQ4 2014","FQ4 2014","Currency=USD","Period=FQ","BEST_FPERIOD_OVERRIDE=FQ","FILING_STATUS=MR","Sort=A","Dates=H","DateFormat=P","Fill=—","Direction=H","UseDPDF=Y")</f>
        <v>78.047799999999995</v>
      </c>
      <c r="N16" s="21">
        <f>_xll.BDH("CRM US Equity","TOT_DEBT_TO_TOT_EQY","FQ1 2015","FQ1 2015","Currency=USD","Period=FQ","BEST_FPERIOD_OVERRIDE=FQ","FILING_STATUS=MR","Sort=A","Dates=H","DateFormat=P","Fill=—","Direction=H","UseDPDF=Y")</f>
        <v>59.562899999999999</v>
      </c>
      <c r="O16" s="21">
        <f>_xll.BDH("CRM US Equity","TOT_DEBT_TO_TOT_EQY","FQ2 2015","FQ2 2015","Currency=USD","Period=FQ","BEST_FPERIOD_OVERRIDE=FQ","FILING_STATUS=MR","Sort=A","Dates=H","DateFormat=P","Fill=—","Direction=H","UseDPDF=Y")</f>
        <v>64.669899999999998</v>
      </c>
      <c r="P16" s="21" t="str">
        <f>_xll.BDH("CRM US Equity","TOT_DEBT_TO_TOT_EQY","FQ3 2015","FQ3 2015","Currency=USD","Period=FQ","BEST_FPERIOD_OVERRIDE=FQ","FILING_STATUS=MR","Sort=A","Dates=H","DateFormat=P","Fill=—","Direction=H","UseDPDF=Y")</f>
        <v>#N/A Requesting Data...</v>
      </c>
      <c r="Q16" s="21" t="str">
        <f>_xll.BDH("CRM US Equity","TOT_DEBT_TO_TOT_EQY","FQ4 2015","FQ4 2015","Currency=USD","Period=FQ","BEST_FPERIOD_OVERRIDE=FQ","FILING_STATUS=MR","Sort=A","Dates=H","DateFormat=P","Fill=—","Direction=H","UseDPDF=Y")</f>
        <v>#N/A Requesting Data...</v>
      </c>
      <c r="R16" s="21" t="str">
        <f>_xll.BDH("CRM US Equity","TOT_DEBT_TO_TOT_EQY","FQ1 2016","FQ1 2016","Currency=USD","Period=FQ","BEST_FPERIOD_OVERRIDE=FQ","FILING_STATUS=MR","Sort=A","Dates=H","DateFormat=P","Fill=—","Direction=H","UseDPDF=Y")</f>
        <v>#N/A Requesting Data...</v>
      </c>
      <c r="S16" s="21" t="str">
        <f>_xll.BDH("CRM US Equity","TOT_DEBT_TO_TOT_EQY","FQ2 2016","FQ2 2016","Currency=USD","Period=FQ","BEST_FPERIOD_OVERRIDE=FQ","FILING_STATUS=MR","Sort=A","Dates=H","DateFormat=P","Fill=—","Direction=H","UseDPDF=Y")</f>
        <v>#N/A Requesting Data...</v>
      </c>
      <c r="T16" s="21" t="str">
        <f>_xll.BDH("CRM US Equity","TOT_DEBT_TO_TOT_EQY","FQ3 2016","FQ3 2016","Currency=USD","Period=FQ","BEST_FPERIOD_OVERRIDE=FQ","FILING_STATUS=MR","Sort=A","Dates=H","DateFormat=P","Fill=—","Direction=H","UseDPDF=Y")</f>
        <v>#N/A Requesting Data...</v>
      </c>
      <c r="U16" s="21" t="str">
        <f>_xll.BDH("CRM US Equity","TOT_DEBT_TO_TOT_EQY","FQ4 2016","FQ4 2016","Currency=USD","Period=FQ","BEST_FPERIOD_OVERRIDE=FQ","FILING_STATUS=MR","Sort=A","Dates=H","DateFormat=P","Fill=—","Direction=H","UseDPDF=Y")</f>
        <v>#N/A Requesting Data...</v>
      </c>
      <c r="V16" s="21">
        <f>_xll.BDH("CRM US Equity","TOT_DEBT_TO_TOT_EQY","FQ1 2017","FQ1 2017","Currency=USD","Period=FQ","BEST_FPERIOD_OVERRIDE=FQ","FILING_STATUS=MR","Sort=A","Dates=H","DateFormat=P","Fill=—","Direction=H","UseDPDF=Y")</f>
        <v>31.192499999999999</v>
      </c>
      <c r="W16" s="21">
        <f>_xll.BDH("CRM US Equity","TOT_DEBT_TO_TOT_EQY","FQ2 2017","FQ2 2017","Currency=USD","Period=FQ","BEST_FPERIOD_OVERRIDE=FQ","FILING_STATUS=MR","Sort=A","Dates=H","DateFormat=P","Fill=—","Direction=H","UseDPDF=Y")</f>
        <v>29.301400000000001</v>
      </c>
      <c r="X16" s="21">
        <f>_xll.BDH("CRM US Equity","TOT_DEBT_TO_TOT_EQY","FQ3 2017","FQ3 2017","Currency=USD","Period=FQ","BEST_FPERIOD_OVERRIDE=FQ","FILING_STATUS=MR","Sort=A","Dates=H","DateFormat=P","Fill=—","Direction=H","UseDPDF=Y")</f>
        <v>26.511299999999999</v>
      </c>
      <c r="Y16" s="21">
        <f>_xll.BDH("CRM US Equity","TOT_DEBT_TO_TOT_EQY","FQ4 2017","FQ4 2017","Currency=USD","Period=FQ","BEST_FPERIOD_OVERRIDE=FQ","FILING_STATUS=MR","Sort=A","Dates=H","DateFormat=P","Fill=—","Direction=H","UseDPDF=Y")</f>
        <v>26.778099999999998</v>
      </c>
      <c r="Z16" s="21">
        <f>_xll.BDH("CRM US Equity","TOT_DEBT_TO_TOT_EQY","FQ1 2018","FQ1 2018","Currency=USD","Period=FQ","BEST_FPERIOD_OVERRIDE=FQ","FILING_STATUS=MR","Sort=A","Dates=H","DateFormat=P","Fill=—","Direction=H","UseDPDF=Y")</f>
        <v>22.9299</v>
      </c>
      <c r="AA16" s="21" t="str">
        <f>_xll.BDH("CRM US Equity","TOT_DEBT_TO_TOT_EQY","FQ2 2018","FQ2 2018","Currency=USD","Period=FQ","BEST_FPERIOD_OVERRIDE=FQ","FILING_STATUS=MR","Sort=A","Dates=H","DateFormat=P","Fill=—","Direction=H","UseDPDF=Y")</f>
        <v>#N/A Requesting Data...</v>
      </c>
      <c r="AB16" s="21" t="str">
        <f>_xll.BDH("CRM US Equity","TOT_DEBT_TO_TOT_EQY","FQ3 2018","FQ3 2018","Currency=USD","Period=FQ","BEST_FPERIOD_OVERRIDE=FQ","FILING_STATUS=MR","Sort=A","Dates=H","DateFormat=P","Fill=—","Direction=H","UseDPDF=Y")</f>
        <v>#N/A Requesting Data...</v>
      </c>
      <c r="AC16" s="21" t="str">
        <f>_xll.BDH("CRM US Equity","TOT_DEBT_TO_TOT_EQY","FQ4 2018","FQ4 2018","Currency=USD","Period=FQ","BEST_FPERIOD_OVERRIDE=FQ","FILING_STATUS=MR","Sort=A","Dates=H","DateFormat=P","Fill=—","Direction=H","UseDPDF=Y")</f>
        <v>#N/A Requesting Data...</v>
      </c>
      <c r="AD16" s="21" t="str">
        <f>_xll.BDH("CRM US Equity","TOT_DEBT_TO_TOT_EQY","FQ1 2019","FQ1 2019","Currency=USD","Period=FQ","BEST_FPERIOD_OVERRIDE=FQ","FILING_STATUS=MR","Sort=A","Dates=H","DateFormat=P","Fill=—","Direction=H","UseDPDF=Y")</f>
        <v>#N/A Requesting Data...</v>
      </c>
      <c r="AE16" s="21" t="str">
        <f>_xll.BDH("CRM US Equity","TOT_DEBT_TO_TOT_EQY","FQ2 2019","FQ2 2019","Currency=USD","Period=FQ","BEST_FPERIOD_OVERRIDE=FQ","FILING_STATUS=MR","Sort=A","Dates=H","DateFormat=P","Fill=—","Direction=H","UseDPDF=Y")</f>
        <v>#N/A Requesting Data...</v>
      </c>
      <c r="AF16" s="21" t="str">
        <f>_xll.BDH("CRM US Equity","TOT_DEBT_TO_TOT_EQY","FQ3 2019","FQ3 2019","Currency=USD","Period=FQ","BEST_FPERIOD_OVERRIDE=FQ","FILING_STATUS=MR","Sort=A","Dates=H","DateFormat=P","Fill=—","Direction=H","UseDPDF=Y")</f>
        <v>#N/A Requesting Data...</v>
      </c>
      <c r="AG16" s="21" t="str">
        <f>_xll.BDH("CRM US Equity","TOT_DEBT_TO_TOT_EQY","FQ4 2019","FQ4 2019","Currency=USD","Period=FQ","BEST_FPERIOD_OVERRIDE=FQ","FILING_STATUS=MR","Sort=A","Dates=H","DateFormat=P","Fill=—","Direction=H","UseDPDF=Y")</f>
        <v>#N/A Requesting Data...</v>
      </c>
      <c r="AH16" s="21">
        <f>_xll.BDH("CRM US Equity","TOT_DEBT_TO_TOT_EQY","FQ1 2020","FQ1 2020","Currency=USD","Period=FQ","BEST_FPERIOD_OVERRIDE=FQ","FILING_STATUS=MR","Sort=A","Dates=H","DateFormat=P","Fill=—","Direction=H","UseDPDF=Y")</f>
        <v>41.152900000000002</v>
      </c>
      <c r="AI16" s="21">
        <f>_xll.BDH("CRM US Equity","TOT_DEBT_TO_TOT_EQY","FQ2 2020","FQ2 2020","Currency=USD","Period=FQ","BEST_FPERIOD_OVERRIDE=FQ","FILING_STATUS=MR","Sort=A","Dates=H","DateFormat=P","Fill=—","Direction=H","UseDPDF=Y")</f>
        <v>37.4694</v>
      </c>
      <c r="AJ16" s="21">
        <f>_xll.BDH("CRM US Equity","TOT_DEBT_TO_TOT_EQY","FQ3 2020","FQ3 2020","Currency=USD","Period=FQ","BEST_FPERIOD_OVERRIDE=FQ","FILING_STATUS=MR","Sort=A","Dates=H","DateFormat=P","Fill=—","Direction=H","UseDPDF=Y")</f>
        <v>19.5108</v>
      </c>
      <c r="AK16" s="21">
        <f>_xll.BDH("CRM US Equity","TOT_DEBT_TO_TOT_EQY","FQ4 2020","FQ4 2020","Currency=USD","Period=FQ","BEST_FPERIOD_OVERRIDE=FQ","FILING_STATUS=MR","Sort=A","Dates=H","DateFormat=P","Fill=—","Direction=H","UseDPDF=Y")</f>
        <v>18.453600000000002</v>
      </c>
      <c r="AL16" s="21">
        <f>_xll.BDH("CRM US Equity","TOT_DEBT_TO_TOT_EQY","FQ1 2021","FQ1 2021","Currency=USD","Period=FQ","BEST_FPERIOD_OVERRIDE=FQ","FILING_STATUS=MR","Sort=A","Dates=H","DateFormat=P","Fill=—","Direction=H","UseDPDF=Y")</f>
        <v>16.887</v>
      </c>
      <c r="AM16" s="21" t="str">
        <f>_xll.BDH("CRM US Equity","TOT_DEBT_TO_TOT_EQY","FQ2 2021","FQ2 2021","Currency=USD","Period=FQ","BEST_FPERIOD_OVERRIDE=FQ","FILING_STATUS=MR","Sort=A","Dates=H","DateFormat=P","Fill=—","Direction=H","UseDPDF=Y")</f>
        <v>#N/A Requesting Data...</v>
      </c>
      <c r="AN16" s="21" t="str">
        <f>_xll.BDH("CRM US Equity","TOT_DEBT_TO_TOT_EQY","FQ3 2021","FQ3 2021","Currency=USD","Period=FQ","BEST_FPERIOD_OVERRIDE=FQ","FILING_STATUS=MR","Sort=A","Dates=H","DateFormat=P","Fill=—","Direction=H","UseDPDF=Y")</f>
        <v>#N/A Requesting Data...</v>
      </c>
      <c r="AO16" s="21" t="str">
        <f>_xll.BDH("CRM US Equity","TOT_DEBT_TO_TOT_EQY","FQ4 2021","FQ4 2021","Currency=USD","Period=FQ","BEST_FPERIOD_OVERRIDE=FQ","FILING_STATUS=MR","Sort=A","Dates=H","DateFormat=P","Fill=—","Direction=H","UseDPDF=Y")</f>
        <v>#N/A Requesting Data...</v>
      </c>
      <c r="AP16" s="21" t="str">
        <f>_xll.BDH("CRM US Equity","TOT_DEBT_TO_TOT_EQY","FQ1 2022","FQ1 2022","Currency=USD","Period=FQ","BEST_FPERIOD_OVERRIDE=FQ","FILING_STATUS=MR","Sort=A","Dates=H","DateFormat=P","Fill=—","Direction=H","UseDPDF=Y")</f>
        <v>#N/A Requesting Data...</v>
      </c>
    </row>
    <row r="17" spans="1:42" x14ac:dyDescent="0.25">
      <c r="A17" s="8" t="s">
        <v>175</v>
      </c>
      <c r="B17" s="8" t="s">
        <v>174</v>
      </c>
      <c r="C17" s="21" t="str">
        <f>_xll.BDH("CRM US Equity","TOT_DEBT_TO_TOT_CAP","FQ2 2012","FQ2 2012","Currency=USD","Period=FQ","BEST_FPERIOD_OVERRIDE=FQ","FILING_STATUS=MR","Sort=A","Dates=H","DateFormat=P","Fill=—","Direction=H","UseDPDF=Y")</f>
        <v>#N/A Requesting Data...</v>
      </c>
      <c r="D17" s="21" t="str">
        <f>_xll.BDH("CRM US Equity","TOT_DEBT_TO_TOT_CAP","FQ3 2012","FQ3 2012","Currency=USD","Period=FQ","BEST_FPERIOD_OVERRIDE=FQ","FILING_STATUS=MR","Sort=A","Dates=H","DateFormat=P","Fill=—","Direction=H","UseDPDF=Y")</f>
        <v>#N/A Requesting Data...</v>
      </c>
      <c r="E17" s="21" t="str">
        <f>_xll.BDH("CRM US Equity","TOT_DEBT_TO_TOT_CAP","FQ4 2012","FQ4 2012","Currency=USD","Period=FQ","BEST_FPERIOD_OVERRIDE=FQ","FILING_STATUS=MR","Sort=A","Dates=H","DateFormat=P","Fill=—","Direction=H","UseDPDF=Y")</f>
        <v>#N/A Requesting Data...</v>
      </c>
      <c r="F17" s="21">
        <f>_xll.BDH("CRM US Equity","TOT_DEBT_TO_TOT_CAP","FQ1 2013","FQ1 2013","Currency=USD","Period=FQ","BEST_FPERIOD_OVERRIDE=FQ","FILING_STATUS=MR","Sort=A","Dates=H","DateFormat=P","Fill=—","Direction=H","UseDPDF=Y")</f>
        <v>21.725999999999999</v>
      </c>
      <c r="G17" s="21">
        <f>_xll.BDH("CRM US Equity","TOT_DEBT_TO_TOT_CAP","FQ2 2013","FQ2 2013","Currency=USD","Period=FQ","BEST_FPERIOD_OVERRIDE=FQ","FILING_STATUS=MR","Sort=A","Dates=H","DateFormat=P","Fill=—","Direction=H","UseDPDF=Y")</f>
        <v>20.611699999999999</v>
      </c>
      <c r="H17" s="21">
        <f>_xll.BDH("CRM US Equity","TOT_DEBT_TO_TOT_CAP","FQ3 2013","FQ3 2013","Currency=USD","Period=FQ","BEST_FPERIOD_OVERRIDE=FQ","FILING_STATUS=MR","Sort=A","Dates=H","DateFormat=P","Fill=—","Direction=H","UseDPDF=Y")</f>
        <v>19.367699999999999</v>
      </c>
      <c r="I17" s="21">
        <f>_xll.BDH("CRM US Equity","TOT_DEBT_TO_TOT_CAP","FQ4 2013","FQ4 2013","Currency=USD","Period=FQ","BEST_FPERIOD_OVERRIDE=FQ","FILING_STATUS=MR","Sort=A","Dates=H","DateFormat=P","Fill=—","Direction=H","UseDPDF=Y")</f>
        <v>19.7639</v>
      </c>
      <c r="J17" s="21">
        <f>_xll.BDH("CRM US Equity","TOT_DEBT_TO_TOT_CAP","FQ1 2014","FQ1 2014","Currency=USD","Period=FQ","BEST_FPERIOD_OVERRIDE=FQ","FILING_STATUS=MR","Sort=A","Dates=H","DateFormat=P","Fill=—","Direction=H","UseDPDF=Y")</f>
        <v>39.198700000000002</v>
      </c>
      <c r="K17" s="21" t="str">
        <f>_xll.BDH("CRM US Equity","TOT_DEBT_TO_TOT_CAP","FQ2 2014","FQ2 2014","Currency=USD","Period=FQ","BEST_FPERIOD_OVERRIDE=FQ","FILING_STATUS=MR","Sort=A","Dates=H","DateFormat=P","Fill=—","Direction=H","UseDPDF=Y")</f>
        <v>#N/A Requesting Data...</v>
      </c>
      <c r="L17" s="21" t="str">
        <f>_xll.BDH("CRM US Equity","TOT_DEBT_TO_TOT_CAP","FQ3 2014","FQ3 2014","Currency=USD","Period=FQ","BEST_FPERIOD_OVERRIDE=FQ","FILING_STATUS=MR","Sort=A","Dates=H","DateFormat=P","Fill=—","Direction=H","UseDPDF=Y")</f>
        <v>#N/A Requesting Data...</v>
      </c>
      <c r="M17" s="21" t="str">
        <f>_xll.BDH("CRM US Equity","TOT_DEBT_TO_TOT_CAP","FQ4 2014","FQ4 2014","Currency=USD","Period=FQ","BEST_FPERIOD_OVERRIDE=FQ","FILING_STATUS=MR","Sort=A","Dates=H","DateFormat=P","Fill=—","Direction=H","UseDPDF=Y")</f>
        <v>#N/A Requesting Data...</v>
      </c>
      <c r="N17" s="21" t="str">
        <f>_xll.BDH("CRM US Equity","TOT_DEBT_TO_TOT_CAP","FQ1 2015","FQ1 2015","Currency=USD","Period=FQ","BEST_FPERIOD_OVERRIDE=FQ","FILING_STATUS=MR","Sort=A","Dates=H","DateFormat=P","Fill=—","Direction=H","UseDPDF=Y")</f>
        <v>#N/A Requesting Data...</v>
      </c>
      <c r="O17" s="21" t="str">
        <f>_xll.BDH("CRM US Equity","TOT_DEBT_TO_TOT_CAP","FQ2 2015","FQ2 2015","Currency=USD","Period=FQ","BEST_FPERIOD_OVERRIDE=FQ","FILING_STATUS=MR","Sort=A","Dates=H","DateFormat=P","Fill=—","Direction=H","UseDPDF=Y")</f>
        <v>#N/A Requesting Data...</v>
      </c>
      <c r="P17" s="21" t="str">
        <f>_xll.BDH("CRM US Equity","TOT_DEBT_TO_TOT_CAP","FQ3 2015","FQ3 2015","Currency=USD","Period=FQ","BEST_FPERIOD_OVERRIDE=FQ","FILING_STATUS=MR","Sort=A","Dates=H","DateFormat=P","Fill=—","Direction=H","UseDPDF=Y")</f>
        <v>#N/A Requesting Data...</v>
      </c>
      <c r="Q17" s="21" t="str">
        <f>_xll.BDH("CRM US Equity","TOT_DEBT_TO_TOT_CAP","FQ4 2015","FQ4 2015","Currency=USD","Period=FQ","BEST_FPERIOD_OVERRIDE=FQ","FILING_STATUS=MR","Sort=A","Dates=H","DateFormat=P","Fill=—","Direction=H","UseDPDF=Y")</f>
        <v>#N/A Requesting Data...</v>
      </c>
      <c r="R17" s="21">
        <f>_xll.BDH("CRM US Equity","TOT_DEBT_TO_TOT_CAP","FQ1 2016","FQ1 2016","Currency=USD","Period=FQ","BEST_FPERIOD_OVERRIDE=FQ","FILING_STATUS=MR","Sort=A","Dates=H","DateFormat=P","Fill=—","Direction=H","UseDPDF=Y")</f>
        <v>20.27</v>
      </c>
      <c r="S17" s="21">
        <f>_xll.BDH("CRM US Equity","TOT_DEBT_TO_TOT_CAP","FQ2 2016","FQ2 2016","Currency=USD","Period=FQ","BEST_FPERIOD_OVERRIDE=FQ","FILING_STATUS=MR","Sort=A","Dates=H","DateFormat=P","Fill=—","Direction=H","UseDPDF=Y")</f>
        <v>28.378599999999999</v>
      </c>
      <c r="T17" s="21">
        <f>_xll.BDH("CRM US Equity","TOT_DEBT_TO_TOT_CAP","FQ3 2016","FQ3 2016","Currency=USD","Period=FQ","BEST_FPERIOD_OVERRIDE=FQ","FILING_STATUS=MR","Sort=A","Dates=H","DateFormat=P","Fill=—","Direction=H","UseDPDF=Y")</f>
        <v>27.432600000000001</v>
      </c>
      <c r="U17" s="21">
        <f>_xll.BDH("CRM US Equity","TOT_DEBT_TO_TOT_CAP","FQ4 2016","FQ4 2016","Currency=USD","Period=FQ","BEST_FPERIOD_OVERRIDE=FQ","FILING_STATUS=MR","Sort=A","Dates=H","DateFormat=P","Fill=—","Direction=H","UseDPDF=Y")</f>
        <v>20.45</v>
      </c>
      <c r="V17" s="21">
        <f>_xll.BDH("CRM US Equity","TOT_DEBT_TO_TOT_CAP","FQ1 2017","FQ1 2017","Currency=USD","Period=FQ","BEST_FPERIOD_OVERRIDE=FQ","FILING_STATUS=MR","Sort=A","Dates=H","DateFormat=P","Fill=—","Direction=H","UseDPDF=Y")</f>
        <v>23.7761</v>
      </c>
      <c r="W17" s="21">
        <f>_xll.BDH("CRM US Equity","TOT_DEBT_TO_TOT_CAP","FQ2 2017","FQ2 2017","Currency=USD","Period=FQ","BEST_FPERIOD_OVERRIDE=FQ","FILING_STATUS=MR","Sort=A","Dates=H","DateFormat=P","Fill=—","Direction=H","UseDPDF=Y")</f>
        <v>22.661300000000001</v>
      </c>
      <c r="X17" s="21" t="str">
        <f>_xll.BDH("CRM US Equity","TOT_DEBT_TO_TOT_CAP","FQ3 2017","FQ3 2017","Currency=USD","Period=FQ","BEST_FPERIOD_OVERRIDE=FQ","FILING_STATUS=MR","Sort=A","Dates=H","DateFormat=P","Fill=—","Direction=H","UseDPDF=Y")</f>
        <v>#N/A Requesting Data...</v>
      </c>
      <c r="Y17" s="21">
        <f>_xll.BDH("CRM US Equity","TOT_DEBT_TO_TOT_CAP","FQ4 2017","FQ4 2017","Currency=USD","Period=FQ","BEST_FPERIOD_OVERRIDE=FQ","FILING_STATUS=MR","Sort=A","Dates=H","DateFormat=P","Fill=—","Direction=H","UseDPDF=Y")</f>
        <v>21.122</v>
      </c>
      <c r="Z17" s="21" t="str">
        <f>_xll.BDH("CRM US Equity","TOT_DEBT_TO_TOT_CAP","FQ1 2018","FQ1 2018","Currency=USD","Period=FQ","BEST_FPERIOD_OVERRIDE=FQ","FILING_STATUS=MR","Sort=A","Dates=H","DateFormat=P","Fill=—","Direction=H","UseDPDF=Y")</f>
        <v>#N/A Requesting Data...</v>
      </c>
      <c r="AA17" s="21" t="str">
        <f>_xll.BDH("CRM US Equity","TOT_DEBT_TO_TOT_CAP","FQ2 2018","FQ2 2018","Currency=USD","Period=FQ","BEST_FPERIOD_OVERRIDE=FQ","FILING_STATUS=MR","Sort=A","Dates=H","DateFormat=P","Fill=—","Direction=H","UseDPDF=Y")</f>
        <v>#N/A Requesting Data...</v>
      </c>
      <c r="AB17" s="21" t="str">
        <f>_xll.BDH("CRM US Equity","TOT_DEBT_TO_TOT_CAP","FQ3 2018","FQ3 2018","Currency=USD","Period=FQ","BEST_FPERIOD_OVERRIDE=FQ","FILING_STATUS=MR","Sort=A","Dates=H","DateFormat=P","Fill=—","Direction=H","UseDPDF=Y")</f>
        <v>#N/A Requesting Data...</v>
      </c>
      <c r="AC17" s="21" t="str">
        <f>_xll.BDH("CRM US Equity","TOT_DEBT_TO_TOT_CAP","FQ4 2018","FQ4 2018","Currency=USD","Period=FQ","BEST_FPERIOD_OVERRIDE=FQ","FILING_STATUS=MR","Sort=A","Dates=H","DateFormat=P","Fill=—","Direction=H","UseDPDF=Y")</f>
        <v>#N/A Requesting Data...</v>
      </c>
      <c r="AD17" s="21">
        <f>_xll.BDH("CRM US Equity","TOT_DEBT_TO_TOT_CAP","FQ1 2019","FQ1 2019","Currency=USD","Period=FQ","BEST_FPERIOD_OVERRIDE=FQ","FILING_STATUS=MR","Sort=A","Dates=H","DateFormat=P","Fill=—","Direction=H","UseDPDF=Y")</f>
        <v>22.304200000000002</v>
      </c>
      <c r="AE17" s="21">
        <f>_xll.BDH("CRM US Equity","TOT_DEBT_TO_TOT_CAP","FQ2 2019","FQ2 2019","Currency=USD","Period=FQ","BEST_FPERIOD_OVERRIDE=FQ","FILING_STATUS=MR","Sort=A","Dates=H","DateFormat=P","Fill=—","Direction=H","UseDPDF=Y")</f>
        <v>21.367100000000001</v>
      </c>
      <c r="AF17" s="21">
        <f>_xll.BDH("CRM US Equity","TOT_DEBT_TO_TOT_CAP","FQ3 2019","FQ3 2019","Currency=USD","Period=FQ","BEST_FPERIOD_OVERRIDE=FQ","FILING_STATUS=MR","Sort=A","Dates=H","DateFormat=P","Fill=—","Direction=H","UseDPDF=Y")</f>
        <v>20.012</v>
      </c>
      <c r="AG17" s="21">
        <f>_xll.BDH("CRM US Equity","TOT_DEBT_TO_TOT_CAP","FQ4 2019","FQ4 2019","Currency=USD","Period=FQ","BEST_FPERIOD_OVERRIDE=FQ","FILING_STATUS=MR","Sort=A","Dates=H","DateFormat=P","Fill=—","Direction=H","UseDPDF=Y")</f>
        <v>17.734200000000001</v>
      </c>
      <c r="AH17" s="21">
        <f>_xll.BDH("CRM US Equity","TOT_DEBT_TO_TOT_CAP","FQ1 2020","FQ1 2020","Currency=USD","Period=FQ","BEST_FPERIOD_OVERRIDE=FQ","FILING_STATUS=MR","Sort=A","Dates=H","DateFormat=P","Fill=—","Direction=H","UseDPDF=Y")</f>
        <v>29.154800000000002</v>
      </c>
      <c r="AI17" s="21" t="str">
        <f>_xll.BDH("CRM US Equity","TOT_DEBT_TO_TOT_CAP","FQ2 2020","FQ2 2020","Currency=USD","Period=FQ","BEST_FPERIOD_OVERRIDE=FQ","FILING_STATUS=MR","Sort=A","Dates=H","DateFormat=P","Fill=—","Direction=H","UseDPDF=Y")</f>
        <v>#N/A Requesting Data...</v>
      </c>
      <c r="AJ17" s="21">
        <f>_xll.BDH("CRM US Equity","TOT_DEBT_TO_TOT_CAP","FQ3 2020","FQ3 2020","Currency=USD","Period=FQ","BEST_FPERIOD_OVERRIDE=FQ","FILING_STATUS=MR","Sort=A","Dates=H","DateFormat=P","Fill=—","Direction=H","UseDPDF=Y")</f>
        <v>16.325600000000001</v>
      </c>
      <c r="AK17" s="21" t="str">
        <f>_xll.BDH("CRM US Equity","TOT_DEBT_TO_TOT_CAP","FQ4 2020","FQ4 2020","Currency=USD","Period=FQ","BEST_FPERIOD_OVERRIDE=FQ","FILING_STATUS=MR","Sort=A","Dates=H","DateFormat=P","Fill=—","Direction=H","UseDPDF=Y")</f>
        <v>#N/A Requesting Data...</v>
      </c>
      <c r="AL17" s="21" t="str">
        <f>_xll.BDH("CRM US Equity","TOT_DEBT_TO_TOT_CAP","FQ1 2021","FQ1 2021","Currency=USD","Period=FQ","BEST_FPERIOD_OVERRIDE=FQ","FILING_STATUS=MR","Sort=A","Dates=H","DateFormat=P","Fill=—","Direction=H","UseDPDF=Y")</f>
        <v>#N/A Requesting Data...</v>
      </c>
      <c r="AM17" s="21" t="str">
        <f>_xll.BDH("CRM US Equity","TOT_DEBT_TO_TOT_CAP","FQ2 2021","FQ2 2021","Currency=USD","Period=FQ","BEST_FPERIOD_OVERRIDE=FQ","FILING_STATUS=MR","Sort=A","Dates=H","DateFormat=P","Fill=—","Direction=H","UseDPDF=Y")</f>
        <v>#N/A Requesting Data...</v>
      </c>
      <c r="AN17" s="21" t="str">
        <f>_xll.BDH("CRM US Equity","TOT_DEBT_TO_TOT_CAP","FQ3 2021","FQ3 2021","Currency=USD","Period=FQ","BEST_FPERIOD_OVERRIDE=FQ","FILING_STATUS=MR","Sort=A","Dates=H","DateFormat=P","Fill=—","Direction=H","UseDPDF=Y")</f>
        <v>#N/A Requesting Data...</v>
      </c>
      <c r="AO17" s="21" t="str">
        <f>_xll.BDH("CRM US Equity","TOT_DEBT_TO_TOT_CAP","FQ4 2021","FQ4 2021","Currency=USD","Period=FQ","BEST_FPERIOD_OVERRIDE=FQ","FILING_STATUS=MR","Sort=A","Dates=H","DateFormat=P","Fill=—","Direction=H","UseDPDF=Y")</f>
        <v>#N/A Requesting Data...</v>
      </c>
      <c r="AP17" s="21">
        <f>_xll.BDH("CRM US Equity","TOT_DEBT_TO_TOT_CAP","FQ1 2022","FQ1 2022","Currency=USD","Period=FQ","BEST_FPERIOD_OVERRIDE=FQ","FILING_STATUS=MR","Sort=A","Dates=H","DateFormat=P","Fill=—","Direction=H","UseDPDF=Y")</f>
        <v>12.5916</v>
      </c>
    </row>
    <row r="18" spans="1:42" x14ac:dyDescent="0.25">
      <c r="A18" s="8" t="s">
        <v>173</v>
      </c>
      <c r="B18" s="8" t="s">
        <v>172</v>
      </c>
      <c r="C18" s="21">
        <f>_xll.BDH("CRM US Equity","TOT_DEBT_TO_TOT_ASSET","FQ2 2012","FQ2 2012","Currency=USD","Period=FQ","BEST_FPERIOD_OVERRIDE=FQ","FILING_STATUS=MR","Sort=A","Dates=H","DateFormat=P","Fill=—","Direction=H","UseDPDF=Y")</f>
        <v>14.1503</v>
      </c>
      <c r="D18" s="21">
        <f>_xll.BDH("CRM US Equity","TOT_DEBT_TO_TOT_ASSET","FQ3 2012","FQ3 2012","Currency=USD","Period=FQ","BEST_FPERIOD_OVERRIDE=FQ","FILING_STATUS=MR","Sort=A","Dates=H","DateFormat=P","Fill=—","Direction=H","UseDPDF=Y")</f>
        <v>13.958399999999999</v>
      </c>
      <c r="E18" s="21">
        <f>_xll.BDH("CRM US Equity","TOT_DEBT_TO_TOT_ASSET","FQ4 2012","FQ4 2012","Currency=USD","Period=FQ","BEST_FPERIOD_OVERRIDE=FQ","FILING_STATUS=MR","Sort=A","Dates=H","DateFormat=P","Fill=—","Direction=H","UseDPDF=Y")</f>
        <v>11.9148</v>
      </c>
      <c r="F18" s="21">
        <f>_xll.BDH("CRM US Equity","TOT_DEBT_TO_TOT_ASSET","FQ1 2013","FQ1 2013","Currency=USD","Period=FQ","BEST_FPERIOD_OVERRIDE=FQ","FILING_STATUS=MR","Sort=A","Dates=H","DateFormat=P","Fill=—","Direction=H","UseDPDF=Y")</f>
        <v>12.086499999999999</v>
      </c>
      <c r="G18" s="21" t="str">
        <f>_xll.BDH("CRM US Equity","TOT_DEBT_TO_TOT_ASSET","FQ2 2013","FQ2 2013","Currency=USD","Period=FQ","BEST_FPERIOD_OVERRIDE=FQ","FILING_STATUS=MR","Sort=A","Dates=H","DateFormat=P","Fill=—","Direction=H","UseDPDF=Y")</f>
        <v>#N/A Requesting Data...</v>
      </c>
      <c r="H18" s="21" t="str">
        <f>_xll.BDH("CRM US Equity","TOT_DEBT_TO_TOT_ASSET","FQ3 2013","FQ3 2013","Currency=USD","Period=FQ","BEST_FPERIOD_OVERRIDE=FQ","FILING_STATUS=MR","Sort=A","Dates=H","DateFormat=P","Fill=—","Direction=H","UseDPDF=Y")</f>
        <v>#N/A Requesting Data...</v>
      </c>
      <c r="I18" s="21" t="str">
        <f>_xll.BDH("CRM US Equity","TOT_DEBT_TO_TOT_ASSET","FQ4 2013","FQ4 2013","Currency=USD","Period=FQ","BEST_FPERIOD_OVERRIDE=FQ","FILING_STATUS=MR","Sort=A","Dates=H","DateFormat=P","Fill=—","Direction=H","UseDPDF=Y")</f>
        <v>#N/A Requesting Data...</v>
      </c>
      <c r="J18" s="21" t="str">
        <f>_xll.BDH("CRM US Equity","TOT_DEBT_TO_TOT_ASSET","FQ1 2014","FQ1 2014","Currency=USD","Period=FQ","BEST_FPERIOD_OVERRIDE=FQ","FILING_STATUS=MR","Sort=A","Dates=H","DateFormat=P","Fill=—","Direction=H","UseDPDF=Y")</f>
        <v>#N/A Requesting Data...</v>
      </c>
      <c r="K18" s="21" t="str">
        <f>_xll.BDH("CRM US Equity","TOT_DEBT_TO_TOT_ASSET","FQ2 2014","FQ2 2014","Currency=USD","Period=FQ","BEST_FPERIOD_OVERRIDE=FQ","FILING_STATUS=MR","Sort=A","Dates=H","DateFormat=P","Fill=—","Direction=H","UseDPDF=Y")</f>
        <v>#N/A Requesting Data...</v>
      </c>
      <c r="L18" s="21" t="str">
        <f>_xll.BDH("CRM US Equity","TOT_DEBT_TO_TOT_ASSET","FQ3 2014","FQ3 2014","Currency=USD","Period=FQ","BEST_FPERIOD_OVERRIDE=FQ","FILING_STATUS=MR","Sort=A","Dates=H","DateFormat=P","Fill=—","Direction=H","UseDPDF=Y")</f>
        <v>#N/A Requesting Data...</v>
      </c>
      <c r="M18" s="21" t="str">
        <f>_xll.BDH("CRM US Equity","TOT_DEBT_TO_TOT_ASSET","FQ4 2014","FQ4 2014","Currency=USD","Period=FQ","BEST_FPERIOD_OVERRIDE=FQ","FILING_STATUS=MR","Sort=A","Dates=H","DateFormat=P","Fill=—","Direction=H","UseDPDF=Y")</f>
        <v>#N/A Requesting Data...</v>
      </c>
      <c r="N18" s="21">
        <f>_xll.BDH("CRM US Equity","TOT_DEBT_TO_TOT_ASSET","FQ1 2015","FQ1 2015","Currency=USD","Period=FQ","BEST_FPERIOD_OVERRIDE=FQ","FILING_STATUS=MR","Sort=A","Dates=H","DateFormat=P","Fill=—","Direction=H","UseDPDF=Y")</f>
        <v>21.656099999999999</v>
      </c>
      <c r="O18" s="21">
        <f>_xll.BDH("CRM US Equity","TOT_DEBT_TO_TOT_ASSET","FQ2 2015","FQ2 2015","Currency=USD","Period=FQ","BEST_FPERIOD_OVERRIDE=FQ","FILING_STATUS=MR","Sort=A","Dates=H","DateFormat=P","Fill=—","Direction=H","UseDPDF=Y")</f>
        <v>23.7348</v>
      </c>
      <c r="P18" s="21">
        <f>_xll.BDH("CRM US Equity","TOT_DEBT_TO_TOT_ASSET","FQ3 2015","FQ3 2015","Currency=USD","Period=FQ","BEST_FPERIOD_OVERRIDE=FQ","FILING_STATUS=MR","Sort=A","Dates=H","DateFormat=P","Fill=—","Direction=H","UseDPDF=Y")</f>
        <v>22.4922</v>
      </c>
      <c r="Q18" s="21">
        <f>_xll.BDH("CRM US Equity","TOT_DEBT_TO_TOT_ASSET","FQ4 2015","FQ4 2015","Currency=USD","Period=FQ","BEST_FPERIOD_OVERRIDE=FQ","FILING_STATUS=MR","Sort=A","Dates=H","DateFormat=P","Fill=—","Direction=H","UseDPDF=Y")</f>
        <v>18.167200000000001</v>
      </c>
      <c r="R18" s="21">
        <f>_xll.BDH("CRM US Equity","TOT_DEBT_TO_TOT_ASSET","FQ1 2016","FQ1 2016","Currency=USD","Period=FQ","BEST_FPERIOD_OVERRIDE=FQ","FILING_STATUS=MR","Sort=A","Dates=H","DateFormat=P","Fill=—","Direction=H","UseDPDF=Y")</f>
        <v>10.3874</v>
      </c>
      <c r="S18" s="21" t="str">
        <f>_xll.BDH("CRM US Equity","TOT_DEBT_TO_TOT_ASSET","FQ2 2016","FQ2 2016","Currency=USD","Period=FQ","BEST_FPERIOD_OVERRIDE=FQ","FILING_STATUS=MR","Sort=A","Dates=H","DateFormat=P","Fill=—","Direction=H","UseDPDF=Y")</f>
        <v>#N/A Requesting Data...</v>
      </c>
      <c r="T18" s="21" t="str">
        <f>_xll.BDH("CRM US Equity","TOT_DEBT_TO_TOT_ASSET","FQ3 2016","FQ3 2016","Currency=USD","Period=FQ","BEST_FPERIOD_OVERRIDE=FQ","FILING_STATUS=MR","Sort=A","Dates=H","DateFormat=P","Fill=—","Direction=H","UseDPDF=Y")</f>
        <v>#N/A Requesting Data...</v>
      </c>
      <c r="U18" s="21" t="str">
        <f>_xll.BDH("CRM US Equity","TOT_DEBT_TO_TOT_ASSET","FQ4 2016","FQ4 2016","Currency=USD","Period=FQ","BEST_FPERIOD_OVERRIDE=FQ","FILING_STATUS=MR","Sort=A","Dates=H","DateFormat=P","Fill=—","Direction=H","UseDPDF=Y")</f>
        <v>#N/A Requesting Data...</v>
      </c>
      <c r="V18" s="21" t="str">
        <f>_xll.BDH("CRM US Equity","TOT_DEBT_TO_TOT_ASSET","FQ1 2017","FQ1 2017","Currency=USD","Period=FQ","BEST_FPERIOD_OVERRIDE=FQ","FILING_STATUS=MR","Sort=A","Dates=H","DateFormat=P","Fill=—","Direction=H","UseDPDF=Y")</f>
        <v>#N/A Requesting Data...</v>
      </c>
      <c r="W18" s="21" t="str">
        <f>_xll.BDH("CRM US Equity","TOT_DEBT_TO_TOT_ASSET","FQ2 2017","FQ2 2017","Currency=USD","Period=FQ","BEST_FPERIOD_OVERRIDE=FQ","FILING_STATUS=MR","Sort=A","Dates=H","DateFormat=P","Fill=—","Direction=H","UseDPDF=Y")</f>
        <v>#N/A Requesting Data...</v>
      </c>
      <c r="X18" s="21" t="str">
        <f>_xll.BDH("CRM US Equity","TOT_DEBT_TO_TOT_ASSET","FQ3 2017","FQ3 2017","Currency=USD","Period=FQ","BEST_FPERIOD_OVERRIDE=FQ","FILING_STATUS=MR","Sort=A","Dates=H","DateFormat=P","Fill=—","Direction=H","UseDPDF=Y")</f>
        <v>#N/A Requesting Data...</v>
      </c>
      <c r="Y18" s="21" t="str">
        <f>_xll.BDH("CRM US Equity","TOT_DEBT_TO_TOT_ASSET","FQ4 2017","FQ4 2017","Currency=USD","Period=FQ","BEST_FPERIOD_OVERRIDE=FQ","FILING_STATUS=MR","Sort=A","Dates=H","DateFormat=P","Fill=—","Direction=H","UseDPDF=Y")</f>
        <v>#N/A Requesting Data...</v>
      </c>
      <c r="Z18" s="21">
        <f>_xll.BDH("CRM US Equity","TOT_DEBT_TO_TOT_ASSET","FQ1 2018","FQ1 2018","Currency=USD","Period=FQ","BEST_FPERIOD_OVERRIDE=FQ","FILING_STATUS=MR","Sort=A","Dates=H","DateFormat=P","Fill=—","Direction=H","UseDPDF=Y")</f>
        <v>10.6652</v>
      </c>
      <c r="AA18" s="21">
        <f>_xll.BDH("CRM US Equity","TOT_DEBT_TO_TOT_ASSET","FQ2 2018","FQ2 2018","Currency=USD","Period=FQ","BEST_FPERIOD_OVERRIDE=FQ","FILING_STATUS=MR","Sort=A","Dates=H","DateFormat=P","Fill=—","Direction=H","UseDPDF=Y")</f>
        <v>10.488300000000001</v>
      </c>
      <c r="AB18" s="21">
        <f>_xll.BDH("CRM US Equity","TOT_DEBT_TO_TOT_ASSET","FQ3 2018","FQ3 2018","Currency=USD","Period=FQ","BEST_FPERIOD_OVERRIDE=FQ","FILING_STATUS=MR","Sort=A","Dates=H","DateFormat=P","Fill=—","Direction=H","UseDPDF=Y")</f>
        <v>10.550599999999999</v>
      </c>
      <c r="AC18" s="21">
        <f>_xll.BDH("CRM US Equity","TOT_DEBT_TO_TOT_ASSET","FQ4 2018","FQ4 2018","Currency=USD","Period=FQ","BEST_FPERIOD_OVERRIDE=FQ","FILING_STATUS=MR","Sort=A","Dates=H","DateFormat=P","Fill=—","Direction=H","UseDPDF=Y")</f>
        <v>7.8239000000000001</v>
      </c>
      <c r="AD18" s="21">
        <f>_xll.BDH("CRM US Equity","TOT_DEBT_TO_TOT_ASSET","FQ1 2019","FQ1 2019","Currency=USD","Period=FQ","BEST_FPERIOD_OVERRIDE=FQ","FILING_STATUS=MR","Sort=A","Dates=H","DateFormat=P","Fill=—","Direction=H","UseDPDF=Y")</f>
        <v>13.826599999999999</v>
      </c>
      <c r="AE18" s="21">
        <f>_xll.BDH("CRM US Equity","TOT_DEBT_TO_TOT_ASSET","FQ2 2019","FQ2 2019","Currency=USD","Period=FQ","BEST_FPERIOD_OVERRIDE=FQ","FILING_STATUS=MR","Sort=A","Dates=H","DateFormat=P","Fill=—","Direction=H","UseDPDF=Y")</f>
        <v>14.2354</v>
      </c>
      <c r="AF18" s="21" t="str">
        <f>_xll.BDH("CRM US Equity","TOT_DEBT_TO_TOT_ASSET","FQ3 2019","FQ3 2019","Currency=USD","Period=FQ","BEST_FPERIOD_OVERRIDE=FQ","FILING_STATUS=MR","Sort=A","Dates=H","DateFormat=P","Fill=—","Direction=H","UseDPDF=Y")</f>
        <v>#N/A Requesting Data...</v>
      </c>
      <c r="AG18" s="21" t="str">
        <f>_xll.BDH("CRM US Equity","TOT_DEBT_TO_TOT_ASSET","FQ4 2019","FQ4 2019","Currency=USD","Period=FQ","BEST_FPERIOD_OVERRIDE=FQ","FILING_STATUS=MR","Sort=A","Dates=H","DateFormat=P","Fill=—","Direction=H","UseDPDF=Y")</f>
        <v>#N/A Requesting Data...</v>
      </c>
      <c r="AH18" s="21" t="str">
        <f>_xll.BDH("CRM US Equity","TOT_DEBT_TO_TOT_ASSET","FQ1 2020","FQ1 2020","Currency=USD","Period=FQ","BEST_FPERIOD_OVERRIDE=FQ","FILING_STATUS=MR","Sort=A","Dates=H","DateFormat=P","Fill=—","Direction=H","UseDPDF=Y")</f>
        <v>#N/A Requesting Data...</v>
      </c>
      <c r="AI18" s="21" t="str">
        <f>_xll.BDH("CRM US Equity","TOT_DEBT_TO_TOT_ASSET","FQ2 2020","FQ2 2020","Currency=USD","Period=FQ","BEST_FPERIOD_OVERRIDE=FQ","FILING_STATUS=MR","Sort=A","Dates=H","DateFormat=P","Fill=—","Direction=H","UseDPDF=Y")</f>
        <v>#N/A Requesting Data...</v>
      </c>
      <c r="AJ18" s="21" t="str">
        <f>_xll.BDH("CRM US Equity","TOT_DEBT_TO_TOT_ASSET","FQ3 2020","FQ3 2020","Currency=USD","Period=FQ","BEST_FPERIOD_OVERRIDE=FQ","FILING_STATUS=MR","Sort=A","Dates=H","DateFormat=P","Fill=—","Direction=H","UseDPDF=Y")</f>
        <v>#N/A Requesting Data...</v>
      </c>
      <c r="AK18" s="21" t="str">
        <f>_xll.BDH("CRM US Equity","TOT_DEBT_TO_TOT_ASSET","FQ4 2020","FQ4 2020","Currency=USD","Period=FQ","BEST_FPERIOD_OVERRIDE=FQ","FILING_STATUS=MR","Sort=A","Dates=H","DateFormat=P","Fill=—","Direction=H","UseDPDF=Y")</f>
        <v>#N/A Requesting Data...</v>
      </c>
      <c r="AL18" s="21">
        <f>_xll.BDH("CRM US Equity","TOT_DEBT_TO_TOT_ASSET","FQ1 2021","FQ1 2021","Currency=USD","Period=FQ","BEST_FPERIOD_OVERRIDE=FQ","FILING_STATUS=MR","Sort=A","Dates=H","DateFormat=P","Fill=—","Direction=H","UseDPDF=Y")</f>
        <v>10.885300000000001</v>
      </c>
      <c r="AM18" s="21">
        <f>_xll.BDH("CRM US Equity","TOT_DEBT_TO_TOT_ASSET","FQ2 2021","FQ2 2021","Currency=USD","Period=FQ","BEST_FPERIOD_OVERRIDE=FQ","FILING_STATUS=MR","Sort=A","Dates=H","DateFormat=P","Fill=—","Direction=H","UseDPDF=Y")</f>
        <v>10.7044</v>
      </c>
      <c r="AN18" s="21">
        <f>_xll.BDH("CRM US Equity","TOT_DEBT_TO_TOT_ASSET","FQ3 2021","FQ3 2021","Currency=USD","Period=FQ","BEST_FPERIOD_OVERRIDE=FQ","FILING_STATUS=MR","Sort=A","Dates=H","DateFormat=P","Fill=—","Direction=H","UseDPDF=Y")</f>
        <v>10.523199999999999</v>
      </c>
      <c r="AO18" s="21">
        <f>_xll.BDH("CRM US Equity","TOT_DEBT_TO_TOT_ASSET","FQ4 2021","FQ4 2021","Currency=USD","Period=FQ","BEST_FPERIOD_OVERRIDE=FQ","FILING_STATUS=MR","Sort=A","Dates=H","DateFormat=P","Fill=—","Direction=H","UseDPDF=Y")</f>
        <v>9.6664999999999992</v>
      </c>
      <c r="AP18" s="21">
        <f>_xll.BDH("CRM US Equity","TOT_DEBT_TO_TOT_ASSET","FQ1 2022","FQ1 2022","Currency=USD","Period=FQ","BEST_FPERIOD_OVERRIDE=FQ","FILING_STATUS=MR","Sort=A","Dates=H","DateFormat=P","Fill=—","Direction=H","UseDPDF=Y")</f>
        <v>9.4505999999999997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171</v>
      </c>
      <c r="B20" s="8" t="s">
        <v>170</v>
      </c>
      <c r="C20" s="21">
        <f>_xll.BDH("CRM US Equity","CASH_FLOW_TO_TOT_LIAB","FQ2 2012","FQ2 2012","Currency=USD","Period=FQ","BEST_FPERIOD_OVERRIDE=FQ","FILING_STATUS=MR","Sort=A","Dates=H","DateFormat=P","Fill=—","Direction=H","UseDPDF=Y")</f>
        <v>24.1709</v>
      </c>
      <c r="D20" s="21" t="str">
        <f>_xll.BDH("CRM US Equity","CASH_FLOW_TO_TOT_LIAB","FQ3 2012","FQ3 2012","Currency=USD","Period=FQ","BEST_FPERIOD_OVERRIDE=FQ","FILING_STATUS=MR","Sort=A","Dates=H","DateFormat=P","Fill=—","Direction=H","UseDPDF=Y")</f>
        <v>#N/A Requesting Data...</v>
      </c>
      <c r="E20" s="21" t="str">
        <f>_xll.BDH("CRM US Equity","CASH_FLOW_TO_TOT_LIAB","FQ4 2012","FQ4 2012","Currency=USD","Period=FQ","BEST_FPERIOD_OVERRIDE=FQ","FILING_STATUS=MR","Sort=A","Dates=H","DateFormat=P","Fill=—","Direction=H","UseDPDF=Y")</f>
        <v>#N/A Requesting Data...</v>
      </c>
      <c r="F20" s="21">
        <f>_xll.BDH("CRM US Equity","CASH_FLOW_TO_TOT_LIAB","FQ1 2013","FQ1 2013","Currency=USD","Period=FQ","BEST_FPERIOD_OVERRIDE=FQ","FILING_STATUS=MR","Sort=A","Dates=H","DateFormat=P","Fill=—","Direction=H","UseDPDF=Y")</f>
        <v>28.3508</v>
      </c>
      <c r="G20" s="21">
        <f>_xll.BDH("CRM US Equity","CASH_FLOW_TO_TOT_LIAB","FQ2 2013","FQ2 2013","Currency=USD","Period=FQ","BEST_FPERIOD_OVERRIDE=FQ","FILING_STATUS=MR","Sort=A","Dates=H","DateFormat=P","Fill=—","Direction=H","UseDPDF=Y")</f>
        <v>28.7974</v>
      </c>
      <c r="H20" s="21" t="str">
        <f>_xll.BDH("CRM US Equity","CASH_FLOW_TO_TOT_LIAB","FQ3 2013","FQ3 2013","Currency=USD","Period=FQ","BEST_FPERIOD_OVERRIDE=FQ","FILING_STATUS=MR","Sort=A","Dates=H","DateFormat=P","Fill=—","Direction=H","UseDPDF=Y")</f>
        <v>#N/A Requesting Data...</v>
      </c>
      <c r="I20" s="21">
        <f>_xll.BDH("CRM US Equity","CASH_FLOW_TO_TOT_LIAB","FQ4 2013","FQ4 2013","Currency=USD","Period=FQ","BEST_FPERIOD_OVERRIDE=FQ","FILING_STATUS=MR","Sort=A","Dates=H","DateFormat=P","Fill=—","Direction=H","UseDPDF=Y")</f>
        <v>23.336400000000001</v>
      </c>
      <c r="J20" s="21">
        <f>_xll.BDH("CRM US Equity","CASH_FLOW_TO_TOT_LIAB","FQ1 2014","FQ1 2014","Currency=USD","Period=FQ","BEST_FPERIOD_OVERRIDE=FQ","FILING_STATUS=MR","Sort=A","Dates=H","DateFormat=P","Fill=—","Direction=H","UseDPDF=Y")</f>
        <v>20.1525</v>
      </c>
      <c r="K20" s="21">
        <f>_xll.BDH("CRM US Equity","CASH_FLOW_TO_TOT_LIAB","FQ2 2014","FQ2 2014","Currency=USD","Period=FQ","BEST_FPERIOD_OVERRIDE=FQ","FILING_STATUS=MR","Sort=A","Dates=H","DateFormat=P","Fill=—","Direction=H","UseDPDF=Y")</f>
        <v>16.707100000000001</v>
      </c>
      <c r="L20" s="21">
        <f>_xll.BDH("CRM US Equity","CASH_FLOW_TO_TOT_LIAB","FQ3 2014","FQ3 2014","Currency=USD","Period=FQ","BEST_FPERIOD_OVERRIDE=FQ","FILING_STATUS=MR","Sort=A","Dates=H","DateFormat=P","Fill=—","Direction=H","UseDPDF=Y")</f>
        <v>17.194900000000001</v>
      </c>
      <c r="M20" s="21">
        <f>_xll.BDH("CRM US Equity","CASH_FLOW_TO_TOT_LIAB","FQ4 2014","FQ4 2014","Currency=USD","Period=FQ","BEST_FPERIOD_OVERRIDE=FQ","FILING_STATUS=MR","Sort=A","Dates=H","DateFormat=P","Fill=—","Direction=H","UseDPDF=Y")</f>
        <v>14.3809</v>
      </c>
      <c r="N20" s="21">
        <f>_xll.BDH("CRM US Equity","CASH_FLOW_TO_TOT_LIAB","FQ1 2015","FQ1 2015","Currency=USD","Period=FQ","BEST_FPERIOD_OVERRIDE=FQ","FILING_STATUS=MR","Sort=A","Dates=H","DateFormat=P","Fill=—","Direction=H","UseDPDF=Y")</f>
        <v>19.3721</v>
      </c>
      <c r="O20" s="21">
        <f>_xll.BDH("CRM US Equity","CASH_FLOW_TO_TOT_LIAB","FQ2 2015","FQ2 2015","Currency=USD","Period=FQ","BEST_FPERIOD_OVERRIDE=FQ","FILING_STATUS=MR","Sort=A","Dates=H","DateFormat=P","Fill=—","Direction=H","UseDPDF=Y")</f>
        <v>19.780100000000001</v>
      </c>
      <c r="P20" s="21">
        <f>_xll.BDH("CRM US Equity","CASH_FLOW_TO_TOT_LIAB","FQ3 2015","FQ3 2015","Currency=USD","Period=FQ","BEST_FPERIOD_OVERRIDE=FQ","FILING_STATUS=MR","Sort=A","Dates=H","DateFormat=P","Fill=—","Direction=H","UseDPDF=Y")</f>
        <v>19.7989</v>
      </c>
      <c r="Q20" s="21" t="str">
        <f>_xll.BDH("CRM US Equity","CASH_FLOW_TO_TOT_LIAB","FQ4 2015","FQ4 2015","Currency=USD","Period=FQ","BEST_FPERIOD_OVERRIDE=FQ","FILING_STATUS=MR","Sort=A","Dates=H","DateFormat=P","Fill=—","Direction=H","UseDPDF=Y")</f>
        <v>#N/A Requesting Data...</v>
      </c>
      <c r="R20" s="21" t="str">
        <f>_xll.BDH("CRM US Equity","CASH_FLOW_TO_TOT_LIAB","FQ1 2016","FQ1 2016","Currency=USD","Period=FQ","BEST_FPERIOD_OVERRIDE=FQ","FILING_STATUS=MR","Sort=A","Dates=H","DateFormat=P","Fill=—","Direction=H","UseDPDF=Y")</f>
        <v>#N/A Requesting Data...</v>
      </c>
      <c r="S20" s="21" t="str">
        <f>_xll.BDH("CRM US Equity","CASH_FLOW_TO_TOT_LIAB","FQ2 2016","FQ2 2016","Currency=USD","Period=FQ","BEST_FPERIOD_OVERRIDE=FQ","FILING_STATUS=MR","Sort=A","Dates=H","DateFormat=P","Fill=—","Direction=H","UseDPDF=Y")</f>
        <v>#N/A Requesting Data...</v>
      </c>
      <c r="T20" s="21" t="str">
        <f>_xll.BDH("CRM US Equity","CASH_FLOW_TO_TOT_LIAB","FQ3 2016","FQ3 2016","Currency=USD","Period=FQ","BEST_FPERIOD_OVERRIDE=FQ","FILING_STATUS=MR","Sort=A","Dates=H","DateFormat=P","Fill=—","Direction=H","UseDPDF=Y")</f>
        <v>#N/A Requesting Data...</v>
      </c>
      <c r="U20" s="21">
        <f>_xll.BDH("CRM US Equity","CASH_FLOW_TO_TOT_LIAB","FQ4 2016","FQ4 2016","Currency=USD","Period=FQ","BEST_FPERIOD_OVERRIDE=FQ","FILING_STATUS=MR","Sort=A","Dates=H","DateFormat=P","Fill=—","Direction=H","UseDPDF=Y")</f>
        <v>21.5473</v>
      </c>
      <c r="V20" s="21">
        <f>_xll.BDH("CRM US Equity","CASH_FLOW_TO_TOT_LIAB","FQ1 2017","FQ1 2017","Currency=USD","Period=FQ","BEST_FPERIOD_OVERRIDE=FQ","FILING_STATUS=MR","Sort=A","Dates=H","DateFormat=P","Fill=—","Direction=H","UseDPDF=Y")</f>
        <v>27.486000000000001</v>
      </c>
      <c r="W20" s="21">
        <f>_xll.BDH("CRM US Equity","CASH_FLOW_TO_TOT_LIAB","FQ2 2017","FQ2 2017","Currency=USD","Period=FQ","BEST_FPERIOD_OVERRIDE=FQ","FILING_STATUS=MR","Sort=A","Dates=H","DateFormat=P","Fill=—","Direction=H","UseDPDF=Y")</f>
        <v>23.451599999999999</v>
      </c>
      <c r="X20" s="21">
        <f>_xll.BDH("CRM US Equity","CASH_FLOW_TO_TOT_LIAB","FQ3 2017","FQ3 2017","Currency=USD","Period=FQ","BEST_FPERIOD_OVERRIDE=FQ","FILING_STATUS=MR","Sort=A","Dates=H","DateFormat=P","Fill=—","Direction=H","UseDPDF=Y")</f>
        <v>25.4069</v>
      </c>
      <c r="Y20" s="21">
        <f>_xll.BDH("CRM US Equity","CASH_FLOW_TO_TOT_LIAB","FQ4 2017","FQ4 2017","Currency=USD","Period=FQ","BEST_FPERIOD_OVERRIDE=FQ","FILING_STATUS=MR","Sort=A","Dates=H","DateFormat=P","Fill=—","Direction=H","UseDPDF=Y")</f>
        <v>21.438199999999998</v>
      </c>
      <c r="Z20" s="21">
        <f>_xll.BDH("CRM US Equity","CASH_FLOW_TO_TOT_LIAB","FQ1 2018","FQ1 2018","Currency=USD","Period=FQ","BEST_FPERIOD_OVERRIDE=FQ","FILING_STATUS=MR","Sort=A","Dates=H","DateFormat=P","Fill=—","Direction=H","UseDPDF=Y")</f>
        <v>25.6557</v>
      </c>
      <c r="AA20" s="21" t="str">
        <f>_xll.BDH("CRM US Equity","CASH_FLOW_TO_TOT_LIAB","FQ2 2018","FQ2 2018","Currency=USD","Period=FQ","BEST_FPERIOD_OVERRIDE=FQ","FILING_STATUS=MR","Sort=A","Dates=H","DateFormat=P","Fill=—","Direction=H","UseDPDF=Y")</f>
        <v>#N/A Requesting Data...</v>
      </c>
      <c r="AB20" s="21" t="str">
        <f>_xll.BDH("CRM US Equity","CASH_FLOW_TO_TOT_LIAB","FQ3 2018","FQ3 2018","Currency=USD","Period=FQ","BEST_FPERIOD_OVERRIDE=FQ","FILING_STATUS=MR","Sort=A","Dates=H","DateFormat=P","Fill=—","Direction=H","UseDPDF=Y")</f>
        <v>#N/A Requesting Data...</v>
      </c>
      <c r="AC20" s="21" t="str">
        <f>_xll.BDH("CRM US Equity","CASH_FLOW_TO_TOT_LIAB","FQ4 2018","FQ4 2018","Currency=USD","Period=FQ","BEST_FPERIOD_OVERRIDE=FQ","FILING_STATUS=MR","Sort=A","Dates=H","DateFormat=P","Fill=—","Direction=H","UseDPDF=Y")</f>
        <v>#N/A Requesting Data...</v>
      </c>
      <c r="AD20" s="21" t="str">
        <f>_xll.BDH("CRM US Equity","CASH_FLOW_TO_TOT_LIAB","FQ1 2019","FQ1 2019","Currency=USD","Period=FQ","BEST_FPERIOD_OVERRIDE=FQ","FILING_STATUS=MR","Sort=A","Dates=H","DateFormat=P","Fill=—","Direction=H","UseDPDF=Y")</f>
        <v>#N/A Requesting Data...</v>
      </c>
      <c r="AE20" s="21" t="str">
        <f>_xll.BDH("CRM US Equity","CASH_FLOW_TO_TOT_LIAB","FQ2 2019","FQ2 2019","Currency=USD","Period=FQ","BEST_FPERIOD_OVERRIDE=FQ","FILING_STATUS=MR","Sort=A","Dates=H","DateFormat=P","Fill=—","Direction=H","UseDPDF=Y")</f>
        <v>#N/A Requesting Data...</v>
      </c>
      <c r="AF20" s="21" t="str">
        <f>_xll.BDH("CRM US Equity","CASH_FLOW_TO_TOT_LIAB","FQ3 2019","FQ3 2019","Currency=USD","Period=FQ","BEST_FPERIOD_OVERRIDE=FQ","FILING_STATUS=MR","Sort=A","Dates=H","DateFormat=P","Fill=—","Direction=H","UseDPDF=Y")</f>
        <v>#N/A Requesting Data...</v>
      </c>
      <c r="AG20" s="21" t="str">
        <f>_xll.BDH("CRM US Equity","CASH_FLOW_TO_TOT_LIAB","FQ4 2019","FQ4 2019","Currency=USD","Period=FQ","BEST_FPERIOD_OVERRIDE=FQ","FILING_STATUS=MR","Sort=A","Dates=H","DateFormat=P","Fill=—","Direction=H","UseDPDF=Y")</f>
        <v>#N/A Requesting Data...</v>
      </c>
      <c r="AH20" s="21">
        <f>_xll.BDH("CRM US Equity","CASH_FLOW_TO_TOT_LIAB","FQ1 2020","FQ1 2020","Currency=USD","Period=FQ","BEST_FPERIOD_OVERRIDE=FQ","FILING_STATUS=MR","Sort=A","Dates=H","DateFormat=P","Fill=—","Direction=H","UseDPDF=Y")</f>
        <v>23.324200000000001</v>
      </c>
      <c r="AI20" s="21">
        <f>_xll.BDH("CRM US Equity","CASH_FLOW_TO_TOT_LIAB","FQ2 2020","FQ2 2020","Currency=USD","Period=FQ","BEST_FPERIOD_OVERRIDE=FQ","FILING_STATUS=MR","Sort=A","Dates=H","DateFormat=P","Fill=—","Direction=H","UseDPDF=Y")</f>
        <v>23.964099999999998</v>
      </c>
      <c r="AJ20" s="21">
        <f>_xll.BDH("CRM US Equity","CASH_FLOW_TO_TOT_LIAB","FQ3 2020","FQ3 2020","Currency=USD","Period=FQ","BEST_FPERIOD_OVERRIDE=FQ","FILING_STATUS=MR","Sort=A","Dates=H","DateFormat=P","Fill=—","Direction=H","UseDPDF=Y")</f>
        <v>24.185300000000002</v>
      </c>
      <c r="AK20" s="21">
        <f>_xll.BDH("CRM US Equity","CASH_FLOW_TO_TOT_LIAB","FQ4 2020","FQ4 2020","Currency=USD","Period=FQ","BEST_FPERIOD_OVERRIDE=FQ","FILING_STATUS=MR","Sort=A","Dates=H","DateFormat=P","Fill=—","Direction=H","UseDPDF=Y")</f>
        <v>20.389800000000001</v>
      </c>
      <c r="AL20" s="21">
        <f>_xll.BDH("CRM US Equity","CASH_FLOW_TO_TOT_LIAB","FQ1 2021","FQ1 2021","Currency=USD","Period=FQ","BEST_FPERIOD_OVERRIDE=FQ","FILING_STATUS=MR","Sort=A","Dates=H","DateFormat=P","Fill=—","Direction=H","UseDPDF=Y")</f>
        <v>22.1692</v>
      </c>
      <c r="AM20" s="21" t="str">
        <f>_xll.BDH("CRM US Equity","CASH_FLOW_TO_TOT_LIAB","FQ2 2021","FQ2 2021","Currency=USD","Period=FQ","BEST_FPERIOD_OVERRIDE=FQ","FILING_STATUS=MR","Sort=A","Dates=H","DateFormat=P","Fill=—","Direction=H","UseDPDF=Y")</f>
        <v>#N/A Requesting Data...</v>
      </c>
      <c r="AN20" s="21" t="str">
        <f>_xll.BDH("CRM US Equity","CASH_FLOW_TO_TOT_LIAB","FQ3 2021","FQ3 2021","Currency=USD","Period=FQ","BEST_FPERIOD_OVERRIDE=FQ","FILING_STATUS=MR","Sort=A","Dates=H","DateFormat=P","Fill=—","Direction=H","UseDPDF=Y")</f>
        <v>#N/A Requesting Data...</v>
      </c>
      <c r="AO20" s="21" t="str">
        <f>_xll.BDH("CRM US Equity","CASH_FLOW_TO_TOT_LIAB","FQ4 2021","FQ4 2021","Currency=USD","Period=FQ","BEST_FPERIOD_OVERRIDE=FQ","FILING_STATUS=MR","Sort=A","Dates=H","DateFormat=P","Fill=—","Direction=H","UseDPDF=Y")</f>
        <v>#N/A Requesting Data...</v>
      </c>
      <c r="AP20" s="21" t="str">
        <f>_xll.BDH("CRM US Equity","CASH_FLOW_TO_TOT_LIAB","FQ1 2022","FQ1 2022","Currency=USD","Period=FQ","BEST_FPERIOD_OVERRIDE=FQ","FILING_STATUS=MR","Sort=A","Dates=H","DateFormat=P","Fill=—","Direction=H","UseDPDF=Y")</f>
        <v>#N/A Requesting Data...</v>
      </c>
    </row>
    <row r="21" spans="1:42" x14ac:dyDescent="0.25">
      <c r="A21" s="8" t="s">
        <v>169</v>
      </c>
      <c r="B21" s="8" t="s">
        <v>168</v>
      </c>
      <c r="C21" s="21" t="str">
        <f>_xll.BDH("CRM US Equity","CAP_EXPEND_RATIO","FQ2 2012","FQ2 2012","Currency=USD","Period=FQ","BEST_FPERIOD_OVERRIDE=FQ","FILING_STATUS=MR","Sort=A","Dates=H","DateFormat=P","Fill=—","Direction=H","UseDPDF=Y")</f>
        <v>#N/A Requesting Data...</v>
      </c>
      <c r="D21" s="21" t="str">
        <f>_xll.BDH("CRM US Equity","CAP_EXPEND_RATIO","FQ3 2012","FQ3 2012","Currency=USD","Period=FQ","BEST_FPERIOD_OVERRIDE=FQ","FILING_STATUS=MR","Sort=A","Dates=H","DateFormat=P","Fill=—","Direction=H","UseDPDF=Y")</f>
        <v>#N/A Requesting Data...</v>
      </c>
      <c r="E21" s="21">
        <f>_xll.BDH("CRM US Equity","CAP_EXPEND_RATIO","FQ4 2012","FQ4 2012","Currency=USD","Period=FQ","BEST_FPERIOD_OVERRIDE=FQ","FILING_STATUS=MR","Sort=A","Dates=H","DateFormat=P","Fill=—","Direction=H","UseDPDF=Y")</f>
        <v>4.6973000000000003</v>
      </c>
      <c r="F21" s="21">
        <f>_xll.BDH("CRM US Equity","CAP_EXPEND_RATIO","FQ1 2013","FQ1 2013","Currency=USD","Period=FQ","BEST_FPERIOD_OVERRIDE=FQ","FILING_STATUS=MR","Sort=A","Dates=H","DateFormat=P","Fill=—","Direction=H","UseDPDF=Y")</f>
        <v>4.3666999999999998</v>
      </c>
      <c r="G21" s="21">
        <f>_xll.BDH("CRM US Equity","CAP_EXPEND_RATIO","FQ2 2013","FQ2 2013","Currency=USD","Period=FQ","BEST_FPERIOD_OVERRIDE=FQ","FILING_STATUS=MR","Sort=A","Dates=H","DateFormat=P","Fill=—","Direction=H","UseDPDF=Y")</f>
        <v>4.6477000000000004</v>
      </c>
      <c r="H21" s="21">
        <f>_xll.BDH("CRM US Equity","CAP_EXPEND_RATIO","FQ3 2013","FQ3 2013","Currency=USD","Period=FQ","BEST_FPERIOD_OVERRIDE=FQ","FILING_STATUS=MR","Sort=A","Dates=H","DateFormat=P","Fill=—","Direction=H","UseDPDF=Y")</f>
        <v>2.0746000000000002</v>
      </c>
      <c r="I21" s="21">
        <f>_xll.BDH("CRM US Equity","CAP_EXPEND_RATIO","FQ4 2013","FQ4 2013","Currency=USD","Period=FQ","BEST_FPERIOD_OVERRIDE=FQ","FILING_STATUS=MR","Sort=A","Dates=H","DateFormat=P","Fill=—","Direction=H","UseDPDF=Y")</f>
        <v>5.5732999999999997</v>
      </c>
      <c r="J21" s="21">
        <f>_xll.BDH("CRM US Equity","CAP_EXPEND_RATIO","FQ1 2014","FQ1 2014","Currency=USD","Period=FQ","BEST_FPERIOD_OVERRIDE=FQ","FILING_STATUS=MR","Sort=A","Dates=H","DateFormat=P","Fill=—","Direction=H","UseDPDF=Y")</f>
        <v>5.2432999999999996</v>
      </c>
      <c r="K21" s="21" t="str">
        <f>_xll.BDH("CRM US Equity","CAP_EXPEND_RATIO","FQ2 2014","FQ2 2014","Currency=USD","Period=FQ","BEST_FPERIOD_OVERRIDE=FQ","FILING_STATUS=MR","Sort=A","Dates=H","DateFormat=P","Fill=—","Direction=H","UseDPDF=Y")</f>
        <v>#N/A Requesting Data...</v>
      </c>
      <c r="L21" s="21" t="str">
        <f>_xll.BDH("CRM US Equity","CAP_EXPEND_RATIO","FQ3 2014","FQ3 2014","Currency=USD","Period=FQ","BEST_FPERIOD_OVERRIDE=FQ","FILING_STATUS=MR","Sort=A","Dates=H","DateFormat=P","Fill=—","Direction=H","UseDPDF=Y")</f>
        <v>#N/A Requesting Data...</v>
      </c>
      <c r="M21" s="21" t="str">
        <f>_xll.BDH("CRM US Equity","CAP_EXPEND_RATIO","FQ4 2014","FQ4 2014","Currency=USD","Period=FQ","BEST_FPERIOD_OVERRIDE=FQ","FILING_STATUS=MR","Sort=A","Dates=H","DateFormat=P","Fill=—","Direction=H","UseDPDF=Y")</f>
        <v>#N/A Requesting Data...</v>
      </c>
      <c r="N21" s="21">
        <f>_xll.BDH("CRM US Equity","CAP_EXPEND_RATIO","FQ1 2015","FQ1 2015","Currency=USD","Period=FQ","BEST_FPERIOD_OVERRIDE=FQ","FILING_STATUS=MR","Sort=A","Dates=H","DateFormat=P","Fill=—","Direction=H","UseDPDF=Y")</f>
        <v>7.8719000000000001</v>
      </c>
      <c r="O21" s="21" t="str">
        <f>_xll.BDH("CRM US Equity","CAP_EXPEND_RATIO","FQ2 2015","FQ2 2015","Currency=USD","Period=FQ","BEST_FPERIOD_OVERRIDE=FQ","FILING_STATUS=MR","Sort=A","Dates=H","DateFormat=P","Fill=—","Direction=H","UseDPDF=Y")</f>
        <v>#N/A Requesting Data...</v>
      </c>
      <c r="P21" s="21" t="str">
        <f>_xll.BDH("CRM US Equity","CAP_EXPEND_RATIO","FQ3 2015","FQ3 2015","Currency=USD","Period=FQ","BEST_FPERIOD_OVERRIDE=FQ","FILING_STATUS=MR","Sort=A","Dates=H","DateFormat=P","Fill=—","Direction=H","UseDPDF=Y")</f>
        <v>#N/A Requesting Data...</v>
      </c>
      <c r="Q21" s="21">
        <f>_xll.BDH("CRM US Equity","CAP_EXPEND_RATIO","FQ4 2015","FQ4 2015","Currency=USD","Period=FQ","BEST_FPERIOD_OVERRIDE=FQ","FILING_STATUS=MR","Sort=A","Dates=H","DateFormat=P","Fill=—","Direction=H","UseDPDF=Y")</f>
        <v>3.4300999999999999</v>
      </c>
      <c r="R21" s="21">
        <f>_xll.BDH("CRM US Equity","CAP_EXPEND_RATIO","FQ1 2016","FQ1 2016","Currency=USD","Period=FQ","BEST_FPERIOD_OVERRIDE=FQ","FILING_STATUS=MR","Sort=A","Dates=H","DateFormat=P","Fill=—","Direction=H","UseDPDF=Y")</f>
        <v>1.4805999999999999</v>
      </c>
      <c r="S21" s="21">
        <f>_xll.BDH("CRM US Equity","CAP_EXPEND_RATIO","FQ2 2016","FQ2 2016","Currency=USD","Period=FQ","BEST_FPERIOD_OVERRIDE=FQ","FILING_STATUS=MR","Sort=A","Dates=H","DateFormat=P","Fill=—","Direction=H","UseDPDF=Y")</f>
        <v>4.6896000000000004</v>
      </c>
      <c r="T21" s="21">
        <f>_xll.BDH("CRM US Equity","CAP_EXPEND_RATIO","FQ3 2016","FQ3 2016","Currency=USD","Period=FQ","BEST_FPERIOD_OVERRIDE=FQ","FILING_STATUS=MR","Sort=A","Dates=H","DateFormat=P","Fill=—","Direction=H","UseDPDF=Y")</f>
        <v>2.0304000000000002</v>
      </c>
      <c r="U21" s="21">
        <f>_xll.BDH("CRM US Equity","CAP_EXPEND_RATIO","FQ4 2016","FQ4 2016","Currency=USD","Period=FQ","BEST_FPERIOD_OVERRIDE=FQ","FILING_STATUS=MR","Sort=A","Dates=H","DateFormat=P","Fill=—","Direction=H","UseDPDF=Y")</f>
        <v>6.8678999999999997</v>
      </c>
      <c r="V21" s="21">
        <f>_xll.BDH("CRM US Equity","CAP_EXPEND_RATIO","FQ1 2017","FQ1 2017","Currency=USD","Period=FQ","BEST_FPERIOD_OVERRIDE=FQ","FILING_STATUS=MR","Sort=A","Dates=H","DateFormat=P","Fill=—","Direction=H","UseDPDF=Y")</f>
        <v>12.617599999999999</v>
      </c>
      <c r="W21" s="21" t="str">
        <f>_xll.BDH("CRM US Equity","CAP_EXPEND_RATIO","FQ2 2017","FQ2 2017","Currency=USD","Period=FQ","BEST_FPERIOD_OVERRIDE=FQ","FILING_STATUS=MR","Sort=A","Dates=H","DateFormat=P","Fill=—","Direction=H","UseDPDF=Y")</f>
        <v>#N/A Requesting Data...</v>
      </c>
      <c r="X21" s="21" t="str">
        <f>_xll.BDH("CRM US Equity","CAP_EXPEND_RATIO","FQ3 2017","FQ3 2017","Currency=USD","Period=FQ","BEST_FPERIOD_OVERRIDE=FQ","FILING_STATUS=MR","Sort=A","Dates=H","DateFormat=P","Fill=—","Direction=H","UseDPDF=Y")</f>
        <v>#N/A Requesting Data...</v>
      </c>
      <c r="Y21" s="21" t="str">
        <f>_xll.BDH("CRM US Equity","CAP_EXPEND_RATIO","FQ4 2017","FQ4 2017","Currency=USD","Period=FQ","BEST_FPERIOD_OVERRIDE=FQ","FILING_STATUS=MR","Sort=A","Dates=H","DateFormat=P","Fill=—","Direction=H","UseDPDF=Y")</f>
        <v>#N/A Requesting Data...</v>
      </c>
      <c r="Z21" s="21" t="str">
        <f>_xll.BDH("CRM US Equity","CAP_EXPEND_RATIO","FQ1 2018","FQ1 2018","Currency=USD","Period=FQ","BEST_FPERIOD_OVERRIDE=FQ","FILING_STATUS=MR","Sort=A","Dates=H","DateFormat=P","Fill=—","Direction=H","UseDPDF=Y")</f>
        <v>#N/A Requesting Data...</v>
      </c>
      <c r="AA21" s="21" t="str">
        <f>_xll.BDH("CRM US Equity","CAP_EXPEND_RATIO","FQ2 2018","FQ2 2018","Currency=USD","Period=FQ","BEST_FPERIOD_OVERRIDE=FQ","FILING_STATUS=MR","Sort=A","Dates=H","DateFormat=P","Fill=—","Direction=H","UseDPDF=Y")</f>
        <v>#N/A Requesting Data...</v>
      </c>
      <c r="AB21" s="21" t="str">
        <f>_xll.BDH("CRM US Equity","CAP_EXPEND_RATIO","FQ3 2018","FQ3 2018","Currency=USD","Period=FQ","BEST_FPERIOD_OVERRIDE=FQ","FILING_STATUS=MR","Sort=A","Dates=H","DateFormat=P","Fill=—","Direction=H","UseDPDF=Y")</f>
        <v>#N/A Requesting Data...</v>
      </c>
      <c r="AC21" s="21">
        <f>_xll.BDH("CRM US Equity","CAP_EXPEND_RATIO","FQ4 2018","FQ4 2018","Currency=USD","Period=FQ","BEST_FPERIOD_OVERRIDE=FQ","FILING_STATUS=MR","Sort=A","Dates=H","DateFormat=P","Fill=—","Direction=H","UseDPDF=Y")</f>
        <v>7.6231999999999998</v>
      </c>
      <c r="AD21" s="21">
        <f>_xll.BDH("CRM US Equity","CAP_EXPEND_RATIO","FQ1 2019","FQ1 2019","Currency=USD","Period=FQ","BEST_FPERIOD_OVERRIDE=FQ","FILING_STATUS=MR","Sort=A","Dates=H","DateFormat=P","Fill=—","Direction=H","UseDPDF=Y")</f>
        <v>12.016400000000001</v>
      </c>
      <c r="AE21" s="21">
        <f>_xll.BDH("CRM US Equity","CAP_EXPEND_RATIO","FQ2 2019","FQ2 2019","Currency=USD","Period=FQ","BEST_FPERIOD_OVERRIDE=FQ","FILING_STATUS=MR","Sort=A","Dates=H","DateFormat=P","Fill=—","Direction=H","UseDPDF=Y")</f>
        <v>2.6941000000000002</v>
      </c>
      <c r="AF21" s="21">
        <f>_xll.BDH("CRM US Equity","CAP_EXPEND_RATIO","FQ3 2019","FQ3 2019","Currency=USD","Period=FQ","BEST_FPERIOD_OVERRIDE=FQ","FILING_STATUS=MR","Sort=A","Dates=H","DateFormat=P","Fill=—","Direction=H","UseDPDF=Y")</f>
        <v>1.0515000000000001</v>
      </c>
      <c r="AG21" s="21">
        <f>_xll.BDH("CRM US Equity","CAP_EXPEND_RATIO","FQ4 2019","FQ4 2019","Currency=USD","Period=FQ","BEST_FPERIOD_OVERRIDE=FQ","FILING_STATUS=MR","Sort=A","Dates=H","DateFormat=P","Fill=—","Direction=H","UseDPDF=Y")</f>
        <v>7.9701000000000004</v>
      </c>
      <c r="AH21" s="21">
        <f>_xll.BDH("CRM US Equity","CAP_EXPEND_RATIO","FQ1 2020","FQ1 2020","Currency=USD","Period=FQ","BEST_FPERIOD_OVERRIDE=FQ","FILING_STATUS=MR","Sort=A","Dates=H","DateFormat=P","Fill=—","Direction=H","UseDPDF=Y")</f>
        <v>12.358499999999999</v>
      </c>
      <c r="AI21" s="21">
        <f>_xll.BDH("CRM US Equity","CAP_EXPEND_RATIO","FQ2 2020","FQ2 2020","Currency=USD","Period=FQ","BEST_FPERIOD_OVERRIDE=FQ","FILING_STATUS=MR","Sort=A","Dates=H","DateFormat=P","Fill=—","Direction=H","UseDPDF=Y")</f>
        <v>2.4493999999999998</v>
      </c>
      <c r="AJ21" s="21" t="str">
        <f>_xll.BDH("CRM US Equity","CAP_EXPEND_RATIO","FQ3 2020","FQ3 2020","Currency=USD","Period=FQ","BEST_FPERIOD_OVERRIDE=FQ","FILING_STATUS=MR","Sort=A","Dates=H","DateFormat=P","Fill=—","Direction=H","UseDPDF=Y")</f>
        <v>#N/A Requesting Data...</v>
      </c>
      <c r="AK21" s="21" t="str">
        <f>_xll.BDH("CRM US Equity","CAP_EXPEND_RATIO","FQ4 2020","FQ4 2020","Currency=USD","Period=FQ","BEST_FPERIOD_OVERRIDE=FQ","FILING_STATUS=MR","Sort=A","Dates=H","DateFormat=P","Fill=—","Direction=H","UseDPDF=Y")</f>
        <v>#N/A Requesting Data...</v>
      </c>
      <c r="AL21" s="21" t="str">
        <f>_xll.BDH("CRM US Equity","CAP_EXPEND_RATIO","FQ1 2021","FQ1 2021","Currency=USD","Period=FQ","BEST_FPERIOD_OVERRIDE=FQ","FILING_STATUS=MR","Sort=A","Dates=H","DateFormat=P","Fill=—","Direction=H","UseDPDF=Y")</f>
        <v>#N/A Requesting Data...</v>
      </c>
      <c r="AM21" s="21" t="str">
        <f>_xll.BDH("CRM US Equity","CAP_EXPEND_RATIO","FQ2 2021","FQ2 2021","Currency=USD","Period=FQ","BEST_FPERIOD_OVERRIDE=FQ","FILING_STATUS=MR","Sort=A","Dates=H","DateFormat=P","Fill=—","Direction=H","UseDPDF=Y")</f>
        <v>#N/A Requesting Data...</v>
      </c>
      <c r="AN21" s="21" t="str">
        <f>_xll.BDH("CRM US Equity","CAP_EXPEND_RATIO","FQ3 2021","FQ3 2021","Currency=USD","Period=FQ","BEST_FPERIOD_OVERRIDE=FQ","FILING_STATUS=MR","Sort=A","Dates=H","DateFormat=P","Fill=—","Direction=H","UseDPDF=Y")</f>
        <v>#N/A Requesting Data...</v>
      </c>
      <c r="AO21" s="21" t="str">
        <f>_xll.BDH("CRM US Equity","CAP_EXPEND_RATIO","FQ4 2021","FQ4 2021","Currency=USD","Period=FQ","BEST_FPERIOD_OVERRIDE=FQ","FILING_STATUS=MR","Sort=A","Dates=H","DateFormat=P","Fill=—","Direction=H","UseDPDF=Y")</f>
        <v>#N/A Requesting Data...</v>
      </c>
      <c r="AP21" s="21">
        <f>_xll.BDH("CRM US Equity","CAP_EXPEND_RATIO","FQ1 2022","FQ1 2022","Currency=USD","Period=FQ","BEST_FPERIOD_OVERRIDE=FQ","FILING_STATUS=MR","Sort=A","Dates=H","DateFormat=P","Fill=—","Direction=H","UseDPDF=Y")</f>
        <v>18.877199999999998</v>
      </c>
    </row>
    <row r="22" spans="1:42" x14ac:dyDescent="0.25">
      <c r="A22" s="8" t="s">
        <v>167</v>
      </c>
      <c r="B22" s="8" t="s">
        <v>166</v>
      </c>
      <c r="C22" s="21">
        <f>_xll.BDH("CRM US Equity","ALTMAN_Z_SCORE","FQ2 2012","FQ2 2012","Currency=USD","Period=FQ","BEST_FPERIOD_OVERRIDE=FQ","FILING_STATUS=MR","Sort=A","Dates=H","DateFormat=P","Fill=—","Direction=H","UseDPDF=Y")</f>
        <v>6.6352000000000002</v>
      </c>
      <c r="D22" s="21">
        <f>_xll.BDH("CRM US Equity","ALTMAN_Z_SCORE","FQ3 2012","FQ3 2012","Currency=USD","Period=FQ","BEST_FPERIOD_OVERRIDE=FQ","FILING_STATUS=MR","Sort=A","Dates=H","DateFormat=P","Fill=—","Direction=H","UseDPDF=Y")</f>
        <v>6.1718999999999999</v>
      </c>
      <c r="E22" s="21">
        <f>_xll.BDH("CRM US Equity","ALTMAN_Z_SCORE","FQ4 2012","FQ4 2012","Currency=USD","Period=FQ","BEST_FPERIOD_OVERRIDE=FQ","FILING_STATUS=MR","Sort=A","Dates=H","DateFormat=P","Fill=—","Direction=H","UseDPDF=Y")</f>
        <v>4.3331999999999997</v>
      </c>
      <c r="F22" s="21">
        <f>_xll.BDH("CRM US Equity","ALTMAN_Z_SCORE","FQ1 2013","FQ1 2013","Currency=USD","Period=FQ","BEST_FPERIOD_OVERRIDE=FQ","FILING_STATUS=MR","Sort=A","Dates=H","DateFormat=P","Fill=—","Direction=H","UseDPDF=Y")</f>
        <v>6.0842999999999998</v>
      </c>
      <c r="G22" s="21" t="str">
        <f>_xll.BDH("CRM US Equity","ALTMAN_Z_SCORE","FQ2 2013","FQ2 2013","Currency=USD","Period=FQ","BEST_FPERIOD_OVERRIDE=FQ","FILING_STATUS=MR","Sort=A","Dates=H","DateFormat=P","Fill=—","Direction=H","UseDPDF=Y")</f>
        <v>#N/A Requesting Data...</v>
      </c>
      <c r="H22" s="21" t="str">
        <f>_xll.BDH("CRM US Equity","ALTMAN_Z_SCORE","FQ3 2013","FQ3 2013","Currency=USD","Period=FQ","BEST_FPERIOD_OVERRIDE=FQ","FILING_STATUS=MR","Sort=A","Dates=H","DateFormat=P","Fill=—","Direction=H","UseDPDF=Y")</f>
        <v>#N/A Requesting Data...</v>
      </c>
      <c r="I22" s="21" t="str">
        <f>_xll.BDH("CRM US Equity","ALTMAN_Z_SCORE","FQ4 2013","FQ4 2013","Currency=USD","Period=FQ","BEST_FPERIOD_OVERRIDE=FQ","FILING_STATUS=MR","Sort=A","Dates=H","DateFormat=P","Fill=—","Direction=H","UseDPDF=Y")</f>
        <v>#N/A Requesting Data...</v>
      </c>
      <c r="J22" s="21" t="str">
        <f>_xll.BDH("CRM US Equity","ALTMAN_Z_SCORE","FQ1 2014","FQ1 2014","Currency=USD","Period=FQ","BEST_FPERIOD_OVERRIDE=FQ","FILING_STATUS=MR","Sort=A","Dates=H","DateFormat=P","Fill=—","Direction=H","UseDPDF=Y")</f>
        <v>#N/A Requesting Data...</v>
      </c>
      <c r="K22" s="21" t="str">
        <f>_xll.BDH("CRM US Equity","ALTMAN_Z_SCORE","FQ2 2014","FQ2 2014","Currency=USD","Period=FQ","BEST_FPERIOD_OVERRIDE=FQ","FILING_STATUS=MR","Sort=A","Dates=H","DateFormat=P","Fill=—","Direction=H","UseDPDF=Y")</f>
        <v>#N/A Requesting Data...</v>
      </c>
      <c r="L22" s="21">
        <f>_xll.BDH("CRM US Equity","ALTMAN_Z_SCORE","FQ3 2014","FQ3 2014","Currency=USD","Period=FQ","BEST_FPERIOD_OVERRIDE=FQ","FILING_STATUS=MR","Sort=A","Dates=H","DateFormat=P","Fill=—","Direction=H","UseDPDF=Y")</f>
        <v>4.0810000000000004</v>
      </c>
      <c r="M22" s="21">
        <f>_xll.BDH("CRM US Equity","ALTMAN_Z_SCORE","FQ4 2014","FQ4 2014","Currency=USD","Period=FQ","BEST_FPERIOD_OVERRIDE=FQ","FILING_STATUS=MR","Sort=A","Dates=H","DateFormat=P","Fill=—","Direction=H","UseDPDF=Y")</f>
        <v>3.8265000000000002</v>
      </c>
      <c r="N22" s="21">
        <f>_xll.BDH("CRM US Equity","ALTMAN_Z_SCORE","FQ1 2015","FQ1 2015","Currency=USD","Period=FQ","BEST_FPERIOD_OVERRIDE=FQ","FILING_STATUS=MR","Sort=A","Dates=H","DateFormat=P","Fill=—","Direction=H","UseDPDF=Y")</f>
        <v>3.7246000000000001</v>
      </c>
      <c r="O22" s="21">
        <f>_xll.BDH("CRM US Equity","ALTMAN_Z_SCORE","FQ2 2015","FQ2 2015","Currency=USD","Period=FQ","BEST_FPERIOD_OVERRIDE=FQ","FILING_STATUS=MR","Sort=A","Dates=H","DateFormat=P","Fill=—","Direction=H","UseDPDF=Y")</f>
        <v>3.8616999999999999</v>
      </c>
      <c r="P22" s="21">
        <f>_xll.BDH("CRM US Equity","ALTMAN_Z_SCORE","FQ3 2015","FQ3 2015","Currency=USD","Period=FQ","BEST_FPERIOD_OVERRIDE=FQ","FILING_STATUS=MR","Sort=A","Dates=H","DateFormat=P","Fill=—","Direction=H","UseDPDF=Y")</f>
        <v>4.7610999999999999</v>
      </c>
      <c r="Q22" s="21">
        <f>_xll.BDH("CRM US Equity","ALTMAN_Z_SCORE","FQ4 2015","FQ4 2015","Currency=USD","Period=FQ","BEST_FPERIOD_OVERRIDE=FQ","FILING_STATUS=MR","Sort=A","Dates=H","DateFormat=P","Fill=—","Direction=H","UseDPDF=Y")</f>
        <v>3.7099000000000002</v>
      </c>
      <c r="R22" s="21">
        <f>_xll.BDH("CRM US Equity","ALTMAN_Z_SCORE","FQ1 2016","FQ1 2016","Currency=USD","Period=FQ","BEST_FPERIOD_OVERRIDE=FQ","FILING_STATUS=MR","Sort=A","Dates=H","DateFormat=P","Fill=—","Direction=H","UseDPDF=Y")</f>
        <v>5.1864999999999997</v>
      </c>
      <c r="S22" s="21">
        <f>_xll.BDH("CRM US Equity","ALTMAN_Z_SCORE","FQ2 2016","FQ2 2016","Currency=USD","Period=FQ","BEST_FPERIOD_OVERRIDE=FQ","FILING_STATUS=MR","Sort=A","Dates=H","DateFormat=P","Fill=—","Direction=H","UseDPDF=Y")</f>
        <v>5.1967999999999996</v>
      </c>
      <c r="T22" s="21" t="str">
        <f>_xll.BDH("CRM US Equity","ALTMAN_Z_SCORE","FQ3 2016","FQ3 2016","Currency=USD","Period=FQ","BEST_FPERIOD_OVERRIDE=FQ","FILING_STATUS=MR","Sort=A","Dates=H","DateFormat=P","Fill=—","Direction=H","UseDPDF=Y")</f>
        <v>#N/A Requesting Data...</v>
      </c>
      <c r="U22" s="21" t="str">
        <f>_xll.BDH("CRM US Equity","ALTMAN_Z_SCORE","FQ4 2016","FQ4 2016","Currency=USD","Period=FQ","BEST_FPERIOD_OVERRIDE=FQ","FILING_STATUS=MR","Sort=A","Dates=H","DateFormat=P","Fill=—","Direction=H","UseDPDF=Y")</f>
        <v>#N/A Requesting Data...</v>
      </c>
      <c r="V22" s="21" t="str">
        <f>_xll.BDH("CRM US Equity","ALTMAN_Z_SCORE","FQ1 2017","FQ1 2017","Currency=USD","Period=FQ","BEST_FPERIOD_OVERRIDE=FQ","FILING_STATUS=MR","Sort=A","Dates=H","DateFormat=P","Fill=—","Direction=H","UseDPDF=Y")</f>
        <v>#N/A Requesting Data...</v>
      </c>
      <c r="W22" s="21" t="str">
        <f>_xll.BDH("CRM US Equity","ALTMAN_Z_SCORE","FQ2 2017","FQ2 2017","Currency=USD","Period=FQ","BEST_FPERIOD_OVERRIDE=FQ","FILING_STATUS=MR","Sort=A","Dates=H","DateFormat=P","Fill=—","Direction=H","UseDPDF=Y")</f>
        <v>#N/A Requesting Data...</v>
      </c>
      <c r="X22" s="21" t="str">
        <f>_xll.BDH("CRM US Equity","ALTMAN_Z_SCORE","FQ3 2017","FQ3 2017","Currency=USD","Period=FQ","BEST_FPERIOD_OVERRIDE=FQ","FILING_STATUS=MR","Sort=A","Dates=H","DateFormat=P","Fill=—","Direction=H","UseDPDF=Y")</f>
        <v>#N/A Requesting Data...</v>
      </c>
      <c r="Y22" s="21">
        <f>_xll.BDH("CRM US Equity","ALTMAN_Z_SCORE","FQ4 2017","FQ4 2017","Currency=USD","Period=FQ","BEST_FPERIOD_OVERRIDE=FQ","FILING_STATUS=MR","Sort=A","Dates=H","DateFormat=P","Fill=—","Direction=H","UseDPDF=Y")</f>
        <v>3.9840999999999998</v>
      </c>
      <c r="Z22" s="21">
        <f>_xll.BDH("CRM US Equity","ALTMAN_Z_SCORE","FQ1 2018","FQ1 2018","Currency=USD","Period=FQ","BEST_FPERIOD_OVERRIDE=FQ","FILING_STATUS=MR","Sort=A","Dates=H","DateFormat=P","Fill=—","Direction=H","UseDPDF=Y")</f>
        <v>4.6802000000000001</v>
      </c>
      <c r="AA22" s="21">
        <f>_xll.BDH("CRM US Equity","ALTMAN_Z_SCORE","FQ2 2018","FQ2 2018","Currency=USD","Period=FQ","BEST_FPERIOD_OVERRIDE=FQ","FILING_STATUS=MR","Sort=A","Dates=H","DateFormat=P","Fill=—","Direction=H","UseDPDF=Y")</f>
        <v>5.0907999999999998</v>
      </c>
      <c r="AB22" s="21">
        <f>_xll.BDH("CRM US Equity","ALTMAN_Z_SCORE","FQ3 2018","FQ3 2018","Currency=USD","Period=FQ","BEST_FPERIOD_OVERRIDE=FQ","FILING_STATUS=MR","Sort=A","Dates=H","DateFormat=P","Fill=—","Direction=H","UseDPDF=Y")</f>
        <v>6.0048000000000004</v>
      </c>
      <c r="AC22" s="21">
        <f>_xll.BDH("CRM US Equity","ALTMAN_Z_SCORE","FQ4 2018","FQ4 2018","Currency=USD","Period=FQ","BEST_FPERIOD_OVERRIDE=FQ","FILING_STATUS=MR","Sort=A","Dates=H","DateFormat=P","Fill=—","Direction=H","UseDPDF=Y")</f>
        <v>5.0164999999999997</v>
      </c>
      <c r="AD22" s="21">
        <f>_xll.BDH("CRM US Equity","ALTMAN_Z_SCORE","FQ1 2019","FQ1 2019","Currency=USD","Period=FQ","BEST_FPERIOD_OVERRIDE=FQ","FILING_STATUS=MR","Sort=A","Dates=H","DateFormat=P","Fill=—","Direction=H","UseDPDF=Y")</f>
        <v>5.6132</v>
      </c>
      <c r="AE22" s="21" t="str">
        <f>_xll.BDH("CRM US Equity","ALTMAN_Z_SCORE","FQ2 2019","FQ2 2019","Currency=USD","Period=FQ","BEST_FPERIOD_OVERRIDE=FQ","FILING_STATUS=MR","Sort=A","Dates=H","DateFormat=P","Fill=—","Direction=H","UseDPDF=Y")</f>
        <v>#N/A Requesting Data...</v>
      </c>
      <c r="AF22" s="21" t="str">
        <f>_xll.BDH("CRM US Equity","ALTMAN_Z_SCORE","FQ3 2019","FQ3 2019","Currency=USD","Period=FQ","BEST_FPERIOD_OVERRIDE=FQ","FILING_STATUS=MR","Sort=A","Dates=H","DateFormat=P","Fill=—","Direction=H","UseDPDF=Y")</f>
        <v>#N/A Requesting Data...</v>
      </c>
      <c r="AG22" s="21" t="str">
        <f>_xll.BDH("CRM US Equity","ALTMAN_Z_SCORE","FQ4 2019","FQ4 2019","Currency=USD","Period=FQ","BEST_FPERIOD_OVERRIDE=FQ","FILING_STATUS=MR","Sort=A","Dates=H","DateFormat=P","Fill=—","Direction=H","UseDPDF=Y")</f>
        <v>#N/A Requesting Data...</v>
      </c>
      <c r="AH22" s="21" t="str">
        <f>_xll.BDH("CRM US Equity","ALTMAN_Z_SCORE","FQ1 2020","FQ1 2020","Currency=USD","Period=FQ","BEST_FPERIOD_OVERRIDE=FQ","FILING_STATUS=MR","Sort=A","Dates=H","DateFormat=P","Fill=—","Direction=H","UseDPDF=Y")</f>
        <v>#N/A Requesting Data...</v>
      </c>
      <c r="AI22" s="21" t="str">
        <f>_xll.BDH("CRM US Equity","ALTMAN_Z_SCORE","FQ2 2020","FQ2 2020","Currency=USD","Period=FQ","BEST_FPERIOD_OVERRIDE=FQ","FILING_STATUS=MR","Sort=A","Dates=H","DateFormat=P","Fill=—","Direction=H","UseDPDF=Y")</f>
        <v>#N/A Requesting Data...</v>
      </c>
      <c r="AJ22" s="21" t="str">
        <f>_xll.BDH("CRM US Equity","ALTMAN_Z_SCORE","FQ3 2020","FQ3 2020","Currency=USD","Period=FQ","BEST_FPERIOD_OVERRIDE=FQ","FILING_STATUS=MR","Sort=A","Dates=H","DateFormat=P","Fill=—","Direction=H","UseDPDF=Y")</f>
        <v>#N/A Requesting Data...</v>
      </c>
      <c r="AK22" s="21">
        <f>_xll.BDH("CRM US Equity","ALTMAN_Z_SCORE","FQ4 2020","FQ4 2020","Currency=USD","Period=FQ","BEST_FPERIOD_OVERRIDE=FQ","FILING_STATUS=MR","Sort=A","Dates=H","DateFormat=P","Fill=—","Direction=H","UseDPDF=Y")</f>
        <v>5.4596999999999998</v>
      </c>
      <c r="AL22" s="21">
        <f>_xll.BDH("CRM US Equity","ALTMAN_Z_SCORE","FQ1 2021","FQ1 2021","Currency=USD","Period=FQ","BEST_FPERIOD_OVERRIDE=FQ","FILING_STATUS=MR","Sort=A","Dates=H","DateFormat=P","Fill=—","Direction=H","UseDPDF=Y")</f>
        <v>5.5524000000000004</v>
      </c>
      <c r="AM22" s="21">
        <f>_xll.BDH("CRM US Equity","ALTMAN_Z_SCORE","FQ2 2021","FQ2 2021","Currency=USD","Period=FQ","BEST_FPERIOD_OVERRIDE=FQ","FILING_STATUS=MR","Sort=A","Dates=H","DateFormat=P","Fill=—","Direction=H","UseDPDF=Y")</f>
        <v>6.6139000000000001</v>
      </c>
      <c r="AN22" s="21">
        <f>_xll.BDH("CRM US Equity","ALTMAN_Z_SCORE","FQ3 2021","FQ3 2021","Currency=USD","Period=FQ","BEST_FPERIOD_OVERRIDE=FQ","FILING_STATUS=MR","Sort=A","Dates=H","DateFormat=P","Fill=—","Direction=H","UseDPDF=Y")</f>
        <v>7.9821999999999997</v>
      </c>
      <c r="AO22" s="21">
        <f>_xll.BDH("CRM US Equity","ALTMAN_Z_SCORE","FQ4 2021","FQ4 2021","Currency=USD","Period=FQ","BEST_FPERIOD_OVERRIDE=FQ","FILING_STATUS=MR","Sort=A","Dates=H","DateFormat=P","Fill=—","Direction=H","UseDPDF=Y")</f>
        <v>6.0930999999999997</v>
      </c>
      <c r="AP22" s="21">
        <f>_xll.BDH("CRM US Equity","ALTMAN_Z_SCORE","FQ1 2022","FQ1 2022","Currency=USD","Period=FQ","BEST_FPERIOD_OVERRIDE=FQ","FILING_STATUS=MR","Sort=A","Dates=H","DateFormat=P","Fill=—","Direction=H","UseDPDF=Y")</f>
        <v>6.9916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165</v>
      </c>
      <c r="B24" s="8" t="s">
        <v>164</v>
      </c>
      <c r="C24" s="1" t="str">
        <f>_xll.BDH("CRM US Equity","BS_TOTAL_LINE_OF_CREDIT","FQ2 2012","FQ2 2012","Currency=USD","Period=FQ","BEST_FPERIOD_OVERRIDE=FQ","FILING_STATUS=MR","SCALING_FORMAT=MLN","Sort=A","Dates=H","DateFormat=P","Fill=—","Direction=H","UseDPDF=Y")</f>
        <v>#N/A Requesting Data...</v>
      </c>
      <c r="D24" s="1" t="str">
        <f>_xll.BDH("CRM US Equity","BS_TOTAL_LINE_OF_CREDIT","FQ3 2012","FQ3 2012","Currency=USD","Period=FQ","BEST_FPERIOD_OVERRIDE=FQ","FILING_STATUS=MR","SCALING_FORMAT=MLN","Sort=A","Dates=H","DateFormat=P","Fill=—","Direction=H","UseDPDF=Y")</f>
        <v>#N/A Requesting Data...</v>
      </c>
      <c r="E24" s="1" t="str">
        <f>_xll.BDH("CRM US Equity","BS_TOTAL_LINE_OF_CREDIT","FQ4 2012","FQ4 2012","Currency=USD","Period=FQ","BEST_FPERIOD_OVERRIDE=FQ","FILING_STATUS=MR","SCALING_FORMAT=MLN","Sort=A","Dates=H","DateFormat=P","Fill=—","Direction=H","UseDPDF=Y")</f>
        <v>#N/A Requesting Data...</v>
      </c>
      <c r="F24" s="1" t="str">
        <f>_xll.BDH("CRM US Equity","BS_TOTAL_LINE_OF_CREDIT","FQ1 2013","FQ1 2013","Currency=USD","Period=FQ","BEST_FPERIOD_OVERRIDE=FQ","FILING_STATUS=MR","SCALING_FORMAT=MLN","Sort=A","Dates=H","DateFormat=P","Fill=—","Direction=H","UseDPDF=Y")</f>
        <v>#N/A Requesting Data...</v>
      </c>
      <c r="G24" s="1" t="str">
        <f>_xll.BDH("CRM US Equity","BS_TOTAL_LINE_OF_CREDIT","FQ2 2013","FQ2 2013","Currency=USD","Period=FQ","BEST_FPERIOD_OVERRIDE=FQ","FILING_STATUS=MR","SCALING_FORMAT=MLN","Sort=A","Dates=H","DateFormat=P","Fill=—","Direction=H","UseDPDF=Y")</f>
        <v>#N/A Requesting Data...</v>
      </c>
      <c r="H24" s="1" t="str">
        <f>_xll.BDH("CRM US Equity","BS_TOTAL_LINE_OF_CREDIT","FQ3 2013","FQ3 2013","Currency=USD","Period=FQ","BEST_FPERIOD_OVERRIDE=FQ","FILING_STATUS=MR","SCALING_FORMAT=MLN","Sort=A","Dates=H","DateFormat=P","Fill=—","Direction=H","UseDPDF=Y")</f>
        <v>#N/A Requesting Data...</v>
      </c>
      <c r="I24" s="1" t="str">
        <f>_xll.BDH("CRM US Equity","BS_TOTAL_LINE_OF_CREDIT","FQ4 2013","FQ4 2013","Currency=USD","Period=FQ","BEST_FPERIOD_OVERRIDE=FQ","FILING_STATUS=MR","SCALING_FORMAT=MLN","Sort=A","Dates=H","DateFormat=P","Fill=—","Direction=H","UseDPDF=Y")</f>
        <v>—</v>
      </c>
      <c r="J24" s="1" t="str">
        <f>_xll.BDH("CRM US Equity","BS_TOTAL_LINE_OF_CREDIT","FQ1 2014","FQ1 2014","Currency=USD","Period=FQ","BEST_FPERIOD_OVERRIDE=FQ","FILING_STATUS=MR","SCALING_FORMAT=MLN","Sort=A","Dates=H","DateFormat=P","Fill=—","Direction=H","UseDPDF=Y")</f>
        <v>—</v>
      </c>
      <c r="K24" s="1" t="str">
        <f>_xll.BDH("CRM US Equity","BS_TOTAL_LINE_OF_CREDIT","FQ2 2014","FQ2 2014","Currency=USD","Period=FQ","BEST_FPERIOD_OVERRIDE=FQ","FILING_STATUS=MR","SCALING_FORMAT=MLN","Sort=A","Dates=H","DateFormat=P","Fill=—","Direction=H","UseDPDF=Y")</f>
        <v>—</v>
      </c>
      <c r="L24" s="1" t="str">
        <f>_xll.BDH("CRM US Equity","BS_TOTAL_LINE_OF_CREDIT","FQ3 2014","FQ3 2014","Currency=USD","Period=FQ","BEST_FPERIOD_OVERRIDE=FQ","FILING_STATUS=MR","SCALING_FORMAT=MLN","Sort=A","Dates=H","DateFormat=P","Fill=—","Direction=H","UseDPDF=Y")</f>
        <v>—</v>
      </c>
      <c r="M24" s="1" t="str">
        <f>_xll.BDH("CRM US Equity","BS_TOTAL_LINE_OF_CREDIT","FQ4 2014","FQ4 2014","Currency=USD","Period=FQ","BEST_FPERIOD_OVERRIDE=FQ","FILING_STATUS=MR","SCALING_FORMAT=MLN","Sort=A","Dates=H","DateFormat=P","Fill=—","Direction=H","UseDPDF=Y")</f>
        <v>—</v>
      </c>
      <c r="N24" s="1" t="str">
        <f>_xll.BDH("CRM US Equity","BS_TOTAL_LINE_OF_CREDIT","FQ1 2015","FQ1 2015","Currency=USD","Period=FQ","BEST_FPERIOD_OVERRIDE=FQ","FILING_STATUS=MR","SCALING_FORMAT=MLN","Sort=A","Dates=H","DateFormat=P","Fill=—","Direction=H","UseDPDF=Y")</f>
        <v>—</v>
      </c>
      <c r="O24" s="1" t="str">
        <f>_xll.BDH("CRM US Equity","BS_TOTAL_LINE_OF_CREDIT","FQ2 2015","FQ2 2015","Currency=USD","Period=FQ","BEST_FPERIOD_OVERRIDE=FQ","FILING_STATUS=MR","SCALING_FORMAT=MLN","Sort=A","Dates=H","DateFormat=P","Fill=—","Direction=H","UseDPDF=Y")</f>
        <v>#N/A Requesting Data...</v>
      </c>
      <c r="P24" s="1" t="str">
        <f>_xll.BDH("CRM US Equity","BS_TOTAL_LINE_OF_CREDIT","FQ3 2015","FQ3 2015","Currency=USD","Period=FQ","BEST_FPERIOD_OVERRIDE=FQ","FILING_STATUS=MR","SCALING_FORMAT=MLN","Sort=A","Dates=H","DateFormat=P","Fill=—","Direction=H","UseDPDF=Y")</f>
        <v>#N/A Requesting Data...</v>
      </c>
      <c r="Q24" s="1">
        <f>_xll.BDH("CRM US Equity","BS_TOTAL_LINE_OF_CREDIT","FQ4 2015","FQ4 2015","Currency=USD","Period=FQ","BEST_FPERIOD_OVERRIDE=FQ","FILING_STATUS=MR","SCALING_FORMAT=MLN","Sort=A","Dates=H","DateFormat=P","Fill=—","Direction=H","UseDPDF=Y")</f>
        <v>650</v>
      </c>
      <c r="R24" s="1" t="str">
        <f>_xll.BDH("CRM US Equity","BS_TOTAL_LINE_OF_CREDIT","FQ1 2016","FQ1 2016","Currency=USD","Period=FQ","BEST_FPERIOD_OVERRIDE=FQ","FILING_STATUS=MR","SCALING_FORMAT=MLN","Sort=A","Dates=H","DateFormat=P","Fill=—","Direction=H","UseDPDF=Y")</f>
        <v>#N/A Requesting Data...</v>
      </c>
      <c r="S24" s="1" t="str">
        <f>_xll.BDH("CRM US Equity","BS_TOTAL_LINE_OF_CREDIT","FQ2 2016","FQ2 2016","Currency=USD","Period=FQ","BEST_FPERIOD_OVERRIDE=FQ","FILING_STATUS=MR","SCALING_FORMAT=MLN","Sort=A","Dates=H","DateFormat=P","Fill=—","Direction=H","UseDPDF=Y")</f>
        <v>#N/A Requesting Data...</v>
      </c>
      <c r="T24" s="1" t="str">
        <f>_xll.BDH("CRM US Equity","BS_TOTAL_LINE_OF_CREDIT","FQ3 2016","FQ3 2016","Currency=USD","Period=FQ","BEST_FPERIOD_OVERRIDE=FQ","FILING_STATUS=MR","SCALING_FORMAT=MLN","Sort=A","Dates=H","DateFormat=P","Fill=—","Direction=H","UseDPDF=Y")</f>
        <v>#N/A Requesting Data...</v>
      </c>
      <c r="U24" s="1">
        <f>_xll.BDH("CRM US Equity","BS_TOTAL_LINE_OF_CREDIT","FQ4 2016","FQ4 2016","Currency=USD","Period=FQ","BEST_FPERIOD_OVERRIDE=FQ","FILING_STATUS=MR","SCALING_FORMAT=MLN","Sort=A","Dates=H","DateFormat=P","Fill=—","Direction=H","UseDPDF=Y")</f>
        <v>650</v>
      </c>
      <c r="V24" s="1">
        <f>_xll.BDH("CRM US Equity","BS_TOTAL_LINE_OF_CREDIT","FQ1 2017","FQ1 2017","Currency=USD","Period=FQ","BEST_FPERIOD_OVERRIDE=FQ","FILING_STATUS=MR","SCALING_FORMAT=MLN","Sort=A","Dates=H","DateFormat=P","Fill=—","Direction=H","UseDPDF=Y")</f>
        <v>650</v>
      </c>
      <c r="W24" s="1">
        <f>_xll.BDH("CRM US Equity","BS_TOTAL_LINE_OF_CREDIT","FQ2 2017","FQ2 2017","Currency=USD","Period=FQ","BEST_FPERIOD_OVERRIDE=FQ","FILING_STATUS=MR","SCALING_FORMAT=MLN","Sort=A","Dates=H","DateFormat=P","Fill=—","Direction=H","UseDPDF=Y")</f>
        <v>1000</v>
      </c>
      <c r="X24" s="1">
        <f>_xll.BDH("CRM US Equity","BS_TOTAL_LINE_OF_CREDIT","FQ3 2017","FQ3 2017","Currency=USD","Period=FQ","BEST_FPERIOD_OVERRIDE=FQ","FILING_STATUS=MR","SCALING_FORMAT=MLN","Sort=A","Dates=H","DateFormat=P","Fill=—","Direction=H","UseDPDF=Y")</f>
        <v>1000</v>
      </c>
      <c r="Y24" s="1">
        <f>_xll.BDH("CRM US Equity","BS_TOTAL_LINE_OF_CREDIT","FQ4 2017","FQ4 2017","Currency=USD","Period=FQ","BEST_FPERIOD_OVERRIDE=FQ","FILING_STATUS=MR","SCALING_FORMAT=MLN","Sort=A","Dates=H","DateFormat=P","Fill=—","Direction=H","UseDPDF=Y")</f>
        <v>1000</v>
      </c>
      <c r="Z24" s="1">
        <f>_xll.BDH("CRM US Equity","BS_TOTAL_LINE_OF_CREDIT","FQ1 2018","FQ1 2018","Currency=USD","Period=FQ","BEST_FPERIOD_OVERRIDE=FQ","FILING_STATUS=MR","SCALING_FORMAT=MLN","Sort=A","Dates=H","DateFormat=P","Fill=—","Direction=H","UseDPDF=Y")</f>
        <v>1000</v>
      </c>
      <c r="AA24" s="1">
        <f>_xll.BDH("CRM US Equity","BS_TOTAL_LINE_OF_CREDIT","FQ2 2018","FQ2 2018","Currency=USD","Period=FQ","BEST_FPERIOD_OVERRIDE=FQ","FILING_STATUS=MR","SCALING_FORMAT=MLN","Sort=A","Dates=H","DateFormat=P","Fill=—","Direction=H","UseDPDF=Y")</f>
        <v>1000</v>
      </c>
      <c r="AB24" s="1" t="str">
        <f>_xll.BDH("CRM US Equity","BS_TOTAL_LINE_OF_CREDIT","FQ3 2018","FQ3 2018","Currency=USD","Period=FQ","BEST_FPERIOD_OVERRIDE=FQ","FILING_STATUS=MR","SCALING_FORMAT=MLN","Sort=A","Dates=H","DateFormat=P","Fill=—","Direction=H","UseDPDF=Y")</f>
        <v>#N/A Requesting Data...</v>
      </c>
      <c r="AC24" s="1" t="str">
        <f>_xll.BDH("CRM US Equity","BS_TOTAL_LINE_OF_CREDIT","FQ4 2018","FQ4 2018","Currency=USD","Period=FQ","BEST_FPERIOD_OVERRIDE=FQ","FILING_STATUS=MR","SCALING_FORMAT=MLN","Sort=A","Dates=H","DateFormat=P","Fill=—","Direction=H","UseDPDF=Y")</f>
        <v>#N/A Requesting Data...</v>
      </c>
      <c r="AD24" s="1" t="str">
        <f>_xll.BDH("CRM US Equity","BS_TOTAL_LINE_OF_CREDIT","FQ1 2019","FQ1 2019","Currency=USD","Period=FQ","BEST_FPERIOD_OVERRIDE=FQ","FILING_STATUS=MR","SCALING_FORMAT=MLN","Sort=A","Dates=H","DateFormat=P","Fill=—","Direction=H","UseDPDF=Y")</f>
        <v>#N/A Requesting Data...</v>
      </c>
      <c r="AE24" s="1" t="str">
        <f>_xll.BDH("CRM US Equity","BS_TOTAL_LINE_OF_CREDIT","FQ2 2019","FQ2 2019","Currency=USD","Period=FQ","BEST_FPERIOD_OVERRIDE=FQ","FILING_STATUS=MR","SCALING_FORMAT=MLN","Sort=A","Dates=H","DateFormat=P","Fill=—","Direction=H","UseDPDF=Y")</f>
        <v>#N/A Requesting Data...</v>
      </c>
      <c r="AF24" s="1" t="str">
        <f>_xll.BDH("CRM US Equity","BS_TOTAL_LINE_OF_CREDIT","FQ3 2019","FQ3 2019","Currency=USD","Period=FQ","BEST_FPERIOD_OVERRIDE=FQ","FILING_STATUS=MR","SCALING_FORMAT=MLN","Sort=A","Dates=H","DateFormat=P","Fill=—","Direction=H","UseDPDF=Y")</f>
        <v>#N/A Requesting Data...</v>
      </c>
      <c r="AG24" s="1">
        <f>_xll.BDH("CRM US Equity","BS_TOTAL_LINE_OF_CREDIT","FQ4 2019","FQ4 2019","Currency=USD","Period=FQ","BEST_FPERIOD_OVERRIDE=FQ","FILING_STATUS=MR","SCALING_FORMAT=MLN","Sort=A","Dates=H","DateFormat=P","Fill=—","Direction=H","UseDPDF=Y")</f>
        <v>1000</v>
      </c>
      <c r="AH24" s="1">
        <f>_xll.BDH("CRM US Equity","BS_TOTAL_LINE_OF_CREDIT","FQ1 2020","FQ1 2020","Currency=USD","Period=FQ","BEST_FPERIOD_OVERRIDE=FQ","FILING_STATUS=MR","SCALING_FORMAT=MLN","Sort=A","Dates=H","DateFormat=P","Fill=—","Direction=H","UseDPDF=Y")</f>
        <v>1000</v>
      </c>
      <c r="AI24" s="1">
        <f>_xll.BDH("CRM US Equity","BS_TOTAL_LINE_OF_CREDIT","FQ2 2020","FQ2 2020","Currency=USD","Period=FQ","BEST_FPERIOD_OVERRIDE=FQ","FILING_STATUS=MR","SCALING_FORMAT=MLN","Sort=A","Dates=H","DateFormat=P","Fill=—","Direction=H","UseDPDF=Y")</f>
        <v>1000</v>
      </c>
      <c r="AJ24" s="1">
        <f>_xll.BDH("CRM US Equity","BS_TOTAL_LINE_OF_CREDIT","FQ3 2020","FQ3 2020","Currency=USD","Period=FQ","BEST_FPERIOD_OVERRIDE=FQ","FILING_STATUS=MR","SCALING_FORMAT=MLN","Sort=A","Dates=H","DateFormat=P","Fill=—","Direction=H","UseDPDF=Y")</f>
        <v>1000</v>
      </c>
      <c r="AK24" s="1">
        <f>_xll.BDH("CRM US Equity","BS_TOTAL_LINE_OF_CREDIT","FQ4 2020","FQ4 2020","Currency=USD","Period=FQ","BEST_FPERIOD_OVERRIDE=FQ","FILING_STATUS=MR","SCALING_FORMAT=MLN","Sort=A","Dates=H","DateFormat=P","Fill=—","Direction=H","UseDPDF=Y")</f>
        <v>1000</v>
      </c>
      <c r="AL24" s="1">
        <f>_xll.BDH("CRM US Equity","BS_TOTAL_LINE_OF_CREDIT","FQ1 2021","FQ1 2021","Currency=USD","Period=FQ","BEST_FPERIOD_OVERRIDE=FQ","FILING_STATUS=MR","SCALING_FORMAT=MLN","Sort=A","Dates=H","DateFormat=P","Fill=—","Direction=H","UseDPDF=Y")</f>
        <v>1000</v>
      </c>
      <c r="AM24" s="1">
        <f>_xll.BDH("CRM US Equity","BS_TOTAL_LINE_OF_CREDIT","FQ2 2021","FQ2 2021","Currency=USD","Period=FQ","BEST_FPERIOD_OVERRIDE=FQ","FILING_STATUS=MR","SCALING_FORMAT=MLN","Sort=A","Dates=H","DateFormat=P","Fill=—","Direction=H","UseDPDF=Y")</f>
        <v>1000</v>
      </c>
      <c r="AN24" s="1" t="str">
        <f>_xll.BDH("CRM US Equity","BS_TOTAL_LINE_OF_CREDIT","FQ3 2021","FQ3 2021","Currency=USD","Period=FQ","BEST_FPERIOD_OVERRIDE=FQ","FILING_STATUS=MR","SCALING_FORMAT=MLN","Sort=A","Dates=H","DateFormat=P","Fill=—","Direction=H","UseDPDF=Y")</f>
        <v>#N/A Requesting Data...</v>
      </c>
      <c r="AO24" s="1" t="str">
        <f>_xll.BDH("CRM US Equity","BS_TOTAL_LINE_OF_CREDIT","FQ4 2021","FQ4 2021","Currency=USD","Period=FQ","BEST_FPERIOD_OVERRIDE=FQ","FILING_STATUS=MR","SCALING_FORMAT=MLN","Sort=A","Dates=H","DateFormat=P","Fill=—","Direction=H","UseDPDF=Y")</f>
        <v>#N/A Requesting Data...</v>
      </c>
      <c r="AP24" s="1" t="str">
        <f>_xll.BDH("CRM US Equity","BS_TOTAL_LINE_OF_CREDIT","FQ1 2022","FQ1 2022","Currency=USD","Period=FQ","BEST_FPERIOD_OVERRIDE=FQ","FILING_STATUS=MR","SCALING_FORMAT=MLN","Sort=A","Dates=H","DateFormat=P","Fill=—","Direction=H","UseDPDF=Y")</f>
        <v>#N/A Requesting Data...</v>
      </c>
    </row>
    <row r="25" spans="1:42" x14ac:dyDescent="0.25">
      <c r="A25" s="8" t="s">
        <v>163</v>
      </c>
      <c r="B25" s="8" t="s">
        <v>162</v>
      </c>
      <c r="C25" s="1" t="str">
        <f>_xll.BDH("CRM US Equity","BS_TOTAL_AVAIL_LINE_OF_CREDIT","FQ2 2012","FQ2 2012","Currency=USD","Period=FQ","BEST_FPERIOD_OVERRIDE=FQ","FILING_STATUS=MR","SCALING_FORMAT=MLN","Sort=A","Dates=H","DateFormat=P","Fill=—","Direction=H","UseDPDF=Y")</f>
        <v>#N/A Requesting Data...</v>
      </c>
      <c r="D25" s="1" t="str">
        <f>_xll.BDH("CRM US Equity","BS_TOTAL_AVAIL_LINE_OF_CREDIT","FQ3 2012","FQ3 2012","Currency=USD","Period=FQ","BEST_FPERIOD_OVERRIDE=FQ","FILING_STATUS=MR","SCALING_FORMAT=MLN","Sort=A","Dates=H","DateFormat=P","Fill=—","Direction=H","UseDPDF=Y")</f>
        <v>#N/A Requesting Data...</v>
      </c>
      <c r="E25" s="1" t="str">
        <f>_xll.BDH("CRM US Equity","BS_TOTAL_AVAIL_LINE_OF_CREDIT","FQ4 2012","FQ4 2012","Currency=USD","Period=FQ","BEST_FPERIOD_OVERRIDE=FQ","FILING_STATUS=MR","SCALING_FORMAT=MLN","Sort=A","Dates=H","DateFormat=P","Fill=—","Direction=H","UseDPDF=Y")</f>
        <v>—</v>
      </c>
      <c r="F25" s="1" t="str">
        <f>_xll.BDH("CRM US Equity","BS_TOTAL_AVAIL_LINE_OF_CREDIT","FQ1 2013","FQ1 2013","Currency=USD","Period=FQ","BEST_FPERIOD_OVERRIDE=FQ","FILING_STATUS=MR","SCALING_FORMAT=MLN","Sort=A","Dates=H","DateFormat=P","Fill=—","Direction=H","UseDPDF=Y")</f>
        <v>—</v>
      </c>
      <c r="G25" s="1" t="str">
        <f>_xll.BDH("CRM US Equity","BS_TOTAL_AVAIL_LINE_OF_CREDIT","FQ2 2013","FQ2 2013","Currency=USD","Period=FQ","BEST_FPERIOD_OVERRIDE=FQ","FILING_STATUS=MR","SCALING_FORMAT=MLN","Sort=A","Dates=H","DateFormat=P","Fill=—","Direction=H","UseDPDF=Y")</f>
        <v>—</v>
      </c>
      <c r="H25" s="1" t="str">
        <f>_xll.BDH("CRM US Equity","BS_TOTAL_AVAIL_LINE_OF_CREDIT","FQ3 2013","FQ3 2013","Currency=USD","Period=FQ","BEST_FPERIOD_OVERRIDE=FQ","FILING_STATUS=MR","SCALING_FORMAT=MLN","Sort=A","Dates=H","DateFormat=P","Fill=—","Direction=H","UseDPDF=Y")</f>
        <v>—</v>
      </c>
      <c r="I25" s="1" t="str">
        <f>_xll.BDH("CRM US Equity","BS_TOTAL_AVAIL_LINE_OF_CREDIT","FQ4 2013","FQ4 2013","Currency=USD","Period=FQ","BEST_FPERIOD_OVERRIDE=FQ","FILING_STATUS=MR","SCALING_FORMAT=MLN","Sort=A","Dates=H","DateFormat=P","Fill=—","Direction=H","UseDPDF=Y")</f>
        <v>—</v>
      </c>
      <c r="J25" s="1" t="str">
        <f>_xll.BDH("CRM US Equity","BS_TOTAL_AVAIL_LINE_OF_CREDIT","FQ1 2014","FQ1 2014","Currency=USD","Period=FQ","BEST_FPERIOD_OVERRIDE=FQ","FILING_STATUS=MR","SCALING_FORMAT=MLN","Sort=A","Dates=H","DateFormat=P","Fill=—","Direction=H","UseDPDF=Y")</f>
        <v>—</v>
      </c>
      <c r="K25" s="1" t="str">
        <f>_xll.BDH("CRM US Equity","BS_TOTAL_AVAIL_LINE_OF_CREDIT","FQ2 2014","FQ2 2014","Currency=USD","Period=FQ","BEST_FPERIOD_OVERRIDE=FQ","FILING_STATUS=MR","SCALING_FORMAT=MLN","Sort=A","Dates=H","DateFormat=P","Fill=—","Direction=H","UseDPDF=Y")</f>
        <v>#N/A Requesting Data...</v>
      </c>
      <c r="L25" s="1" t="str">
        <f>_xll.BDH("CRM US Equity","BS_TOTAL_AVAIL_LINE_OF_CREDIT","FQ3 2014","FQ3 2014","Currency=USD","Period=FQ","BEST_FPERIOD_OVERRIDE=FQ","FILING_STATUS=MR","SCALING_FORMAT=MLN","Sort=A","Dates=H","DateFormat=P","Fill=—","Direction=H","UseDPDF=Y")</f>
        <v>#N/A Requesting Data...</v>
      </c>
      <c r="M25" s="1" t="str">
        <f>_xll.BDH("CRM US Equity","BS_TOTAL_AVAIL_LINE_OF_CREDIT","FQ4 2014","FQ4 2014","Currency=USD","Period=FQ","BEST_FPERIOD_OVERRIDE=FQ","FILING_STATUS=MR","SCALING_FORMAT=MLN","Sort=A","Dates=H","DateFormat=P","Fill=—","Direction=H","UseDPDF=Y")</f>
        <v>#N/A Requesting Data...</v>
      </c>
      <c r="N25" s="1" t="str">
        <f>_xll.BDH("CRM US Equity","BS_TOTAL_AVAIL_LINE_OF_CREDIT","FQ1 2015","FQ1 2015","Currency=USD","Period=FQ","BEST_FPERIOD_OVERRIDE=FQ","FILING_STATUS=MR","SCALING_FORMAT=MLN","Sort=A","Dates=H","DateFormat=P","Fill=—","Direction=H","UseDPDF=Y")</f>
        <v>#N/A Requesting Data...</v>
      </c>
      <c r="O25" s="1" t="str">
        <f>_xll.BDH("CRM US Equity","BS_TOTAL_AVAIL_LINE_OF_CREDIT","FQ2 2015","FQ2 2015","Currency=USD","Period=FQ","BEST_FPERIOD_OVERRIDE=FQ","FILING_STATUS=MR","SCALING_FORMAT=MLN","Sort=A","Dates=H","DateFormat=P","Fill=—","Direction=H","UseDPDF=Y")</f>
        <v>#N/A Requesting Data...</v>
      </c>
      <c r="P25" s="1" t="str">
        <f>_xll.BDH("CRM US Equity","BS_TOTAL_AVAIL_LINE_OF_CREDIT","FQ3 2015","FQ3 2015","Currency=USD","Period=FQ","BEST_FPERIOD_OVERRIDE=FQ","FILING_STATUS=MR","SCALING_FORMAT=MLN","Sort=A","Dates=H","DateFormat=P","Fill=—","Direction=H","UseDPDF=Y")</f>
        <v>#N/A Requesting Data...</v>
      </c>
      <c r="Q25" s="1">
        <f>_xll.BDH("CRM US Equity","BS_TOTAL_AVAIL_LINE_OF_CREDIT","FQ4 2015","FQ4 2015","Currency=USD","Period=FQ","BEST_FPERIOD_OVERRIDE=FQ","FILING_STATUS=MR","SCALING_FORMAT=MLN","Sort=A","Dates=H","DateFormat=P","Fill=—","Direction=H","UseDPDF=Y")</f>
        <v>350</v>
      </c>
      <c r="R25" s="1">
        <f>_xll.BDH("CRM US Equity","BS_TOTAL_AVAIL_LINE_OF_CREDIT","FQ1 2016","FQ1 2016","Currency=USD","Period=FQ","BEST_FPERIOD_OVERRIDE=FQ","FILING_STATUS=MR","SCALING_FORMAT=MLN","Sort=A","Dates=H","DateFormat=P","Fill=—","Direction=H","UseDPDF=Y")</f>
        <v>282.10000000000002</v>
      </c>
      <c r="S25" s="1">
        <f>_xll.BDH("CRM US Equity","BS_TOTAL_AVAIL_LINE_OF_CREDIT","FQ2 2016","FQ2 2016","Currency=USD","Period=FQ","BEST_FPERIOD_OVERRIDE=FQ","FILING_STATUS=MR","SCALING_FORMAT=MLN","Sort=A","Dates=H","DateFormat=P","Fill=—","Direction=H","UseDPDF=Y")</f>
        <v>280.3</v>
      </c>
      <c r="T25" s="1">
        <f>_xll.BDH("CRM US Equity","BS_TOTAL_AVAIL_LINE_OF_CREDIT","FQ3 2016","FQ3 2016","Currency=USD","Period=FQ","BEST_FPERIOD_OVERRIDE=FQ","FILING_STATUS=MR","SCALING_FORMAT=MLN","Sort=A","Dates=H","DateFormat=P","Fill=—","Direction=H","UseDPDF=Y")</f>
        <v>650</v>
      </c>
      <c r="U25" s="1">
        <f>_xll.BDH("CRM US Equity","BS_TOTAL_AVAIL_LINE_OF_CREDIT","FQ4 2016","FQ4 2016","Currency=USD","Period=FQ","BEST_FPERIOD_OVERRIDE=FQ","FILING_STATUS=MR","SCALING_FORMAT=MLN","Sort=A","Dates=H","DateFormat=P","Fill=—","Direction=H","UseDPDF=Y")</f>
        <v>350</v>
      </c>
      <c r="V25" s="1">
        <f>_xll.BDH("CRM US Equity","BS_TOTAL_AVAIL_LINE_OF_CREDIT","FQ1 2017","FQ1 2017","Currency=USD","Period=FQ","BEST_FPERIOD_OVERRIDE=FQ","FILING_STATUS=MR","SCALING_FORMAT=MLN","Sort=A","Dates=H","DateFormat=P","Fill=—","Direction=H","UseDPDF=Y")</f>
        <v>650</v>
      </c>
      <c r="W25" s="1" t="str">
        <f>_xll.BDH("CRM US Equity","BS_TOTAL_AVAIL_LINE_OF_CREDIT","FQ2 2017","FQ2 2017","Currency=USD","Period=FQ","BEST_FPERIOD_OVERRIDE=FQ","FILING_STATUS=MR","SCALING_FORMAT=MLN","Sort=A","Dates=H","DateFormat=P","Fill=—","Direction=H","UseDPDF=Y")</f>
        <v>#N/A Requesting Data...</v>
      </c>
      <c r="X25" s="1">
        <f>_xll.BDH("CRM US Equity","BS_TOTAL_AVAIL_LINE_OF_CREDIT","FQ3 2017","FQ3 2017","Currency=USD","Period=FQ","BEST_FPERIOD_OVERRIDE=FQ","FILING_STATUS=MR","SCALING_FORMAT=MLN","Sort=A","Dates=H","DateFormat=P","Fill=—","Direction=H","UseDPDF=Y")</f>
        <v>1000</v>
      </c>
      <c r="Y25" s="1" t="str">
        <f>_xll.BDH("CRM US Equity","BS_TOTAL_AVAIL_LINE_OF_CREDIT","FQ4 2017","FQ4 2017","Currency=USD","Period=FQ","BEST_FPERIOD_OVERRIDE=FQ","FILING_STATUS=MR","SCALING_FORMAT=MLN","Sort=A","Dates=H","DateFormat=P","Fill=—","Direction=H","UseDPDF=Y")</f>
        <v>#N/A Requesting Data...</v>
      </c>
      <c r="Z25" s="1" t="str">
        <f>_xll.BDH("CRM US Equity","BS_TOTAL_AVAIL_LINE_OF_CREDIT","FQ1 2018","FQ1 2018","Currency=USD","Period=FQ","BEST_FPERIOD_OVERRIDE=FQ","FILING_STATUS=MR","SCALING_FORMAT=MLN","Sort=A","Dates=H","DateFormat=P","Fill=—","Direction=H","UseDPDF=Y")</f>
        <v>#N/A Requesting Data...</v>
      </c>
      <c r="AA25" s="1" t="str">
        <f>_xll.BDH("CRM US Equity","BS_TOTAL_AVAIL_LINE_OF_CREDIT","FQ2 2018","FQ2 2018","Currency=USD","Period=FQ","BEST_FPERIOD_OVERRIDE=FQ","FILING_STATUS=MR","SCALING_FORMAT=MLN","Sort=A","Dates=H","DateFormat=P","Fill=—","Direction=H","UseDPDF=Y")</f>
        <v>#N/A Requesting Data...</v>
      </c>
      <c r="AB25" s="1" t="str">
        <f>_xll.BDH("CRM US Equity","BS_TOTAL_AVAIL_LINE_OF_CREDIT","FQ3 2018","FQ3 2018","Currency=USD","Period=FQ","BEST_FPERIOD_OVERRIDE=FQ","FILING_STATUS=MR","SCALING_FORMAT=MLN","Sort=A","Dates=H","DateFormat=P","Fill=—","Direction=H","UseDPDF=Y")</f>
        <v>#N/A Requesting Data...</v>
      </c>
      <c r="AC25" s="1">
        <f>_xll.BDH("CRM US Equity","BS_TOTAL_AVAIL_LINE_OF_CREDIT","FQ4 2018","FQ4 2018","Currency=USD","Period=FQ","BEST_FPERIOD_OVERRIDE=FQ","FILING_STATUS=MR","SCALING_FORMAT=MLN","Sort=A","Dates=H","DateFormat=P","Fill=—","Direction=H","UseDPDF=Y")</f>
        <v>1000</v>
      </c>
      <c r="AD25" s="1">
        <f>_xll.BDH("CRM US Equity","BS_TOTAL_AVAIL_LINE_OF_CREDIT","FQ1 2019","FQ1 2019","Currency=USD","Period=FQ","BEST_FPERIOD_OVERRIDE=FQ","FILING_STATUS=MR","SCALING_FORMAT=MLN","Sort=A","Dates=H","DateFormat=P","Fill=—","Direction=H","UseDPDF=Y")</f>
        <v>1000</v>
      </c>
      <c r="AE25" s="1">
        <f>_xll.BDH("CRM US Equity","BS_TOTAL_AVAIL_LINE_OF_CREDIT","FQ2 2019","FQ2 2019","Currency=USD","Period=FQ","BEST_FPERIOD_OVERRIDE=FQ","FILING_STATUS=MR","SCALING_FORMAT=MLN","Sort=A","Dates=H","DateFormat=P","Fill=—","Direction=H","UseDPDF=Y")</f>
        <v>1000</v>
      </c>
      <c r="AF25" s="1">
        <f>_xll.BDH("CRM US Equity","BS_TOTAL_AVAIL_LINE_OF_CREDIT","FQ3 2019","FQ3 2019","Currency=USD","Period=FQ","BEST_FPERIOD_OVERRIDE=FQ","FILING_STATUS=MR","SCALING_FORMAT=MLN","Sort=A","Dates=H","DateFormat=P","Fill=—","Direction=H","UseDPDF=Y")</f>
        <v>1000</v>
      </c>
      <c r="AG25" s="1">
        <f>_xll.BDH("CRM US Equity","BS_TOTAL_AVAIL_LINE_OF_CREDIT","FQ4 2019","FQ4 2019","Currency=USD","Period=FQ","BEST_FPERIOD_OVERRIDE=FQ","FILING_STATUS=MR","SCALING_FORMAT=MLN","Sort=A","Dates=H","DateFormat=P","Fill=—","Direction=H","UseDPDF=Y")</f>
        <v>1000</v>
      </c>
      <c r="AH25" s="1">
        <f>_xll.BDH("CRM US Equity","BS_TOTAL_AVAIL_LINE_OF_CREDIT","FQ1 2020","FQ1 2020","Currency=USD","Period=FQ","BEST_FPERIOD_OVERRIDE=FQ","FILING_STATUS=MR","SCALING_FORMAT=MLN","Sort=A","Dates=H","DateFormat=P","Fill=—","Direction=H","UseDPDF=Y")</f>
        <v>1000</v>
      </c>
      <c r="AI25" s="1">
        <f>_xll.BDH("CRM US Equity","BS_TOTAL_AVAIL_LINE_OF_CREDIT","FQ2 2020","FQ2 2020","Currency=USD","Period=FQ","BEST_FPERIOD_OVERRIDE=FQ","FILING_STATUS=MR","SCALING_FORMAT=MLN","Sort=A","Dates=H","DateFormat=P","Fill=—","Direction=H","UseDPDF=Y")</f>
        <v>1000</v>
      </c>
      <c r="AJ25" s="1" t="str">
        <f>_xll.BDH("CRM US Equity","BS_TOTAL_AVAIL_LINE_OF_CREDIT","FQ3 2020","FQ3 2020","Currency=USD","Period=FQ","BEST_FPERIOD_OVERRIDE=FQ","FILING_STATUS=MR","SCALING_FORMAT=MLN","Sort=A","Dates=H","DateFormat=P","Fill=—","Direction=H","UseDPDF=Y")</f>
        <v>#N/A Requesting Data...</v>
      </c>
      <c r="AK25" s="1" t="str">
        <f>_xll.BDH("CRM US Equity","BS_TOTAL_AVAIL_LINE_OF_CREDIT","FQ4 2020","FQ4 2020","Currency=USD","Period=FQ","BEST_FPERIOD_OVERRIDE=FQ","FILING_STATUS=MR","SCALING_FORMAT=MLN","Sort=A","Dates=H","DateFormat=P","Fill=—","Direction=H","UseDPDF=Y")</f>
        <v>#N/A Requesting Data...</v>
      </c>
      <c r="AL25" s="1" t="str">
        <f>_xll.BDH("CRM US Equity","BS_TOTAL_AVAIL_LINE_OF_CREDIT","FQ1 2021","FQ1 2021","Currency=USD","Period=FQ","BEST_FPERIOD_OVERRIDE=FQ","FILING_STATUS=MR","SCALING_FORMAT=MLN","Sort=A","Dates=H","DateFormat=P","Fill=—","Direction=H","UseDPDF=Y")</f>
        <v>#N/A Requesting Data...</v>
      </c>
      <c r="AM25" s="1" t="str">
        <f>_xll.BDH("CRM US Equity","BS_TOTAL_AVAIL_LINE_OF_CREDIT","FQ2 2021","FQ2 2021","Currency=USD","Period=FQ","BEST_FPERIOD_OVERRIDE=FQ","FILING_STATUS=MR","SCALING_FORMAT=MLN","Sort=A","Dates=H","DateFormat=P","Fill=—","Direction=H","UseDPDF=Y")</f>
        <v>#N/A Requesting Data...</v>
      </c>
      <c r="AN25" s="1" t="str">
        <f>_xll.BDH("CRM US Equity","BS_TOTAL_AVAIL_LINE_OF_CREDIT","FQ3 2021","FQ3 2021","Currency=USD","Period=FQ","BEST_FPERIOD_OVERRIDE=FQ","FILING_STATUS=MR","SCALING_FORMAT=MLN","Sort=A","Dates=H","DateFormat=P","Fill=—","Direction=H","UseDPDF=Y")</f>
        <v>#N/A Requesting Data...</v>
      </c>
      <c r="AO25" s="1">
        <f>_xll.BDH("CRM US Equity","BS_TOTAL_AVAIL_LINE_OF_CREDIT","FQ4 2021","FQ4 2021","Currency=USD","Period=FQ","BEST_FPERIOD_OVERRIDE=FQ","FILING_STATUS=MR","SCALING_FORMAT=MLN","Sort=A","Dates=H","DateFormat=P","Fill=—","Direction=H","UseDPDF=Y")</f>
        <v>3000</v>
      </c>
      <c r="AP25" s="1">
        <f>_xll.BDH("CRM US Equity","BS_TOTAL_AVAIL_LINE_OF_CREDIT","FQ1 2022","FQ1 2022","Currency=USD","Period=FQ","BEST_FPERIOD_OVERRIDE=FQ","FILING_STATUS=MR","SCALING_FORMAT=MLN","Sort=A","Dates=H","DateFormat=P","Fill=—","Direction=H","UseDPDF=Y")</f>
        <v>3000</v>
      </c>
    </row>
    <row r="26" spans="1:42" x14ac:dyDescent="0.25">
      <c r="A26" s="8" t="s">
        <v>161</v>
      </c>
      <c r="B26" s="8" t="s">
        <v>160</v>
      </c>
      <c r="C26" s="1">
        <f>_xll.BDH("CRM US Equity","LINE_OF_CREDIT_UTILIZED_AMOUNT","FQ2 2012","FQ2 2012","Currency=USD","Period=FQ","BEST_FPERIOD_OVERRIDE=FQ","FILING_STATUS=MR","SCALING_FORMAT=MLN","Sort=A","Dates=H","DateFormat=P","Fill=—","Direction=H","UseDPDF=Y")</f>
        <v>0</v>
      </c>
      <c r="D26" s="1">
        <f>_xll.BDH("CRM US Equity","LINE_OF_CREDIT_UTILIZED_AMOUNT","FQ3 2012","FQ3 2012","Currency=USD","Period=FQ","BEST_FPERIOD_OVERRIDE=FQ","FILING_STATUS=MR","SCALING_FORMAT=MLN","Sort=A","Dates=H","DateFormat=P","Fill=—","Direction=H","UseDPDF=Y")</f>
        <v>0</v>
      </c>
      <c r="E26" s="1" t="str">
        <f>_xll.BDH("CRM US Equity","LINE_OF_CREDIT_UTILIZED_AMOUNT","FQ4 2012","FQ4 2012","Currency=USD","Period=FQ","BEST_FPERIOD_OVERRIDE=FQ","FILING_STATUS=MR","SCALING_FORMAT=MLN","Sort=A","Dates=H","DateFormat=P","Fill=—","Direction=H","UseDPDF=Y")</f>
        <v>—</v>
      </c>
      <c r="F26" s="1">
        <f>_xll.BDH("CRM US Equity","LINE_OF_CREDIT_UTILIZED_AMOUNT","FQ1 2013","FQ1 2013","Currency=USD","Period=FQ","BEST_FPERIOD_OVERRIDE=FQ","FILING_STATUS=MR","SCALING_FORMAT=MLN","Sort=A","Dates=H","DateFormat=P","Fill=—","Direction=H","UseDPDF=Y")</f>
        <v>0</v>
      </c>
      <c r="G26" s="1" t="str">
        <f>_xll.BDH("CRM US Equity","LINE_OF_CREDIT_UTILIZED_AMOUNT","FQ2 2013","FQ2 2013","Currency=USD","Period=FQ","BEST_FPERIOD_OVERRIDE=FQ","FILING_STATUS=MR","SCALING_FORMAT=MLN","Sort=A","Dates=H","DateFormat=P","Fill=—","Direction=H","UseDPDF=Y")</f>
        <v>#N/A Requesting Data...</v>
      </c>
      <c r="H26" s="1" t="str">
        <f>_xll.BDH("CRM US Equity","LINE_OF_CREDIT_UTILIZED_AMOUNT","FQ3 2013","FQ3 2013","Currency=USD","Period=FQ","BEST_FPERIOD_OVERRIDE=FQ","FILING_STATUS=MR","SCALING_FORMAT=MLN","Sort=A","Dates=H","DateFormat=P","Fill=—","Direction=H","UseDPDF=Y")</f>
        <v>#N/A Requesting Data...</v>
      </c>
      <c r="I26" s="1" t="str">
        <f>_xll.BDH("CRM US Equity","LINE_OF_CREDIT_UTILIZED_AMOUNT","FQ4 2013","FQ4 2013","Currency=USD","Period=FQ","BEST_FPERIOD_OVERRIDE=FQ","FILING_STATUS=MR","SCALING_FORMAT=MLN","Sort=A","Dates=H","DateFormat=P","Fill=—","Direction=H","UseDPDF=Y")</f>
        <v>#N/A Requesting Data...</v>
      </c>
      <c r="J26" s="1" t="str">
        <f>_xll.BDH("CRM US Equity","LINE_OF_CREDIT_UTILIZED_AMOUNT","FQ1 2014","FQ1 2014","Currency=USD","Period=FQ","BEST_FPERIOD_OVERRIDE=FQ","FILING_STATUS=MR","SCALING_FORMAT=MLN","Sort=A","Dates=H","DateFormat=P","Fill=—","Direction=H","UseDPDF=Y")</f>
        <v>#N/A Requesting Data...</v>
      </c>
      <c r="K26" s="1">
        <f>_xll.BDH("CRM US Equity","LINE_OF_CREDIT_UTILIZED_AMOUNT","FQ2 2014","FQ2 2014","Currency=USD","Period=FQ","BEST_FPERIOD_OVERRIDE=FQ","FILING_STATUS=MR","SCALING_FORMAT=MLN","Sort=A","Dates=H","DateFormat=P","Fill=—","Direction=H","UseDPDF=Y")</f>
        <v>0</v>
      </c>
      <c r="L26" s="1" t="str">
        <f>_xll.BDH("CRM US Equity","LINE_OF_CREDIT_UTILIZED_AMOUNT","FQ3 2014","FQ3 2014","Currency=USD","Period=FQ","BEST_FPERIOD_OVERRIDE=FQ","FILING_STATUS=MR","SCALING_FORMAT=MLN","Sort=A","Dates=H","DateFormat=P","Fill=—","Direction=H","UseDPDF=Y")</f>
        <v>—</v>
      </c>
      <c r="M26" s="1" t="str">
        <f>_xll.BDH("CRM US Equity","LINE_OF_CREDIT_UTILIZED_AMOUNT","FQ4 2014","FQ4 2014","Currency=USD","Period=FQ","BEST_FPERIOD_OVERRIDE=FQ","FILING_STATUS=MR","SCALING_FORMAT=MLN","Sort=A","Dates=H","DateFormat=P","Fill=—","Direction=H","UseDPDF=Y")</f>
        <v>—</v>
      </c>
      <c r="N26" s="1">
        <f>_xll.BDH("CRM US Equity","LINE_OF_CREDIT_UTILIZED_AMOUNT","FQ1 2015","FQ1 2015","Currency=USD","Period=FQ","BEST_FPERIOD_OVERRIDE=FQ","FILING_STATUS=MR","SCALING_FORMAT=MLN","Sort=A","Dates=H","DateFormat=P","Fill=—","Direction=H","UseDPDF=Y")</f>
        <v>0</v>
      </c>
      <c r="O26" s="1" t="str">
        <f>_xll.BDH("CRM US Equity","LINE_OF_CREDIT_UTILIZED_AMOUNT","FQ2 2015","FQ2 2015","Currency=USD","Period=FQ","BEST_FPERIOD_OVERRIDE=FQ","FILING_STATUS=MR","SCALING_FORMAT=MLN","Sort=A","Dates=H","DateFormat=P","Fill=—","Direction=H","UseDPDF=Y")</f>
        <v>—</v>
      </c>
      <c r="P26" s="1">
        <f>_xll.BDH("CRM US Equity","LINE_OF_CREDIT_UTILIZED_AMOUNT","FQ3 2015","FQ3 2015","Currency=USD","Period=FQ","BEST_FPERIOD_OVERRIDE=FQ","FILING_STATUS=MR","SCALING_FORMAT=MLN","Sort=A","Dates=H","DateFormat=P","Fill=—","Direction=H","UseDPDF=Y")</f>
        <v>300</v>
      </c>
      <c r="Q26" s="1">
        <f>_xll.BDH("CRM US Equity","LINE_OF_CREDIT_UTILIZED_AMOUNT","FQ4 2015","FQ4 2015","Currency=USD","Period=FQ","BEST_FPERIOD_OVERRIDE=FQ","FILING_STATUS=MR","SCALING_FORMAT=MLN","Sort=A","Dates=H","DateFormat=P","Fill=—","Direction=H","UseDPDF=Y")</f>
        <v>300</v>
      </c>
      <c r="R26" s="1">
        <f>_xll.BDH("CRM US Equity","LINE_OF_CREDIT_UTILIZED_AMOUNT","FQ1 2016","FQ1 2016","Currency=USD","Period=FQ","BEST_FPERIOD_OVERRIDE=FQ","FILING_STATUS=MR","SCALING_FORMAT=MLN","Sort=A","Dates=H","DateFormat=P","Fill=—","Direction=H","UseDPDF=Y")</f>
        <v>367.9</v>
      </c>
      <c r="S26" s="1" t="str">
        <f>_xll.BDH("CRM US Equity","LINE_OF_CREDIT_UTILIZED_AMOUNT","FQ2 2016","FQ2 2016","Currency=USD","Period=FQ","BEST_FPERIOD_OVERRIDE=FQ","FILING_STATUS=MR","SCALING_FORMAT=MLN","Sort=A","Dates=H","DateFormat=P","Fill=—","Direction=H","UseDPDF=Y")</f>
        <v>#N/A Requesting Data...</v>
      </c>
      <c r="T26" s="1" t="str">
        <f>_xll.BDH("CRM US Equity","LINE_OF_CREDIT_UTILIZED_AMOUNT","FQ3 2016","FQ3 2016","Currency=USD","Period=FQ","BEST_FPERIOD_OVERRIDE=FQ","FILING_STATUS=MR","SCALING_FORMAT=MLN","Sort=A","Dates=H","DateFormat=P","Fill=—","Direction=H","UseDPDF=Y")</f>
        <v>#N/A Requesting Data...</v>
      </c>
      <c r="U26" s="1" t="str">
        <f>_xll.BDH("CRM US Equity","LINE_OF_CREDIT_UTILIZED_AMOUNT","FQ4 2016","FQ4 2016","Currency=USD","Period=FQ","BEST_FPERIOD_OVERRIDE=FQ","FILING_STATUS=MR","SCALING_FORMAT=MLN","Sort=A","Dates=H","DateFormat=P","Fill=—","Direction=H","UseDPDF=Y")</f>
        <v>#N/A Requesting Data...</v>
      </c>
      <c r="V26" s="1" t="str">
        <f>_xll.BDH("CRM US Equity","LINE_OF_CREDIT_UTILIZED_AMOUNT","FQ1 2017","FQ1 2017","Currency=USD","Period=FQ","BEST_FPERIOD_OVERRIDE=FQ","FILING_STATUS=MR","SCALING_FORMAT=MLN","Sort=A","Dates=H","DateFormat=P","Fill=—","Direction=H","UseDPDF=Y")</f>
        <v>#N/A Requesting Data...</v>
      </c>
      <c r="W26" s="1" t="str">
        <f>_xll.BDH("CRM US Equity","LINE_OF_CREDIT_UTILIZED_AMOUNT","FQ2 2017","FQ2 2017","Currency=USD","Period=FQ","BEST_FPERIOD_OVERRIDE=FQ","FILING_STATUS=MR","SCALING_FORMAT=MLN","Sort=A","Dates=H","DateFormat=P","Fill=—","Direction=H","UseDPDF=Y")</f>
        <v>#N/A Requesting Data...</v>
      </c>
      <c r="X26" s="1" t="str">
        <f>_xll.BDH("CRM US Equity","LINE_OF_CREDIT_UTILIZED_AMOUNT","FQ3 2017","FQ3 2017","Currency=USD","Period=FQ","BEST_FPERIOD_OVERRIDE=FQ","FILING_STATUS=MR","SCALING_FORMAT=MLN","Sort=A","Dates=H","DateFormat=P","Fill=—","Direction=H","UseDPDF=Y")</f>
        <v>#N/A Requesting Data...</v>
      </c>
      <c r="Y26" s="1">
        <f>_xll.BDH("CRM US Equity","LINE_OF_CREDIT_UTILIZED_AMOUNT","FQ4 2017","FQ4 2017","Currency=USD","Period=FQ","BEST_FPERIOD_OVERRIDE=FQ","FILING_STATUS=MR","SCALING_FORMAT=MLN","Sort=A","Dates=H","DateFormat=P","Fill=—","Direction=H","UseDPDF=Y")</f>
        <v>550</v>
      </c>
      <c r="Z26" s="1">
        <f>_xll.BDH("CRM US Equity","LINE_OF_CREDIT_UTILIZED_AMOUNT","FQ1 2018","FQ1 2018","Currency=USD","Period=FQ","BEST_FPERIOD_OVERRIDE=FQ","FILING_STATUS=MR","SCALING_FORMAT=MLN","Sort=A","Dates=H","DateFormat=P","Fill=—","Direction=H","UseDPDF=Y")</f>
        <v>200</v>
      </c>
      <c r="AA26" s="1">
        <f>_xll.BDH("CRM US Equity","LINE_OF_CREDIT_UTILIZED_AMOUNT","FQ2 2018","FQ2 2018","Currency=USD","Period=FQ","BEST_FPERIOD_OVERRIDE=FQ","FILING_STATUS=MR","SCALING_FORMAT=MLN","Sort=A","Dates=H","DateFormat=P","Fill=—","Direction=H","UseDPDF=Y")</f>
        <v>0</v>
      </c>
      <c r="AB26" s="1">
        <f>_xll.BDH("CRM US Equity","LINE_OF_CREDIT_UTILIZED_AMOUNT","FQ3 2018","FQ3 2018","Currency=USD","Period=FQ","BEST_FPERIOD_OVERRIDE=FQ","FILING_STATUS=MR","SCALING_FORMAT=MLN","Sort=A","Dates=H","DateFormat=P","Fill=—","Direction=H","UseDPDF=Y")</f>
        <v>0</v>
      </c>
      <c r="AC26" s="1">
        <f>_xll.BDH("CRM US Equity","LINE_OF_CREDIT_UTILIZED_AMOUNT","FQ4 2018","FQ4 2018","Currency=USD","Period=FQ","BEST_FPERIOD_OVERRIDE=FQ","FILING_STATUS=MR","SCALING_FORMAT=MLN","Sort=A","Dates=H","DateFormat=P","Fill=—","Direction=H","UseDPDF=Y")</f>
        <v>0</v>
      </c>
      <c r="AD26" s="1">
        <f>_xll.BDH("CRM US Equity","LINE_OF_CREDIT_UTILIZED_AMOUNT","FQ1 2019","FQ1 2019","Currency=USD","Period=FQ","BEST_FPERIOD_OVERRIDE=FQ","FILING_STATUS=MR","SCALING_FORMAT=MLN","Sort=A","Dates=H","DateFormat=P","Fill=—","Direction=H","UseDPDF=Y")</f>
        <v>0</v>
      </c>
      <c r="AE26" s="1" t="str">
        <f>_xll.BDH("CRM US Equity","LINE_OF_CREDIT_UTILIZED_AMOUNT","FQ2 2019","FQ2 2019","Currency=USD","Period=FQ","BEST_FPERIOD_OVERRIDE=FQ","FILING_STATUS=MR","SCALING_FORMAT=MLN","Sort=A","Dates=H","DateFormat=P","Fill=—","Direction=H","UseDPDF=Y")</f>
        <v>#N/A Requesting Data...</v>
      </c>
      <c r="AF26" s="1" t="str">
        <f>_xll.BDH("CRM US Equity","LINE_OF_CREDIT_UTILIZED_AMOUNT","FQ3 2019","FQ3 2019","Currency=USD","Period=FQ","BEST_FPERIOD_OVERRIDE=FQ","FILING_STATUS=MR","SCALING_FORMAT=MLN","Sort=A","Dates=H","DateFormat=P","Fill=—","Direction=H","UseDPDF=Y")</f>
        <v>#N/A Requesting Data...</v>
      </c>
      <c r="AG26" s="1" t="str">
        <f>_xll.BDH("CRM US Equity","LINE_OF_CREDIT_UTILIZED_AMOUNT","FQ4 2019","FQ4 2019","Currency=USD","Period=FQ","BEST_FPERIOD_OVERRIDE=FQ","FILING_STATUS=MR","SCALING_FORMAT=MLN","Sort=A","Dates=H","DateFormat=P","Fill=—","Direction=H","UseDPDF=Y")</f>
        <v>#N/A Requesting Data...</v>
      </c>
      <c r="AH26" s="1" t="str">
        <f>_xll.BDH("CRM US Equity","LINE_OF_CREDIT_UTILIZED_AMOUNT","FQ1 2020","FQ1 2020","Currency=USD","Period=FQ","BEST_FPERIOD_OVERRIDE=FQ","FILING_STATUS=MR","SCALING_FORMAT=MLN","Sort=A","Dates=H","DateFormat=P","Fill=—","Direction=H","UseDPDF=Y")</f>
        <v>#N/A Requesting Data...</v>
      </c>
      <c r="AI26" s="1" t="str">
        <f>_xll.BDH("CRM US Equity","LINE_OF_CREDIT_UTILIZED_AMOUNT","FQ2 2020","FQ2 2020","Currency=USD","Period=FQ","BEST_FPERIOD_OVERRIDE=FQ","FILING_STATUS=MR","SCALING_FORMAT=MLN","Sort=A","Dates=H","DateFormat=P","Fill=—","Direction=H","UseDPDF=Y")</f>
        <v>#N/A Requesting Data...</v>
      </c>
      <c r="AJ26" s="1" t="str">
        <f>_xll.BDH("CRM US Equity","LINE_OF_CREDIT_UTILIZED_AMOUNT","FQ3 2020","FQ3 2020","Currency=USD","Period=FQ","BEST_FPERIOD_OVERRIDE=FQ","FILING_STATUS=MR","SCALING_FORMAT=MLN","Sort=A","Dates=H","DateFormat=P","Fill=—","Direction=H","UseDPDF=Y")</f>
        <v>#N/A Requesting Data...</v>
      </c>
      <c r="AK26" s="1">
        <f>_xll.BDH("CRM US Equity","LINE_OF_CREDIT_UTILIZED_AMOUNT","FQ4 2020","FQ4 2020","Currency=USD","Period=FQ","BEST_FPERIOD_OVERRIDE=FQ","FILING_STATUS=MR","SCALING_FORMAT=MLN","Sort=A","Dates=H","DateFormat=P","Fill=—","Direction=H","UseDPDF=Y")</f>
        <v>0</v>
      </c>
      <c r="AL26" s="1">
        <f>_xll.BDH("CRM US Equity","LINE_OF_CREDIT_UTILIZED_AMOUNT","FQ1 2021","FQ1 2021","Currency=USD","Period=FQ","BEST_FPERIOD_OVERRIDE=FQ","FILING_STATUS=MR","SCALING_FORMAT=MLN","Sort=A","Dates=H","DateFormat=P","Fill=—","Direction=H","UseDPDF=Y")</f>
        <v>0</v>
      </c>
      <c r="AM26" s="1">
        <f>_xll.BDH("CRM US Equity","LINE_OF_CREDIT_UTILIZED_AMOUNT","FQ2 2021","FQ2 2021","Currency=USD","Period=FQ","BEST_FPERIOD_OVERRIDE=FQ","FILING_STATUS=MR","SCALING_FORMAT=MLN","Sort=A","Dates=H","DateFormat=P","Fill=—","Direction=H","UseDPDF=Y")</f>
        <v>0</v>
      </c>
      <c r="AN26" s="1">
        <f>_xll.BDH("CRM US Equity","LINE_OF_CREDIT_UTILIZED_AMOUNT","FQ3 2021","FQ3 2021","Currency=USD","Period=FQ","BEST_FPERIOD_OVERRIDE=FQ","FILING_STATUS=MR","SCALING_FORMAT=MLN","Sort=A","Dates=H","DateFormat=P","Fill=—","Direction=H","UseDPDF=Y")</f>
        <v>0</v>
      </c>
      <c r="AO26" s="1">
        <f>_xll.BDH("CRM US Equity","LINE_OF_CREDIT_UTILIZED_AMOUNT","FQ4 2021","FQ4 2021","Currency=USD","Period=FQ","BEST_FPERIOD_OVERRIDE=FQ","FILING_STATUS=MR","SCALING_FORMAT=MLN","Sort=A","Dates=H","DateFormat=P","Fill=—","Direction=H","UseDPDF=Y")</f>
        <v>0</v>
      </c>
      <c r="AP26" s="1">
        <f>_xll.BDH("CRM US Equity","LINE_OF_CREDIT_UTILIZED_AMOUNT","FQ1 2022","FQ1 2022","Currency=USD","Period=FQ","BEST_FPERIOD_OVERRIDE=FQ","FILING_STATUS=MR","SCALING_FORMAT=MLN","Sort=A","Dates=H","DateFormat=P","Fill=—","Direction=H","UseDPDF=Y")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118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193</v>
      </c>
      <c r="B6" s="8" t="s">
        <v>192</v>
      </c>
      <c r="C6" s="21">
        <f>_xll.BDH("CRM US Equity","CASH_RATIO","FQ2 2012","FQ2 2012","Currency=USD","Period=FQ","BEST_FPERIOD_OVERRIDE=FQ","FILING_STATUS=MR","Sort=A","Dates=H","DateFormat=P","Fill=—","Direction=H","UseDPDF=Y")</f>
        <v>0.31830000000000003</v>
      </c>
      <c r="D6" s="21">
        <f>_xll.BDH("CRM US Equity","CASH_RATIO","FQ3 2012","FQ3 2012","Currency=USD","Period=FQ","BEST_FPERIOD_OVERRIDE=FQ","FILING_STATUS=MR","Sort=A","Dates=H","DateFormat=P","Fill=—","Direction=H","UseDPDF=Y")</f>
        <v>0.35239999999999999</v>
      </c>
      <c r="E6" s="21">
        <f>_xll.BDH("CRM US Equity","CASH_RATIO","FQ4 2012","FQ4 2012","Currency=USD","Period=FQ","BEST_FPERIOD_OVERRIDE=FQ","FILING_STATUS=MR","Sort=A","Dates=H","DateFormat=P","Fill=—","Direction=H","UseDPDF=Y")</f>
        <v>0.3382</v>
      </c>
      <c r="F6" s="21">
        <f>_xll.BDH("CRM US Equity","CASH_RATIO","FQ1 2013","FQ1 2013","Currency=USD","Period=FQ","BEST_FPERIOD_OVERRIDE=FQ","FILING_STATUS=MR","Sort=A","Dates=H","DateFormat=P","Fill=—","Direction=H","UseDPDF=Y")</f>
        <v>0.42359999999999998</v>
      </c>
      <c r="G6" s="21">
        <f>_xll.BDH("CRM US Equity","CASH_RATIO","FQ2 2013","FQ2 2013","Currency=USD","Period=FQ","BEST_FPERIOD_OVERRIDE=FQ","FILING_STATUS=MR","Sort=A","Dates=H","DateFormat=P","Fill=—","Direction=H","UseDPDF=Y")</f>
        <v>0.47560000000000002</v>
      </c>
      <c r="H6" s="21">
        <f>_xll.BDH("CRM US Equity","CASH_RATIO","FQ3 2013","FQ3 2013","Currency=USD","Period=FQ","BEST_FPERIOD_OVERRIDE=FQ","FILING_STATUS=MR","Sort=A","Dates=H","DateFormat=P","Fill=—","Direction=H","UseDPDF=Y")</f>
        <v>0.26069999999999999</v>
      </c>
      <c r="I6" s="21">
        <f>_xll.BDH("CRM US Equity","CASH_RATIO","FQ4 2013","FQ4 2013","Currency=USD","Period=FQ","BEST_FPERIOD_OVERRIDE=FQ","FILING_STATUS=MR","Sort=A","Dates=H","DateFormat=P","Fill=—","Direction=H","UseDPDF=Y")</f>
        <v>0.2974</v>
      </c>
      <c r="J6" s="21">
        <f>_xll.BDH("CRM US Equity","CASH_RATIO","FQ1 2014","FQ1 2014","Currency=USD","Period=FQ","BEST_FPERIOD_OVERRIDE=FQ","FILING_STATUS=MR","Sort=A","Dates=H","DateFormat=P","Fill=—","Direction=H","UseDPDF=Y")</f>
        <v>0.76929999999999998</v>
      </c>
      <c r="K6" s="21">
        <f>_xll.BDH("CRM US Equity","CASH_RATIO","FQ2 2014","FQ2 2014","Currency=USD","Period=FQ","BEST_FPERIOD_OVERRIDE=FQ","FILING_STATUS=MR","Sort=A","Dates=H","DateFormat=P","Fill=—","Direction=H","UseDPDF=Y")</f>
        <v>0.20349999999999999</v>
      </c>
      <c r="L6" s="21">
        <f>_xll.BDH("CRM US Equity","CASH_RATIO","FQ3 2014","FQ3 2014","Currency=USD","Period=FQ","BEST_FPERIOD_OVERRIDE=FQ","FILING_STATUS=MR","Sort=A","Dates=H","DateFormat=P","Fill=—","Direction=H","UseDPDF=Y")</f>
        <v>0.22720000000000001</v>
      </c>
      <c r="M6" s="21">
        <f>_xll.BDH("CRM US Equity","CASH_RATIO","FQ4 2014","FQ4 2014","Currency=USD","Period=FQ","BEST_FPERIOD_OVERRIDE=FQ","FILING_STATUS=MR","Sort=A","Dates=H","DateFormat=P","Fill=—","Direction=H","UseDPDF=Y")</f>
        <v>0.2107</v>
      </c>
      <c r="N6" s="21">
        <f>_xll.BDH("CRM US Equity","CASH_RATIO","FQ1 2015","FQ1 2015","Currency=USD","Period=FQ","BEST_FPERIOD_OVERRIDE=FQ","FILING_STATUS=MR","Sort=A","Dates=H","DateFormat=P","Fill=—","Direction=H","UseDPDF=Y")</f>
        <v>0.2616</v>
      </c>
      <c r="O6" s="21">
        <f>_xll.BDH("CRM US Equity","CASH_RATIO","FQ2 2015","FQ2 2015","Currency=USD","Period=FQ","BEST_FPERIOD_OVERRIDE=FQ","FILING_STATUS=MR","Sort=A","Dates=H","DateFormat=P","Fill=—","Direction=H","UseDPDF=Y")</f>
        <v>0.24110000000000001</v>
      </c>
      <c r="P6" s="21">
        <f>_xll.BDH("CRM US Equity","CASH_RATIO","FQ3 2015","FQ3 2015","Currency=USD","Period=FQ","BEST_FPERIOD_OVERRIDE=FQ","FILING_STATUS=MR","Sort=A","Dates=H","DateFormat=P","Fill=—","Direction=H","UseDPDF=Y")</f>
        <v>0.27989999999999998</v>
      </c>
      <c r="Q6" s="21">
        <f>_xll.BDH("CRM US Equity","CASH_RATIO","FQ4 2015","FQ4 2015","Currency=USD","Period=FQ","BEST_FPERIOD_OVERRIDE=FQ","FILING_STATUS=MR","Sort=A","Dates=H","DateFormat=P","Fill=—","Direction=H","UseDPDF=Y")</f>
        <v>0.22670000000000001</v>
      </c>
      <c r="R6" s="21">
        <f>_xll.BDH("CRM US Equity","CASH_RATIO","FQ1 2016","FQ1 2016","Currency=USD","Period=FQ","BEST_FPERIOD_OVERRIDE=FQ","FILING_STATUS=MR","Sort=A","Dates=H","DateFormat=P","Fill=—","Direction=H","UseDPDF=Y")</f>
        <v>0.25729999999999997</v>
      </c>
      <c r="S6" s="21">
        <f>_xll.BDH("CRM US Equity","CASH_RATIO","FQ2 2016","FQ2 2016","Currency=USD","Period=FQ","BEST_FPERIOD_OVERRIDE=FQ","FILING_STATUS=MR","Sort=A","Dates=H","DateFormat=P","Fill=—","Direction=H","UseDPDF=Y")</f>
        <v>0.28460000000000002</v>
      </c>
      <c r="T6" s="21">
        <f>_xll.BDH("CRM US Equity","CASH_RATIO","FQ3 2016","FQ3 2016","Currency=USD","Period=FQ","BEST_FPERIOD_OVERRIDE=FQ","FILING_STATUS=MR","Sort=A","Dates=H","DateFormat=P","Fill=—","Direction=H","UseDPDF=Y")</f>
        <v>0.34150000000000003</v>
      </c>
      <c r="U6" s="21">
        <f>_xll.BDH("CRM US Equity","CASH_RATIO","FQ4 2016","FQ4 2016","Currency=USD","Period=FQ","BEST_FPERIOD_OVERRIDE=FQ","FILING_STATUS=MR","Sort=A","Dates=H","DateFormat=P","Fill=—","Direction=H","UseDPDF=Y")</f>
        <v>0.48520000000000002</v>
      </c>
      <c r="V6" s="21">
        <f>_xll.BDH("CRM US Equity","CASH_RATIO","FQ1 2017","FQ1 2017","Currency=USD","Period=FQ","BEST_FPERIOD_OVERRIDE=FQ","FILING_STATUS=MR","Sort=A","Dates=H","DateFormat=P","Fill=—","Direction=H","UseDPDF=Y")</f>
        <v>0.39939999999999998</v>
      </c>
      <c r="W6" s="21">
        <f>_xll.BDH("CRM US Equity","CASH_RATIO","FQ2 2017","FQ2 2017","Currency=USD","Period=FQ","BEST_FPERIOD_OVERRIDE=FQ","FILING_STATUS=MR","Sort=A","Dates=H","DateFormat=P","Fill=—","Direction=H","UseDPDF=Y")</f>
        <v>0.21840000000000001</v>
      </c>
      <c r="X6" s="21">
        <f>_xll.BDH("CRM US Equity","CASH_RATIO","FQ3 2017","FQ3 2017","Currency=USD","Period=FQ","BEST_FPERIOD_OVERRIDE=FQ","FILING_STATUS=MR","Sort=A","Dates=H","DateFormat=P","Fill=—","Direction=H","UseDPDF=Y")</f>
        <v>0.24129999999999999</v>
      </c>
      <c r="Y6" s="21">
        <f>_xll.BDH("CRM US Equity","CASH_RATIO","FQ4 2017","FQ4 2017","Currency=USD","Period=FQ","BEST_FPERIOD_OVERRIDE=FQ","FILING_STATUS=MR","Sort=A","Dates=H","DateFormat=P","Fill=—","Direction=H","UseDPDF=Y")</f>
        <v>0.30280000000000001</v>
      </c>
      <c r="Z6" s="21">
        <f>_xll.BDH("CRM US Equity","CASH_RATIO","FQ1 2018","FQ1 2018","Currency=USD","Period=FQ","BEST_FPERIOD_OVERRIDE=FQ","FILING_STATUS=MR","Sort=A","Dates=H","DateFormat=P","Fill=—","Direction=H","UseDPDF=Y")</f>
        <v>0.42220000000000002</v>
      </c>
      <c r="AA6" s="21">
        <f>_xll.BDH("CRM US Equity","CASH_RATIO","FQ2 2018","FQ2 2018","Currency=USD","Period=FQ","BEST_FPERIOD_OVERRIDE=FQ","FILING_STATUS=MR","Sort=A","Dates=H","DateFormat=P","Fill=—","Direction=H","UseDPDF=Y")</f>
        <v>0.4652</v>
      </c>
      <c r="AB6" s="21">
        <f>_xll.BDH("CRM US Equity","CASH_RATIO","FQ3 2018","FQ3 2018","Currency=USD","Period=FQ","BEST_FPERIOD_OVERRIDE=FQ","FILING_STATUS=MR","Sort=A","Dates=H","DateFormat=P","Fill=—","Direction=H","UseDPDF=Y")</f>
        <v>0.50280000000000002</v>
      </c>
      <c r="AC6" s="21">
        <f>_xll.BDH("CRM US Equity","CASH_RATIO","FQ4 2018","FQ4 2018","Currency=USD","Period=FQ","BEST_FPERIOD_OVERRIDE=FQ","FILING_STATUS=MR","Sort=A","Dates=H","DateFormat=P","Fill=—","Direction=H","UseDPDF=Y")</f>
        <v>0.4491</v>
      </c>
      <c r="AD6" s="21">
        <f>_xll.BDH("CRM US Equity","CASH_RATIO","FQ1 2019","FQ1 2019","Currency=USD","Period=FQ","BEST_FPERIOD_OVERRIDE=FQ","FILING_STATUS=MR","Sort=A","Dates=H","DateFormat=P","Fill=—","Direction=H","UseDPDF=Y")</f>
        <v>0.90680000000000005</v>
      </c>
      <c r="AE6" s="21">
        <f>_xll.BDH("CRM US Equity","CASH_RATIO","FQ2 2019","FQ2 2019","Currency=USD","Period=FQ","BEST_FPERIOD_OVERRIDE=FQ","FILING_STATUS=MR","Sort=A","Dates=H","DateFormat=P","Fill=—","Direction=H","UseDPDF=Y")</f>
        <v>0.4047</v>
      </c>
      <c r="AF6" s="21">
        <f>_xll.BDH("CRM US Equity","CASH_RATIO","FQ3 2019","FQ3 2019","Currency=USD","Period=FQ","BEST_FPERIOD_OVERRIDE=FQ","FILING_STATUS=MR","Sort=A","Dates=H","DateFormat=P","Fill=—","Direction=H","UseDPDF=Y")</f>
        <v>0.43009999999999998</v>
      </c>
      <c r="AG6" s="21">
        <f>_xll.BDH("CRM US Equity","CASH_RATIO","FQ4 2019","FQ4 2019","Currency=USD","Period=FQ","BEST_FPERIOD_OVERRIDE=FQ","FILING_STATUS=MR","Sort=A","Dates=H","DateFormat=P","Fill=—","Direction=H","UseDPDF=Y")</f>
        <v>0.38569999999999999</v>
      </c>
      <c r="AH6" s="21">
        <f>_xll.BDH("CRM US Equity","CASH_RATIO","FQ1 2020","FQ1 2020","Currency=USD","Period=FQ","BEST_FPERIOD_OVERRIDE=FQ","FILING_STATUS=MR","Sort=A","Dates=H","DateFormat=P","Fill=—","Direction=H","UseDPDF=Y")</f>
        <v>0.60799999999999998</v>
      </c>
      <c r="AI6" s="21">
        <f>_xll.BDH("CRM US Equity","CASH_RATIO","FQ2 2020","FQ2 2020","Currency=USD","Period=FQ","BEST_FPERIOD_OVERRIDE=FQ","FILING_STATUS=MR","Sort=A","Dates=H","DateFormat=P","Fill=—","Direction=H","UseDPDF=Y")</f>
        <v>0.59240000000000004</v>
      </c>
      <c r="AJ6" s="21">
        <f>_xll.BDH("CRM US Equity","CASH_RATIO","FQ3 2020","FQ3 2020","Currency=USD","Period=FQ","BEST_FPERIOD_OVERRIDE=FQ","FILING_STATUS=MR","Sort=A","Dates=H","DateFormat=P","Fill=—","Direction=H","UseDPDF=Y")</f>
        <v>0.62319999999999998</v>
      </c>
      <c r="AK6" s="21">
        <f>_xll.BDH("CRM US Equity","CASH_RATIO","FQ4 2020","FQ4 2020","Currency=USD","Period=FQ","BEST_FPERIOD_OVERRIDE=FQ","FILING_STATUS=MR","Sort=A","Dates=H","DateFormat=P","Fill=—","Direction=H","UseDPDF=Y")</f>
        <v>0.53520000000000001</v>
      </c>
      <c r="AL6" s="21">
        <f>_xll.BDH("CRM US Equity","CASH_RATIO","FQ1 2021","FQ1 2021","Currency=USD","Period=FQ","BEST_FPERIOD_OVERRIDE=FQ","FILING_STATUS=MR","Sort=A","Dates=H","DateFormat=P","Fill=—","Direction=H","UseDPDF=Y")</f>
        <v>0.76300000000000001</v>
      </c>
      <c r="AM6" s="21">
        <f>_xll.BDH("CRM US Equity","CASH_RATIO","FQ2 2021","FQ2 2021","Currency=USD","Period=FQ","BEST_FPERIOD_OVERRIDE=FQ","FILING_STATUS=MR","Sort=A","Dates=H","DateFormat=P","Fill=—","Direction=H","UseDPDF=Y")</f>
        <v>0.71589999999999998</v>
      </c>
      <c r="AN6" s="21">
        <f>_xll.BDH("CRM US Equity","CASH_RATIO","FQ3 2021","FQ3 2021","Currency=USD","Period=FQ","BEST_FPERIOD_OVERRIDE=FQ","FILING_STATUS=MR","Sort=A","Dates=H","DateFormat=P","Fill=—","Direction=H","UseDPDF=Y")</f>
        <v>0.77590000000000003</v>
      </c>
      <c r="AO6" s="21">
        <f>_xll.BDH("CRM US Equity","CASH_RATIO","FQ4 2021","FQ4 2021","Currency=USD","Period=FQ","BEST_FPERIOD_OVERRIDE=FQ","FILING_STATUS=MR","Sort=A","Dates=H","DateFormat=P","Fill=—","Direction=H","UseDPDF=Y")</f>
        <v>0.67479999999999996</v>
      </c>
      <c r="AP6" s="21">
        <f>_xll.BDH("CRM US Equity","CASH_RATIO","FQ1 2022","FQ1 2022","Currency=USD","Period=FQ","BEST_FPERIOD_OVERRIDE=FQ","FILING_STATUS=MR","Sort=A","Dates=H","DateFormat=P","Fill=—","Direction=H","UseDPDF=Y")</f>
        <v>0.98019999999999996</v>
      </c>
    </row>
    <row r="7" spans="1:42" x14ac:dyDescent="0.25">
      <c r="A7" s="8" t="s">
        <v>191</v>
      </c>
      <c r="B7" s="8" t="s">
        <v>190</v>
      </c>
      <c r="C7" s="21">
        <f>_xll.BDH("CRM US Equity","CUR_RATIO","FQ2 2012","FQ2 2012","Currency=USD","Period=FQ","BEST_FPERIOD_OVERRIDE=FQ","FILING_STATUS=MR","Sort=A","Dates=H","DateFormat=P","Fill=—","Direction=H","UseDPDF=Y")</f>
        <v>0.61450000000000005</v>
      </c>
      <c r="D7" s="21">
        <f>_xll.BDH("CRM US Equity","CUR_RATIO","FQ3 2012","FQ3 2012","Currency=USD","Period=FQ","BEST_FPERIOD_OVERRIDE=FQ","FILING_STATUS=MR","Sort=A","Dates=H","DateFormat=P","Fill=—","Direction=H","UseDPDF=Y")</f>
        <v>0.62660000000000005</v>
      </c>
      <c r="E7" s="21">
        <f>_xll.BDH("CRM US Equity","CUR_RATIO","FQ4 2012","FQ4 2012","Currency=USD","Period=FQ","BEST_FPERIOD_OVERRIDE=FQ","FILING_STATUS=MR","Sort=A","Dates=H","DateFormat=P","Fill=—","Direction=H","UseDPDF=Y")</f>
        <v>0.72699999999999998</v>
      </c>
      <c r="F7" s="21">
        <f>_xll.BDH("CRM US Equity","CUR_RATIO","FQ1 2013","FQ1 2013","Currency=USD","Period=FQ","BEST_FPERIOD_OVERRIDE=FQ","FILING_STATUS=MR","Sort=A","Dates=H","DateFormat=P","Fill=—","Direction=H","UseDPDF=Y")</f>
        <v>0.73299999999999998</v>
      </c>
      <c r="G7" s="21">
        <f>_xll.BDH("CRM US Equity","CUR_RATIO","FQ2 2013","FQ2 2013","Currency=USD","Period=FQ","BEST_FPERIOD_OVERRIDE=FQ","FILING_STATUS=MR","Sort=A","Dates=H","DateFormat=P","Fill=—","Direction=H","UseDPDF=Y")</f>
        <v>0.79559999999999997</v>
      </c>
      <c r="H7" s="21">
        <f>_xll.BDH("CRM US Equity","CUR_RATIO","FQ3 2013","FQ3 2013","Currency=USD","Period=FQ","BEST_FPERIOD_OVERRIDE=FQ","FILING_STATUS=MR","Sort=A","Dates=H","DateFormat=P","Fill=—","Direction=H","UseDPDF=Y")</f>
        <v>0.54120000000000001</v>
      </c>
      <c r="I7" s="21">
        <f>_xll.BDH("CRM US Equity","CUR_RATIO","FQ4 2013","FQ4 2013","Currency=USD","Period=FQ","BEST_FPERIOD_OVERRIDE=FQ","FILING_STATUS=MR","Sort=A","Dates=H","DateFormat=P","Fill=—","Direction=H","UseDPDF=Y")</f>
        <v>0.69089999999999996</v>
      </c>
      <c r="J7" s="21">
        <f>_xll.BDH("CRM US Equity","CUR_RATIO","FQ1 2014","FQ1 2014","Currency=USD","Period=FQ","BEST_FPERIOD_OVERRIDE=FQ","FILING_STATUS=MR","Sort=A","Dates=H","DateFormat=P","Fill=—","Direction=H","UseDPDF=Y")</f>
        <v>1.0536000000000001</v>
      </c>
      <c r="K7" s="21">
        <f>_xll.BDH("CRM US Equity","CUR_RATIO","FQ2 2014","FQ2 2014","Currency=USD","Period=FQ","BEST_FPERIOD_OVERRIDE=FQ","FILING_STATUS=MR","Sort=A","Dates=H","DateFormat=P","Fill=—","Direction=H","UseDPDF=Y")</f>
        <v>0.5544</v>
      </c>
      <c r="L7" s="21">
        <f>_xll.BDH("CRM US Equity","CUR_RATIO","FQ3 2014","FQ3 2014","Currency=USD","Period=FQ","BEST_FPERIOD_OVERRIDE=FQ","FILING_STATUS=MR","Sort=A","Dates=H","DateFormat=P","Fill=—","Direction=H","UseDPDF=Y")</f>
        <v>0.58160000000000001</v>
      </c>
      <c r="M7" s="21">
        <f>_xll.BDH("CRM US Equity","CUR_RATIO","FQ4 2014","FQ4 2014","Currency=USD","Period=FQ","BEST_FPERIOD_OVERRIDE=FQ","FILING_STATUS=MR","Sort=A","Dates=H","DateFormat=P","Fill=—","Direction=H","UseDPDF=Y")</f>
        <v>0.6734</v>
      </c>
      <c r="N7" s="21">
        <f>_xll.BDH("CRM US Equity","CUR_RATIO","FQ1 2015","FQ1 2015","Currency=USD","Period=FQ","BEST_FPERIOD_OVERRIDE=FQ","FILING_STATUS=MR","Sort=A","Dates=H","DateFormat=P","Fill=—","Direction=H","UseDPDF=Y")</f>
        <v>0.60699999999999998</v>
      </c>
      <c r="O7" s="21">
        <f>_xll.BDH("CRM US Equity","CUR_RATIO","FQ2 2015","FQ2 2015","Currency=USD","Period=FQ","BEST_FPERIOD_OVERRIDE=FQ","FILING_STATUS=MR","Sort=A","Dates=H","DateFormat=P","Fill=—","Direction=H","UseDPDF=Y")</f>
        <v>0.65800000000000003</v>
      </c>
      <c r="P7" s="21">
        <f>_xll.BDH("CRM US Equity","CUR_RATIO","FQ3 2015","FQ3 2015","Currency=USD","Period=FQ","BEST_FPERIOD_OVERRIDE=FQ","FILING_STATUS=MR","Sort=A","Dates=H","DateFormat=P","Fill=—","Direction=H","UseDPDF=Y")</f>
        <v>0.73729999999999996</v>
      </c>
      <c r="Q7" s="21">
        <f>_xll.BDH("CRM US Equity","CUR_RATIO","FQ4 2015","FQ4 2015","Currency=USD","Period=FQ","BEST_FPERIOD_OVERRIDE=FQ","FILING_STATUS=MR","Sort=A","Dates=H","DateFormat=P","Fill=—","Direction=H","UseDPDF=Y")</f>
        <v>0.80059999999999998</v>
      </c>
      <c r="R7" s="21">
        <f>_xll.BDH("CRM US Equity","CUR_RATIO","FQ1 2016","FQ1 2016","Currency=USD","Period=FQ","BEST_FPERIOD_OVERRIDE=FQ","FILING_STATUS=MR","Sort=A","Dates=H","DateFormat=P","Fill=—","Direction=H","UseDPDF=Y")</f>
        <v>0.65759999999999996</v>
      </c>
      <c r="S7" s="21">
        <f>_xll.BDH("CRM US Equity","CUR_RATIO","FQ2 2016","FQ2 2016","Currency=USD","Period=FQ","BEST_FPERIOD_OVERRIDE=FQ","FILING_STATUS=MR","Sort=A","Dates=H","DateFormat=P","Fill=—","Direction=H","UseDPDF=Y")</f>
        <v>0.70920000000000005</v>
      </c>
      <c r="T7" s="21">
        <f>_xll.BDH("CRM US Equity","CUR_RATIO","FQ3 2016","FQ3 2016","Currency=USD","Period=FQ","BEST_FPERIOD_OVERRIDE=FQ","FILING_STATUS=MR","Sort=A","Dates=H","DateFormat=P","Fill=—","Direction=H","UseDPDF=Y")</f>
        <v>0.7389</v>
      </c>
      <c r="U7" s="21">
        <f>_xll.BDH("CRM US Equity","CUR_RATIO","FQ4 2016","FQ4 2016","Currency=USD","Period=FQ","BEST_FPERIOD_OVERRIDE=FQ","FILING_STATUS=MR","Sort=A","Dates=H","DateFormat=P","Fill=—","Direction=H","UseDPDF=Y")</f>
        <v>1.0204</v>
      </c>
      <c r="V7" s="21">
        <f>_xll.BDH("CRM US Equity","CUR_RATIO","FQ1 2017","FQ1 2017","Currency=USD","Period=FQ","BEST_FPERIOD_OVERRIDE=FQ","FILING_STATUS=MR","Sort=A","Dates=H","DateFormat=P","Fill=—","Direction=H","UseDPDF=Y")</f>
        <v>0.74229999999999996</v>
      </c>
      <c r="W7" s="21">
        <f>_xll.BDH("CRM US Equity","CUR_RATIO","FQ2 2017","FQ2 2017","Currency=USD","Period=FQ","BEST_FPERIOD_OVERRIDE=FQ","FILING_STATUS=MR","Sort=A","Dates=H","DateFormat=P","Fill=—","Direction=H","UseDPDF=Y")</f>
        <v>0.60970000000000002</v>
      </c>
      <c r="X7" s="21">
        <f>_xll.BDH("CRM US Equity","CUR_RATIO","FQ3 2017","FQ3 2017","Currency=USD","Period=FQ","BEST_FPERIOD_OVERRIDE=FQ","FILING_STATUS=MR","Sort=A","Dates=H","DateFormat=P","Fill=—","Direction=H","UseDPDF=Y")</f>
        <v>0.60329999999999995</v>
      </c>
      <c r="Y7" s="21">
        <f>_xll.BDH("CRM US Equity","CUR_RATIO","FQ4 2017","FQ4 2017","Currency=USD","Period=FQ","BEST_FPERIOD_OVERRIDE=FQ","FILING_STATUS=MR","Sort=A","Dates=H","DateFormat=P","Fill=—","Direction=H","UseDPDF=Y")</f>
        <v>0.82199999999999995</v>
      </c>
      <c r="Z7" s="21">
        <f>_xll.BDH("CRM US Equity","CUR_RATIO","FQ1 2018","FQ1 2018","Currency=USD","Period=FQ","BEST_FPERIOD_OVERRIDE=FQ","FILING_STATUS=MR","Sort=A","Dates=H","DateFormat=P","Fill=—","Direction=H","UseDPDF=Y")</f>
        <v>0.7087</v>
      </c>
      <c r="AA7" s="21">
        <f>_xll.BDH("CRM US Equity","CUR_RATIO","FQ2 2018","FQ2 2018","Currency=USD","Period=FQ","BEST_FPERIOD_OVERRIDE=FQ","FILING_STATUS=MR","Sort=A","Dates=H","DateFormat=P","Fill=—","Direction=H","UseDPDF=Y")</f>
        <v>0.77210000000000001</v>
      </c>
      <c r="AB7" s="21">
        <f>_xll.BDH("CRM US Equity","CUR_RATIO","FQ3 2018","FQ3 2018","Currency=USD","Period=FQ","BEST_FPERIOD_OVERRIDE=FQ","FILING_STATUS=MR","Sort=A","Dates=H","DateFormat=P","Fill=—","Direction=H","UseDPDF=Y")</f>
        <v>0.82399999999999995</v>
      </c>
      <c r="AC7" s="21">
        <f>_xll.BDH("CRM US Equity","CUR_RATIO","FQ4 2018","FQ4 2018","Currency=USD","Period=FQ","BEST_FPERIOD_OVERRIDE=FQ","FILING_STATUS=MR","Sort=A","Dates=H","DateFormat=P","Fill=—","Direction=H","UseDPDF=Y")</f>
        <v>0.95199999999999996</v>
      </c>
      <c r="AD7" s="21">
        <f>_xll.BDH("CRM US Equity","CUR_RATIO","FQ1 2019","FQ1 2019","Currency=USD","Period=FQ","BEST_FPERIOD_OVERRIDE=FQ","FILING_STATUS=MR","Sort=A","Dates=H","DateFormat=P","Fill=—","Direction=H","UseDPDF=Y")</f>
        <v>1.2858000000000001</v>
      </c>
      <c r="AE7" s="21">
        <f>_xll.BDH("CRM US Equity","CUR_RATIO","FQ2 2019","FQ2 2019","Currency=USD","Period=FQ","BEST_FPERIOD_OVERRIDE=FQ","FILING_STATUS=MR","Sort=A","Dates=H","DateFormat=P","Fill=—","Direction=H","UseDPDF=Y")</f>
        <v>0.80320000000000003</v>
      </c>
      <c r="AF7" s="21">
        <f>_xll.BDH("CRM US Equity","CUR_RATIO","FQ3 2019","FQ3 2019","Currency=USD","Period=FQ","BEST_FPERIOD_OVERRIDE=FQ","FILING_STATUS=MR","Sort=A","Dates=H","DateFormat=P","Fill=—","Direction=H","UseDPDF=Y")</f>
        <v>0.85640000000000005</v>
      </c>
      <c r="AG7" s="21">
        <f>_xll.BDH("CRM US Equity","CUR_RATIO","FQ4 2019","FQ4 2019","Currency=USD","Period=FQ","BEST_FPERIOD_OVERRIDE=FQ","FILING_STATUS=MR","Sort=A","Dates=H","DateFormat=P","Fill=—","Direction=H","UseDPDF=Y")</f>
        <v>0.94889999999999997</v>
      </c>
      <c r="AH7" s="21">
        <f>_xll.BDH("CRM US Equity","CUR_RATIO","FQ1 2020","FQ1 2020","Currency=USD","Period=FQ","BEST_FPERIOD_OVERRIDE=FQ","FILING_STATUS=MR","Sort=A","Dates=H","DateFormat=P","Fill=—","Direction=H","UseDPDF=Y")</f>
        <v>0.95640000000000003</v>
      </c>
      <c r="AI7" s="21">
        <f>_xll.BDH("CRM US Equity","CUR_RATIO","FQ2 2020","FQ2 2020","Currency=USD","Period=FQ","BEST_FPERIOD_OVERRIDE=FQ","FILING_STATUS=MR","Sort=A","Dates=H","DateFormat=P","Fill=—","Direction=H","UseDPDF=Y")</f>
        <v>0.97099999999999997</v>
      </c>
      <c r="AJ7" s="21">
        <f>_xll.BDH("CRM US Equity","CUR_RATIO","FQ3 2020","FQ3 2020","Currency=USD","Period=FQ","BEST_FPERIOD_OVERRIDE=FQ","FILING_STATUS=MR","Sort=A","Dates=H","DateFormat=P","Fill=—","Direction=H","UseDPDF=Y")</f>
        <v>1.0524</v>
      </c>
      <c r="AK7" s="21">
        <f>_xll.BDH("CRM US Equity","CUR_RATIO","FQ4 2020","FQ4 2020","Currency=USD","Period=FQ","BEST_FPERIOD_OVERRIDE=FQ","FILING_STATUS=MR","Sort=A","Dates=H","DateFormat=P","Fill=—","Direction=H","UseDPDF=Y")</f>
        <v>1.075</v>
      </c>
      <c r="AL7" s="21">
        <f>_xll.BDH("CRM US Equity","CUR_RATIO","FQ1 2021","FQ1 2021","Currency=USD","Period=FQ","BEST_FPERIOD_OVERRIDE=FQ","FILING_STATUS=MR","Sort=A","Dates=H","DateFormat=P","Fill=—","Direction=H","UseDPDF=Y")</f>
        <v>1.1452</v>
      </c>
      <c r="AM7" s="21">
        <f>_xll.BDH("CRM US Equity","CUR_RATIO","FQ2 2021","FQ2 2021","Currency=USD","Period=FQ","BEST_FPERIOD_OVERRIDE=FQ","FILING_STATUS=MR","Sort=A","Dates=H","DateFormat=P","Fill=—","Direction=H","UseDPDF=Y")</f>
        <v>1.145</v>
      </c>
      <c r="AN7" s="21">
        <f>_xll.BDH("CRM US Equity","CUR_RATIO","FQ3 2021","FQ3 2021","Currency=USD","Period=FQ","BEST_FPERIOD_OVERRIDE=FQ","FILING_STATUS=MR","Sort=A","Dates=H","DateFormat=P","Fill=—","Direction=H","UseDPDF=Y")</f>
        <v>1.2217</v>
      </c>
      <c r="AO7" s="21">
        <f>_xll.BDH("CRM US Equity","CUR_RATIO","FQ4 2021","FQ4 2021","Currency=USD","Period=FQ","BEST_FPERIOD_OVERRIDE=FQ","FILING_STATUS=MR","Sort=A","Dates=H","DateFormat=P","Fill=—","Direction=H","UseDPDF=Y")</f>
        <v>1.2343999999999999</v>
      </c>
      <c r="AP7" s="21">
        <f>_xll.BDH("CRM US Equity","CUR_RATIO","FQ1 2022","FQ1 2022","Currency=USD","Period=FQ","BEST_FPERIOD_OVERRIDE=FQ","FILING_STATUS=MR","Sort=A","Dates=H","DateFormat=P","Fill=—","Direction=H","UseDPDF=Y")</f>
        <v>1.3338999999999999</v>
      </c>
    </row>
    <row r="8" spans="1:42" x14ac:dyDescent="0.25">
      <c r="A8" s="8" t="s">
        <v>189</v>
      </c>
      <c r="B8" s="8" t="s">
        <v>188</v>
      </c>
      <c r="C8" s="21">
        <f>_xll.BDH("CRM US Equity","QUICK_RATIO","FQ2 2012","FQ2 2012","Currency=USD","Period=FQ","BEST_FPERIOD_OVERRIDE=FQ","FILING_STATUS=MR","Sort=A","Dates=H","DateFormat=P","Fill=—","Direction=H","UseDPDF=Y")</f>
        <v>0.50700000000000001</v>
      </c>
      <c r="D8" s="21">
        <f>_xll.BDH("CRM US Equity","QUICK_RATIO","FQ3 2012","FQ3 2012","Currency=USD","Period=FQ","BEST_FPERIOD_OVERRIDE=FQ","FILING_STATUS=MR","Sort=A","Dates=H","DateFormat=P","Fill=—","Direction=H","UseDPDF=Y")</f>
        <v>0.52290000000000003</v>
      </c>
      <c r="E8" s="21">
        <f>_xll.BDH("CRM US Equity","QUICK_RATIO","FQ4 2012","FQ4 2012","Currency=USD","Period=FQ","BEST_FPERIOD_OVERRIDE=FQ","FILING_STATUS=MR","Sort=A","Dates=H","DateFormat=P","Fill=—","Direction=H","UseDPDF=Y")</f>
        <v>0.63549999999999995</v>
      </c>
      <c r="F8" s="21">
        <f>_xll.BDH("CRM US Equity","QUICK_RATIO","FQ1 2013","FQ1 2013","Currency=USD","Period=FQ","BEST_FPERIOD_OVERRIDE=FQ","FILING_STATUS=MR","Sort=A","Dates=H","DateFormat=P","Fill=—","Direction=H","UseDPDF=Y")</f>
        <v>0.64510000000000001</v>
      </c>
      <c r="G8" s="21">
        <f>_xll.BDH("CRM US Equity","QUICK_RATIO","FQ2 2013","FQ2 2013","Currency=USD","Period=FQ","BEST_FPERIOD_OVERRIDE=FQ","FILING_STATUS=MR","Sort=A","Dates=H","DateFormat=P","Fill=—","Direction=H","UseDPDF=Y")</f>
        <v>0.66739999999999999</v>
      </c>
      <c r="H8" s="21">
        <f>_xll.BDH("CRM US Equity","QUICK_RATIO","FQ3 2013","FQ3 2013","Currency=USD","Period=FQ","BEST_FPERIOD_OVERRIDE=FQ","FILING_STATUS=MR","Sort=A","Dates=H","DateFormat=P","Fill=—","Direction=H","UseDPDF=Y")</f>
        <v>0.44080000000000003</v>
      </c>
      <c r="I8" s="21">
        <f>_xll.BDH("CRM US Equity","QUICK_RATIO","FQ4 2013","FQ4 2013","Currency=USD","Period=FQ","BEST_FPERIOD_OVERRIDE=FQ","FILING_STATUS=MR","Sort=A","Dates=H","DateFormat=P","Fill=—","Direction=H","UseDPDF=Y")</f>
        <v>0.59650000000000003</v>
      </c>
      <c r="J8" s="21">
        <f>_xll.BDH("CRM US Equity","QUICK_RATIO","FQ1 2014","FQ1 2014","Currency=USD","Period=FQ","BEST_FPERIOD_OVERRIDE=FQ","FILING_STATUS=MR","Sort=A","Dates=H","DateFormat=P","Fill=—","Direction=H","UseDPDF=Y")</f>
        <v>0.95340000000000003</v>
      </c>
      <c r="K8" s="21">
        <f>_xll.BDH("CRM US Equity","QUICK_RATIO","FQ2 2014","FQ2 2014","Currency=USD","Period=FQ","BEST_FPERIOD_OVERRIDE=FQ","FILING_STATUS=MR","Sort=A","Dates=H","DateFormat=P","Fill=—","Direction=H","UseDPDF=Y")</f>
        <v>0.39929999999999999</v>
      </c>
      <c r="L8" s="21">
        <f>_xll.BDH("CRM US Equity","QUICK_RATIO","FQ3 2014","FQ3 2014","Currency=USD","Period=FQ","BEST_FPERIOD_OVERRIDE=FQ","FILING_STATUS=MR","Sort=A","Dates=H","DateFormat=P","Fill=—","Direction=H","UseDPDF=Y")</f>
        <v>0.42230000000000001</v>
      </c>
      <c r="M8" s="21">
        <f>_xll.BDH("CRM US Equity","QUICK_RATIO","FQ4 2014","FQ4 2014","Currency=USD","Period=FQ","BEST_FPERIOD_OVERRIDE=FQ","FILING_STATUS=MR","Sort=A","Dates=H","DateFormat=P","Fill=—","Direction=H","UseDPDF=Y")</f>
        <v>0.55259999999999998</v>
      </c>
      <c r="N8" s="21">
        <f>_xll.BDH("CRM US Equity","QUICK_RATIO","FQ1 2015","FQ1 2015","Currency=USD","Period=FQ","BEST_FPERIOD_OVERRIDE=FQ","FILING_STATUS=MR","Sort=A","Dates=H","DateFormat=P","Fill=—","Direction=H","UseDPDF=Y")</f>
        <v>0.46529999999999999</v>
      </c>
      <c r="O8" s="21">
        <f>_xll.BDH("CRM US Equity","QUICK_RATIO","FQ2 2015","FQ2 2015","Currency=USD","Period=FQ","BEST_FPERIOD_OVERRIDE=FQ","FILING_STATUS=MR","Sort=A","Dates=H","DateFormat=P","Fill=—","Direction=H","UseDPDF=Y")</f>
        <v>0.4793</v>
      </c>
      <c r="P8" s="21">
        <f>_xll.BDH("CRM US Equity","QUICK_RATIO","FQ3 2015","FQ3 2015","Currency=USD","Period=FQ","BEST_FPERIOD_OVERRIDE=FQ","FILING_STATUS=MR","Sort=A","Dates=H","DateFormat=P","Fill=—","Direction=H","UseDPDF=Y")</f>
        <v>0.52010000000000001</v>
      </c>
      <c r="Q8" s="21">
        <f>_xll.BDH("CRM US Equity","QUICK_RATIO","FQ4 2015","FQ4 2015","Currency=USD","Period=FQ","BEST_FPERIOD_OVERRIDE=FQ","FILING_STATUS=MR","Sort=A","Dates=H","DateFormat=P","Fill=—","Direction=H","UseDPDF=Y")</f>
        <v>0.66080000000000005</v>
      </c>
      <c r="R8" s="21">
        <f>_xll.BDH("CRM US Equity","QUICK_RATIO","FQ1 2016","FQ1 2016","Currency=USD","Period=FQ","BEST_FPERIOD_OVERRIDE=FQ","FILING_STATUS=MR","Sort=A","Dates=H","DateFormat=P","Fill=—","Direction=H","UseDPDF=Y")</f>
        <v>0.49120000000000003</v>
      </c>
      <c r="S8" s="21">
        <f>_xll.BDH("CRM US Equity","QUICK_RATIO","FQ2 2016","FQ2 2016","Currency=USD","Period=FQ","BEST_FPERIOD_OVERRIDE=FQ","FILING_STATUS=MR","Sort=A","Dates=H","DateFormat=P","Fill=—","Direction=H","UseDPDF=Y")</f>
        <v>0.54420000000000002</v>
      </c>
      <c r="T8" s="21">
        <f>_xll.BDH("CRM US Equity","QUICK_RATIO","FQ3 2016","FQ3 2016","Currency=USD","Period=FQ","BEST_FPERIOD_OVERRIDE=FQ","FILING_STATUS=MR","Sort=A","Dates=H","DateFormat=P","Fill=—","Direction=H","UseDPDF=Y")</f>
        <v>0.60819999999999996</v>
      </c>
      <c r="U8" s="21">
        <f>_xll.BDH("CRM US Equity","QUICK_RATIO","FQ4 2016","FQ4 2016","Currency=USD","Period=FQ","BEST_FPERIOD_OVERRIDE=FQ","FILING_STATUS=MR","Sort=A","Dates=H","DateFormat=P","Fill=—","Direction=H","UseDPDF=Y")</f>
        <v>0.92959999999999998</v>
      </c>
      <c r="V8" s="21">
        <f>_xll.BDH("CRM US Equity","QUICK_RATIO","FQ1 2017","FQ1 2017","Currency=USD","Period=FQ","BEST_FPERIOD_OVERRIDE=FQ","FILING_STATUS=MR","Sort=A","Dates=H","DateFormat=P","Fill=—","Direction=H","UseDPDF=Y")</f>
        <v>0.63400000000000001</v>
      </c>
      <c r="W8" s="21">
        <f>_xll.BDH("CRM US Equity","QUICK_RATIO","FQ2 2017","FQ2 2017","Currency=USD","Period=FQ","BEST_FPERIOD_OVERRIDE=FQ","FILING_STATUS=MR","Sort=A","Dates=H","DateFormat=P","Fill=—","Direction=H","UseDPDF=Y")</f>
        <v>0.46450000000000002</v>
      </c>
      <c r="X8" s="21">
        <f>_xll.BDH("CRM US Equity","QUICK_RATIO","FQ3 2017","FQ3 2017","Currency=USD","Period=FQ","BEST_FPERIOD_OVERRIDE=FQ","FILING_STATUS=MR","Sort=A","Dates=H","DateFormat=P","Fill=—","Direction=H","UseDPDF=Y")</f>
        <v>0.49890000000000001</v>
      </c>
      <c r="Y8" s="21">
        <f>_xll.BDH("CRM US Equity","QUICK_RATIO","FQ4 2017","FQ4 2017","Currency=USD","Period=FQ","BEST_FPERIOD_OVERRIDE=FQ","FILING_STATUS=MR","Sort=A","Dates=H","DateFormat=P","Fill=—","Direction=H","UseDPDF=Y")</f>
        <v>0.7409</v>
      </c>
      <c r="Z8" s="21">
        <f>_xll.BDH("CRM US Equity","QUICK_RATIO","FQ1 2018","FQ1 2018","Currency=USD","Period=FQ","BEST_FPERIOD_OVERRIDE=FQ","FILING_STATUS=MR","Sort=A","Dates=H","DateFormat=P","Fill=—","Direction=H","UseDPDF=Y")</f>
        <v>0.61099999999999999</v>
      </c>
      <c r="AA8" s="21">
        <f>_xll.BDH("CRM US Equity","QUICK_RATIO","FQ2 2018","FQ2 2018","Currency=USD","Period=FQ","BEST_FPERIOD_OVERRIDE=FQ","FILING_STATUS=MR","Sort=A","Dates=H","DateFormat=P","Fill=—","Direction=H","UseDPDF=Y")</f>
        <v>0.67369999999999997</v>
      </c>
      <c r="AB8" s="21">
        <f>_xll.BDH("CRM US Equity","QUICK_RATIO","FQ3 2018","FQ3 2018","Currency=USD","Period=FQ","BEST_FPERIOD_OVERRIDE=FQ","FILING_STATUS=MR","Sort=A","Dates=H","DateFormat=P","Fill=—","Direction=H","UseDPDF=Y")</f>
        <v>0.71350000000000002</v>
      </c>
      <c r="AC8" s="21">
        <f>_xll.BDH("CRM US Equity","QUICK_RATIO","FQ4 2018","FQ4 2018","Currency=USD","Period=FQ","BEST_FPERIOD_OVERRIDE=FQ","FILING_STATUS=MR","Sort=A","Dates=H","DateFormat=P","Fill=—","Direction=H","UseDPDF=Y")</f>
        <v>0.83860000000000001</v>
      </c>
      <c r="AD8" s="21">
        <f>_xll.BDH("CRM US Equity","QUICK_RATIO","FQ1 2019","FQ1 2019","Currency=USD","Period=FQ","BEST_FPERIOD_OVERRIDE=FQ","FILING_STATUS=MR","Sort=A","Dates=H","DateFormat=P","Fill=—","Direction=H","UseDPDF=Y")</f>
        <v>1.1301000000000001</v>
      </c>
      <c r="AE8" s="21">
        <f>_xll.BDH("CRM US Equity","QUICK_RATIO","FQ2 2019","FQ2 2019","Currency=USD","Period=FQ","BEST_FPERIOD_OVERRIDE=FQ","FILING_STATUS=MR","Sort=A","Dates=H","DateFormat=P","Fill=—","Direction=H","UseDPDF=Y")</f>
        <v>0.63839999999999997</v>
      </c>
      <c r="AF8" s="21">
        <f>_xll.BDH("CRM US Equity","QUICK_RATIO","FQ3 2019","FQ3 2019","Currency=USD","Period=FQ","BEST_FPERIOD_OVERRIDE=FQ","FILING_STATUS=MR","Sort=A","Dates=H","DateFormat=P","Fill=—","Direction=H","UseDPDF=Y")</f>
        <v>0.68400000000000005</v>
      </c>
      <c r="AG8" s="21">
        <f>_xll.BDH("CRM US Equity","QUICK_RATIO","FQ4 2019","FQ4 2019","Currency=USD","Period=FQ","BEST_FPERIOD_OVERRIDE=FQ","FILING_STATUS=MR","Sort=A","Dates=H","DateFormat=P","Fill=—","Direction=H","UseDPDF=Y")</f>
        <v>0.82310000000000005</v>
      </c>
      <c r="AH8" s="21">
        <f>_xll.BDH("CRM US Equity","QUICK_RATIO","FQ1 2020","FQ1 2020","Currency=USD","Period=FQ","BEST_FPERIOD_OVERRIDE=FQ","FILING_STATUS=MR","Sort=A","Dates=H","DateFormat=P","Fill=—","Direction=H","UseDPDF=Y")</f>
        <v>0.81320000000000003</v>
      </c>
      <c r="AI8" s="21">
        <f>_xll.BDH("CRM US Equity","QUICK_RATIO","FQ2 2020","FQ2 2020","Currency=USD","Period=FQ","BEST_FPERIOD_OVERRIDE=FQ","FILING_STATUS=MR","Sort=A","Dates=H","DateFormat=P","Fill=—","Direction=H","UseDPDF=Y")</f>
        <v>0.82110000000000005</v>
      </c>
      <c r="AJ8" s="21">
        <f>_xll.BDH("CRM US Equity","QUICK_RATIO","FQ3 2020","FQ3 2020","Currency=USD","Period=FQ","BEST_FPERIOD_OVERRIDE=FQ","FILING_STATUS=MR","Sort=A","Dates=H","DateFormat=P","Fill=—","Direction=H","UseDPDF=Y")</f>
        <v>0.86880000000000002</v>
      </c>
      <c r="AK8" s="21">
        <f>_xll.BDH("CRM US Equity","QUICK_RATIO","FQ4 2020","FQ4 2020","Currency=USD","Period=FQ","BEST_FPERIOD_OVERRIDE=FQ","FILING_STATUS=MR","Sort=A","Dates=H","DateFormat=P","Fill=—","Direction=H","UseDPDF=Y")</f>
        <v>0.95099999999999996</v>
      </c>
      <c r="AL8" s="21">
        <f>_xll.BDH("CRM US Equity","QUICK_RATIO","FQ1 2021","FQ1 2021","Currency=USD","Period=FQ","BEST_FPERIOD_OVERRIDE=FQ","FILING_STATUS=MR","Sort=A","Dates=H","DateFormat=P","Fill=—","Direction=H","UseDPDF=Y")</f>
        <v>1.0024</v>
      </c>
      <c r="AM8" s="21">
        <f>_xll.BDH("CRM US Equity","QUICK_RATIO","FQ2 2021","FQ2 2021","Currency=USD","Period=FQ","BEST_FPERIOD_OVERRIDE=FQ","FILING_STATUS=MR","Sort=A","Dates=H","DateFormat=P","Fill=—","Direction=H","UseDPDF=Y")</f>
        <v>0.98160000000000003</v>
      </c>
      <c r="AN8" s="21">
        <f>_xll.BDH("CRM US Equity","QUICK_RATIO","FQ3 2021","FQ3 2021","Currency=USD","Period=FQ","BEST_FPERIOD_OVERRIDE=FQ","FILING_STATUS=MR","Sort=A","Dates=H","DateFormat=P","Fill=—","Direction=H","UseDPDF=Y")</f>
        <v>1.0468999999999999</v>
      </c>
      <c r="AO8" s="21">
        <f>_xll.BDH("CRM US Equity","QUICK_RATIO","FQ4 2021","FQ4 2021","Currency=USD","Period=FQ","BEST_FPERIOD_OVERRIDE=FQ","FILING_STATUS=MR","Sort=A","Dates=H","DateFormat=P","Fill=—","Direction=H","UseDPDF=Y")</f>
        <v>1.1139000000000001</v>
      </c>
      <c r="AP8" s="21">
        <f>_xll.BDH("CRM US Equity","QUICK_RATIO","FQ1 2022","FQ1 2022","Currency=USD","Period=FQ","BEST_FPERIOD_OVERRIDE=FQ","FILING_STATUS=MR","Sort=A","Dates=H","DateFormat=P","Fill=—","Direction=H","UseDPDF=Y")</f>
        <v>1.1873</v>
      </c>
    </row>
    <row r="9" spans="1:42" x14ac:dyDescent="0.25">
      <c r="A9" s="8" t="s">
        <v>187</v>
      </c>
      <c r="B9" s="8" t="s">
        <v>186</v>
      </c>
      <c r="C9" s="21">
        <f>_xll.BDH("CRM US Equity","CFO_TO_AVG_CURRENT_LIABILITIES","FQ2 2012","FQ2 2012","Currency=USD","Period=FQ","BEST_FPERIOD_OVERRIDE=FQ","FILING_STATUS=MR","Sort=A","Dates=H","DateFormat=P","Fill=—","Direction=H","UseDPDF=Y")</f>
        <v>0.33710000000000001</v>
      </c>
      <c r="D9" s="21">
        <f>_xll.BDH("CRM US Equity","CFO_TO_AVG_CURRENT_LIABILITIES","FQ3 2012","FQ3 2012","Currency=USD","Period=FQ","BEST_FPERIOD_OVERRIDE=FQ","FILING_STATUS=MR","Sort=A","Dates=H","DateFormat=P","Fill=—","Direction=H","UseDPDF=Y")</f>
        <v>0.3659</v>
      </c>
      <c r="E9" s="21">
        <f>_xll.BDH("CRM US Equity","CFO_TO_AVG_CURRENT_LIABILITIES","FQ4 2012","FQ4 2012","Currency=USD","Period=FQ","BEST_FPERIOD_OVERRIDE=FQ","FILING_STATUS=MR","Sort=A","Dates=H","DateFormat=P","Fill=—","Direction=H","UseDPDF=Y")</f>
        <v>0.33079999999999998</v>
      </c>
      <c r="F9" s="21">
        <f>_xll.BDH("CRM US Equity","CFO_TO_AVG_CURRENT_LIABILITIES","FQ1 2013","FQ1 2013","Currency=USD","Period=FQ","BEST_FPERIOD_OVERRIDE=FQ","FILING_STATUS=MR","Sort=A","Dates=H","DateFormat=P","Fill=—","Direction=H","UseDPDF=Y")</f>
        <v>0.3957</v>
      </c>
      <c r="G9" s="21">
        <f>_xll.BDH("CRM US Equity","CFO_TO_AVG_CURRENT_LIABILITIES","FQ2 2013","FQ2 2013","Currency=USD","Period=FQ","BEST_FPERIOD_OVERRIDE=FQ","FILING_STATUS=MR","Sort=A","Dates=H","DateFormat=P","Fill=—","Direction=H","UseDPDF=Y")</f>
        <v>0.3468</v>
      </c>
      <c r="H9" s="21">
        <f>_xll.BDH("CRM US Equity","CFO_TO_AVG_CURRENT_LIABILITIES","FQ3 2013","FQ3 2013","Currency=USD","Period=FQ","BEST_FPERIOD_OVERRIDE=FQ","FILING_STATUS=MR","Sort=A","Dates=H","DateFormat=P","Fill=—","Direction=H","UseDPDF=Y")</f>
        <v>0.33479999999999999</v>
      </c>
      <c r="I9" s="21">
        <f>_xll.BDH("CRM US Equity","CFO_TO_AVG_CURRENT_LIABILITIES","FQ4 2013","FQ4 2013","Currency=USD","Period=FQ","BEST_FPERIOD_OVERRIDE=FQ","FILING_STATUS=MR","Sort=A","Dates=H","DateFormat=P","Fill=—","Direction=H","UseDPDF=Y")</f>
        <v>0.28249999999999997</v>
      </c>
      <c r="J9" s="21">
        <f>_xll.BDH("CRM US Equity","CFO_TO_AVG_CURRENT_LIABILITIES","FQ1 2014","FQ1 2014","Currency=USD","Period=FQ","BEST_FPERIOD_OVERRIDE=FQ","FILING_STATUS=MR","Sort=A","Dates=H","DateFormat=P","Fill=—","Direction=H","UseDPDF=Y")</f>
        <v>0.36620000000000003</v>
      </c>
      <c r="K9" s="21">
        <f>_xll.BDH("CRM US Equity","CFO_TO_AVG_CURRENT_LIABILITIES","FQ2 2014","FQ2 2014","Currency=USD","Period=FQ","BEST_FPERIOD_OVERRIDE=FQ","FILING_STATUS=MR","Sort=A","Dates=H","DateFormat=P","Fill=—","Direction=H","UseDPDF=Y")</f>
        <v>0.31669999999999998</v>
      </c>
      <c r="L9" s="21">
        <f>_xll.BDH("CRM US Equity","CFO_TO_AVG_CURRENT_LIABILITIES","FQ3 2014","FQ3 2014","Currency=USD","Period=FQ","BEST_FPERIOD_OVERRIDE=FQ","FILING_STATUS=MR","Sort=A","Dates=H","DateFormat=P","Fill=—","Direction=H","UseDPDF=Y")</f>
        <v>0.32690000000000002</v>
      </c>
      <c r="M9" s="21">
        <f>_xll.BDH("CRM US Equity","CFO_TO_AVG_CURRENT_LIABILITIES","FQ4 2014","FQ4 2014","Currency=USD","Period=FQ","BEST_FPERIOD_OVERRIDE=FQ","FILING_STATUS=MR","Sort=A","Dates=H","DateFormat=P","Fill=—","Direction=H","UseDPDF=Y")</f>
        <v>0.25380000000000003</v>
      </c>
      <c r="N9" s="21">
        <f>_xll.BDH("CRM US Equity","CFO_TO_AVG_CURRENT_LIABILITIES","FQ1 2015","FQ1 2015","Currency=USD","Period=FQ","BEST_FPERIOD_OVERRIDE=FQ","FILING_STATUS=MR","Sort=A","Dates=H","DateFormat=P","Fill=—","Direction=H","UseDPDF=Y")</f>
        <v>0.34989999999999999</v>
      </c>
      <c r="O9" s="21">
        <f>_xll.BDH("CRM US Equity","CFO_TO_AVG_CURRENT_LIABILITIES","FQ2 2015","FQ2 2015","Currency=USD","Period=FQ","BEST_FPERIOD_OVERRIDE=FQ","FILING_STATUS=MR","Sort=A","Dates=H","DateFormat=P","Fill=—","Direction=H","UseDPDF=Y")</f>
        <v>0.34360000000000002</v>
      </c>
      <c r="P9" s="21">
        <f>_xll.BDH("CRM US Equity","CFO_TO_AVG_CURRENT_LIABILITIES","FQ3 2015","FQ3 2015","Currency=USD","Period=FQ","BEST_FPERIOD_OVERRIDE=FQ","FILING_STATUS=MR","Sort=A","Dates=H","DateFormat=P","Fill=—","Direction=H","UseDPDF=Y")</f>
        <v>0.34749999999999998</v>
      </c>
      <c r="Q9" s="21">
        <f>_xll.BDH("CRM US Equity","CFO_TO_AVG_CURRENT_LIABILITIES","FQ4 2015","FQ4 2015","Currency=USD","Period=FQ","BEST_FPERIOD_OVERRIDE=FQ","FILING_STATUS=MR","Sort=A","Dates=H","DateFormat=P","Fill=—","Direction=H","UseDPDF=Y")</f>
        <v>0.28039999999999998</v>
      </c>
      <c r="R9" s="21">
        <f>_xll.BDH("CRM US Equity","CFO_TO_AVG_CURRENT_LIABILITIES","FQ1 2016","FQ1 2016","Currency=USD","Period=FQ","BEST_FPERIOD_OVERRIDE=FQ","FILING_STATUS=MR","Sort=A","Dates=H","DateFormat=P","Fill=—","Direction=H","UseDPDF=Y")</f>
        <v>0.39219999999999999</v>
      </c>
      <c r="S9" s="21">
        <f>_xll.BDH("CRM US Equity","CFO_TO_AVG_CURRENT_LIABILITIES","FQ2 2016","FQ2 2016","Currency=USD","Period=FQ","BEST_FPERIOD_OVERRIDE=FQ","FILING_STATUS=MR","Sort=A","Dates=H","DateFormat=P","Fill=—","Direction=H","UseDPDF=Y")</f>
        <v>0.39240000000000003</v>
      </c>
      <c r="T9" s="21">
        <f>_xll.BDH("CRM US Equity","CFO_TO_AVG_CURRENT_LIABILITIES","FQ3 2016","FQ3 2016","Currency=USD","Period=FQ","BEST_FPERIOD_OVERRIDE=FQ","FILING_STATUS=MR","Sort=A","Dates=H","DateFormat=P","Fill=—","Direction=H","UseDPDF=Y")</f>
        <v>0.42109999999999997</v>
      </c>
      <c r="U9" s="21">
        <f>_xll.BDH("CRM US Equity","CFO_TO_AVG_CURRENT_LIABILITIES","FQ4 2016","FQ4 2016","Currency=USD","Period=FQ","BEST_FPERIOD_OVERRIDE=FQ","FILING_STATUS=MR","Sort=A","Dates=H","DateFormat=P","Fill=—","Direction=H","UseDPDF=Y")</f>
        <v>0.3342</v>
      </c>
      <c r="V9" s="21">
        <f>_xll.BDH("CRM US Equity","CFO_TO_AVG_CURRENT_LIABILITIES","FQ1 2017","FQ1 2017","Currency=USD","Period=FQ","BEST_FPERIOD_OVERRIDE=FQ","FILING_STATUS=MR","Sort=A","Dates=H","DateFormat=P","Fill=—","Direction=H","UseDPDF=Y")</f>
        <v>0.4395</v>
      </c>
      <c r="W9" s="21">
        <f>_xll.BDH("CRM US Equity","CFO_TO_AVG_CURRENT_LIABILITIES","FQ2 2017","FQ2 2017","Currency=USD","Period=FQ","BEST_FPERIOD_OVERRIDE=FQ","FILING_STATUS=MR","Sort=A","Dates=H","DateFormat=P","Fill=—","Direction=H","UseDPDF=Y")</f>
        <v>0.40770000000000001</v>
      </c>
      <c r="X9" s="21">
        <f>_xll.BDH("CRM US Equity","CFO_TO_AVG_CURRENT_LIABILITIES","FQ3 2017","FQ3 2017","Currency=USD","Period=FQ","BEST_FPERIOD_OVERRIDE=FQ","FILING_STATUS=MR","Sort=A","Dates=H","DateFormat=P","Fill=—","Direction=H","UseDPDF=Y")</f>
        <v>0.43030000000000002</v>
      </c>
      <c r="Y9" s="21">
        <f>_xll.BDH("CRM US Equity","CFO_TO_AVG_CURRENT_LIABILITIES","FQ4 2017","FQ4 2017","Currency=USD","Period=FQ","BEST_FPERIOD_OVERRIDE=FQ","FILING_STATUS=MR","Sort=A","Dates=H","DateFormat=P","Fill=—","Direction=H","UseDPDF=Y")</f>
        <v>0.33489999999999998</v>
      </c>
      <c r="Z9" s="21">
        <f>_xll.BDH("CRM US Equity","CFO_TO_AVG_CURRENT_LIABILITIES","FQ1 2018","FQ1 2018","Currency=USD","Period=FQ","BEST_FPERIOD_OVERRIDE=FQ","FILING_STATUS=MR","Sort=A","Dates=H","DateFormat=P","Fill=—","Direction=H","UseDPDF=Y")</f>
        <v>0.36830000000000002</v>
      </c>
      <c r="AA9" s="21">
        <f>_xll.BDH("CRM US Equity","CFO_TO_AVG_CURRENT_LIABILITIES","FQ2 2018","FQ2 2018","Currency=USD","Period=FQ","BEST_FPERIOD_OVERRIDE=FQ","FILING_STATUS=MR","Sort=A","Dates=H","DateFormat=P","Fill=—","Direction=H","UseDPDF=Y")</f>
        <v>0.37530000000000002</v>
      </c>
      <c r="AB9" s="21">
        <f>_xll.BDH("CRM US Equity","CFO_TO_AVG_CURRENT_LIABILITIES","FQ3 2018","FQ3 2018","Currency=USD","Period=FQ","BEST_FPERIOD_OVERRIDE=FQ","FILING_STATUS=MR","Sort=A","Dates=H","DateFormat=P","Fill=—","Direction=H","UseDPDF=Y")</f>
        <v>0.39240000000000003</v>
      </c>
      <c r="AC9" s="21">
        <f>_xll.BDH("CRM US Equity","CFO_TO_AVG_CURRENT_LIABILITIES","FQ4 2018","FQ4 2018","Currency=USD","Period=FQ","BEST_FPERIOD_OVERRIDE=FQ","FILING_STATUS=MR","Sort=A","Dates=H","DateFormat=P","Fill=—","Direction=H","UseDPDF=Y")</f>
        <v>0.31540000000000001</v>
      </c>
      <c r="AD9" s="21">
        <f>_xll.BDH("CRM US Equity","CFO_TO_AVG_CURRENT_LIABILITIES","FQ1 2019","FQ1 2019","Currency=USD","Period=FQ","BEST_FPERIOD_OVERRIDE=FQ","FILING_STATUS=MR","Sort=A","Dates=H","DateFormat=P","Fill=—","Direction=H","UseDPDF=Y")</f>
        <v>0.38319999999999999</v>
      </c>
      <c r="AE9" s="21">
        <f>_xll.BDH("CRM US Equity","CFO_TO_AVG_CURRENT_LIABILITIES","FQ2 2019","FQ2 2019","Currency=USD","Period=FQ","BEST_FPERIOD_OVERRIDE=FQ","FILING_STATUS=MR","Sort=A","Dates=H","DateFormat=P","Fill=—","Direction=H","UseDPDF=Y")</f>
        <v>0.38769999999999999</v>
      </c>
      <c r="AF9" s="21">
        <f>_xll.BDH("CRM US Equity","CFO_TO_AVG_CURRENT_LIABILITIES","FQ3 2019","FQ3 2019","Currency=USD","Period=FQ","BEST_FPERIOD_OVERRIDE=FQ","FILING_STATUS=MR","Sort=A","Dates=H","DateFormat=P","Fill=—","Direction=H","UseDPDF=Y")</f>
        <v>0.40939999999999999</v>
      </c>
      <c r="AG9" s="21">
        <f>_xll.BDH("CRM US Equity","CFO_TO_AVG_CURRENT_LIABILITIES","FQ4 2019","FQ4 2019","Currency=USD","Period=FQ","BEST_FPERIOD_OVERRIDE=FQ","FILING_STATUS=MR","Sort=A","Dates=H","DateFormat=P","Fill=—","Direction=H","UseDPDF=Y")</f>
        <v>0.31869999999999998</v>
      </c>
      <c r="AH9" s="21">
        <f>_xll.BDH("CRM US Equity","CFO_TO_AVG_CURRENT_LIABILITIES","FQ1 2020","FQ1 2020","Currency=USD","Period=FQ","BEST_FPERIOD_OVERRIDE=FQ","FILING_STATUS=MR","Sort=A","Dates=H","DateFormat=P","Fill=—","Direction=H","UseDPDF=Y")</f>
        <v>0.4239</v>
      </c>
      <c r="AI9" s="21">
        <f>_xll.BDH("CRM US Equity","CFO_TO_AVG_CURRENT_LIABILITIES","FQ2 2020","FQ2 2020","Currency=USD","Period=FQ","BEST_FPERIOD_OVERRIDE=FQ","FILING_STATUS=MR","Sort=A","Dates=H","DateFormat=P","Fill=—","Direction=H","UseDPDF=Y")</f>
        <v>0.41510000000000002</v>
      </c>
      <c r="AJ9" s="21">
        <f>_xll.BDH("CRM US Equity","CFO_TO_AVG_CURRENT_LIABILITIES","FQ3 2020","FQ3 2020","Currency=USD","Period=FQ","BEST_FPERIOD_OVERRIDE=FQ","FILING_STATUS=MR","Sort=A","Dates=H","DateFormat=P","Fill=—","Direction=H","UseDPDF=Y")</f>
        <v>0.43569999999999998</v>
      </c>
      <c r="AK9" s="21">
        <f>_xll.BDH("CRM US Equity","CFO_TO_AVG_CURRENT_LIABILITIES","FQ4 2020","FQ4 2020","Currency=USD","Period=FQ","BEST_FPERIOD_OVERRIDE=FQ","FILING_STATUS=MR","Sort=A","Dates=H","DateFormat=P","Fill=—","Direction=H","UseDPDF=Y")</f>
        <v>0.33179999999999998</v>
      </c>
      <c r="AL9" s="21">
        <f>_xll.BDH("CRM US Equity","CFO_TO_AVG_CURRENT_LIABILITIES","FQ1 2021","FQ1 2021","Currency=USD","Period=FQ","BEST_FPERIOD_OVERRIDE=FQ","FILING_STATUS=MR","Sort=A","Dates=H","DateFormat=P","Fill=—","Direction=H","UseDPDF=Y")</f>
        <v>0.36209999999999998</v>
      </c>
      <c r="AM9" s="21">
        <f>_xll.BDH("CRM US Equity","CFO_TO_AVG_CURRENT_LIABILITIES","FQ2 2021","FQ2 2021","Currency=USD","Period=FQ","BEST_FPERIOD_OVERRIDE=FQ","FILING_STATUS=MR","Sort=A","Dates=H","DateFormat=P","Fill=—","Direction=H","UseDPDF=Y")</f>
        <v>0.36420000000000002</v>
      </c>
      <c r="AN9" s="21">
        <f>_xll.BDH("CRM US Equity","CFO_TO_AVG_CURRENT_LIABILITIES","FQ3 2021","FQ3 2021","Currency=USD","Period=FQ","BEST_FPERIOD_OVERRIDE=FQ","FILING_STATUS=MR","Sort=A","Dates=H","DateFormat=P","Fill=—","Direction=H","UseDPDF=Y")</f>
        <v>0.37509999999999999</v>
      </c>
      <c r="AO9" s="21">
        <f>_xll.BDH("CRM US Equity","CFO_TO_AVG_CURRENT_LIABILITIES","FQ4 2021","FQ4 2021","Currency=USD","Period=FQ","BEST_FPERIOD_OVERRIDE=FQ","FILING_STATUS=MR","Sort=A","Dates=H","DateFormat=P","Fill=—","Direction=H","UseDPDF=Y")</f>
        <v>0.29470000000000002</v>
      </c>
      <c r="AP9" s="21">
        <f>_xll.BDH("CRM US Equity","CFO_TO_AVG_CURRENT_LIABILITIES","FQ1 2022","FQ1 2022","Currency=USD","Period=FQ","BEST_FPERIOD_OVERRIDE=FQ","FILING_STATUS=MR","Sort=A","Dates=H","DateFormat=P","Fill=—","Direction=H","UseDPDF=Y")</f>
        <v>0.438</v>
      </c>
    </row>
    <row r="10" spans="1:42" x14ac:dyDescent="0.25">
      <c r="A10" s="8" t="s">
        <v>185</v>
      </c>
      <c r="B10" s="8" t="s">
        <v>184</v>
      </c>
      <c r="C10" s="21">
        <f>_xll.BDH("CRM US Equity","COM_EQY_TO_TOT_ASSET","FQ2 2012","FQ2 2012","Currency=USD","Period=FQ","BEST_FPERIOD_OVERRIDE=FQ","FILING_STATUS=MR","Sort=A","Dates=H","DateFormat=P","Fill=—","Direction=H","UseDPDF=Y")</f>
        <v>44.102600000000002</v>
      </c>
      <c r="D10" s="21">
        <f>_xll.BDH("CRM US Equity","COM_EQY_TO_TOT_ASSET","FQ3 2012","FQ3 2012","Currency=USD","Period=FQ","BEST_FPERIOD_OVERRIDE=FQ","FILING_STATUS=MR","Sort=A","Dates=H","DateFormat=P","Fill=—","Direction=H","UseDPDF=Y")</f>
        <v>45.087899999999998</v>
      </c>
      <c r="E10" s="21">
        <f>_xll.BDH("CRM US Equity","COM_EQY_TO_TOT_ASSET","FQ4 2012","FQ4 2012","Currency=USD","Period=FQ","BEST_FPERIOD_OVERRIDE=FQ","FILING_STATUS=MR","Sort=A","Dates=H","DateFormat=P","Fill=—","Direction=H","UseDPDF=Y")</f>
        <v>40.010599999999997</v>
      </c>
      <c r="F10" s="21">
        <f>_xll.BDH("CRM US Equity","COM_EQY_TO_TOT_ASSET","FQ1 2013","FQ1 2013","Currency=USD","Period=FQ","BEST_FPERIOD_OVERRIDE=FQ","FILING_STATUS=MR","Sort=A","Dates=H","DateFormat=P","Fill=—","Direction=H","UseDPDF=Y")</f>
        <v>43.545000000000002</v>
      </c>
      <c r="G10" s="21">
        <f>_xll.BDH("CRM US Equity","COM_EQY_TO_TOT_ASSET","FQ2 2013","FQ2 2013","Currency=USD","Period=FQ","BEST_FPERIOD_OVERRIDE=FQ","FILING_STATUS=MR","Sort=A","Dates=H","DateFormat=P","Fill=—","Direction=H","UseDPDF=Y")</f>
        <v>43.979799999999997</v>
      </c>
      <c r="H10" s="21">
        <f>_xll.BDH("CRM US Equity","COM_EQY_TO_TOT_ASSET","FQ3 2013","FQ3 2013","Currency=USD","Period=FQ","BEST_FPERIOD_OVERRIDE=FQ","FILING_STATUS=MR","Sort=A","Dates=H","DateFormat=P","Fill=—","Direction=H","UseDPDF=Y")</f>
        <v>46.175800000000002</v>
      </c>
      <c r="I10" s="21">
        <f>_xll.BDH("CRM US Equity","COM_EQY_TO_TOT_ASSET","FQ4 2013","FQ4 2013","Currency=USD","Period=FQ","BEST_FPERIOD_OVERRIDE=FQ","FILING_STATUS=MR","Sort=A","Dates=H","DateFormat=P","Fill=—","Direction=H","UseDPDF=Y")</f>
        <v>42.887799999999999</v>
      </c>
      <c r="J10" s="21">
        <f>_xll.BDH("CRM US Equity","COM_EQY_TO_TOT_ASSET","FQ1 2014","FQ1 2014","Currency=USD","Period=FQ","BEST_FPERIOD_OVERRIDE=FQ","FILING_STATUS=MR","Sort=A","Dates=H","DateFormat=P","Fill=—","Direction=H","UseDPDF=Y")</f>
        <v>38.532200000000003</v>
      </c>
      <c r="K10" s="21">
        <f>_xll.BDH("CRM US Equity","COM_EQY_TO_TOT_ASSET","FQ2 2014","FQ2 2014","Currency=USD","Period=FQ","BEST_FPERIOD_OVERRIDE=FQ","FILING_STATUS=MR","Sort=A","Dates=H","DateFormat=P","Fill=—","Direction=H","UseDPDF=Y")</f>
        <v>35.874299999999998</v>
      </c>
      <c r="L10" s="21">
        <f>_xll.BDH("CRM US Equity","COM_EQY_TO_TOT_ASSET","FQ3 2014","FQ3 2014","Currency=USD","Period=FQ","BEST_FPERIOD_OVERRIDE=FQ","FILING_STATUS=MR","Sort=A","Dates=H","DateFormat=P","Fill=—","Direction=H","UseDPDF=Y")</f>
        <v>36.382100000000001</v>
      </c>
      <c r="M10" s="21">
        <f>_xll.BDH("CRM US Equity","COM_EQY_TO_TOT_ASSET","FQ4 2014","FQ4 2014","Currency=USD","Period=FQ","BEST_FPERIOD_OVERRIDE=FQ","FILING_STATUS=MR","Sort=A","Dates=H","DateFormat=P","Fill=—","Direction=H","UseDPDF=Y")</f>
        <v>33.488900000000001</v>
      </c>
      <c r="N10" s="21">
        <f>_xll.BDH("CRM US Equity","COM_EQY_TO_TOT_ASSET","FQ1 2015","FQ1 2015","Currency=USD","Period=FQ","BEST_FPERIOD_OVERRIDE=FQ","FILING_STATUS=MR","Sort=A","Dates=H","DateFormat=P","Fill=—","Direction=H","UseDPDF=Y")</f>
        <v>36.358400000000003</v>
      </c>
      <c r="O10" s="21">
        <f>_xll.BDH("CRM US Equity","COM_EQY_TO_TOT_ASSET","FQ2 2015","FQ2 2015","Currency=USD","Period=FQ","BEST_FPERIOD_OVERRIDE=FQ","FILING_STATUS=MR","Sort=A","Dates=H","DateFormat=P","Fill=—","Direction=H","UseDPDF=Y")</f>
        <v>36.701500000000003</v>
      </c>
      <c r="P10" s="21">
        <f>_xll.BDH("CRM US Equity","COM_EQY_TO_TOT_ASSET","FQ3 2015","FQ3 2015","Currency=USD","Period=FQ","BEST_FPERIOD_OVERRIDE=FQ","FILING_STATUS=MR","Sort=A","Dates=H","DateFormat=P","Fill=—","Direction=H","UseDPDF=Y")</f>
        <v>40.291400000000003</v>
      </c>
      <c r="Q10" s="21">
        <f>_xll.BDH("CRM US Equity","COM_EQY_TO_TOT_ASSET","FQ4 2015","FQ4 2015","Currency=USD","Period=FQ","BEST_FPERIOD_OVERRIDE=FQ","FILING_STATUS=MR","Sort=A","Dates=H","DateFormat=P","Fill=—","Direction=H","UseDPDF=Y")</f>
        <v>37.2727</v>
      </c>
      <c r="R10" s="21">
        <f>_xll.BDH("CRM US Equity","COM_EQY_TO_TOT_ASSET","FQ1 2016","FQ1 2016","Currency=USD","Period=FQ","BEST_FPERIOD_OVERRIDE=FQ","FILING_STATUS=MR","Sort=A","Dates=H","DateFormat=P","Fill=—","Direction=H","UseDPDF=Y")</f>
        <v>40.857900000000001</v>
      </c>
      <c r="S10" s="21">
        <f>_xll.BDH("CRM US Equity","COM_EQY_TO_TOT_ASSET","FQ2 2016","FQ2 2016","Currency=USD","Period=FQ","BEST_FPERIOD_OVERRIDE=FQ","FILING_STATUS=MR","Sort=A","Dates=H","DateFormat=P","Fill=—","Direction=H","UseDPDF=Y")</f>
        <v>42.021599999999999</v>
      </c>
      <c r="T10" s="21">
        <f>_xll.BDH("CRM US Equity","COM_EQY_TO_TOT_ASSET","FQ3 2016","FQ3 2016","Currency=USD","Period=FQ","BEST_FPERIOD_OVERRIDE=FQ","FILING_STATUS=MR","Sort=A","Dates=H","DateFormat=P","Fill=—","Direction=H","UseDPDF=Y")</f>
        <v>43.529800000000002</v>
      </c>
      <c r="U10" s="21">
        <f>_xll.BDH("CRM US Equity","COM_EQY_TO_TOT_ASSET","FQ4 2016","FQ4 2016","Currency=USD","Period=FQ","BEST_FPERIOD_OVERRIDE=FQ","FILING_STATUS=MR","Sort=A","Dates=H","DateFormat=P","Fill=—","Direction=H","UseDPDF=Y")</f>
        <v>39.198500000000003</v>
      </c>
      <c r="V10" s="21">
        <f>_xll.BDH("CRM US Equity","COM_EQY_TO_TOT_ASSET","FQ1 2017","FQ1 2017","Currency=USD","Period=FQ","BEST_FPERIOD_OVERRIDE=FQ","FILING_STATUS=MR","Sort=A","Dates=H","DateFormat=P","Fill=—","Direction=H","UseDPDF=Y")</f>
        <v>43.568300000000001</v>
      </c>
      <c r="W10" s="21">
        <f>_xll.BDH("CRM US Equity","COM_EQY_TO_TOT_ASSET","FQ2 2017","FQ2 2017","Currency=USD","Period=FQ","BEST_FPERIOD_OVERRIDE=FQ","FILING_STATUS=MR","Sort=A","Dates=H","DateFormat=P","Fill=—","Direction=H","UseDPDF=Y")</f>
        <v>42.642699999999998</v>
      </c>
      <c r="X10" s="21">
        <f>_xll.BDH("CRM US Equity","COM_EQY_TO_TOT_ASSET","FQ3 2017","FQ3 2017","Currency=USD","Period=FQ","BEST_FPERIOD_OVERRIDE=FQ","FILING_STATUS=MR","Sort=A","Dates=H","DateFormat=P","Fill=—","Direction=H","UseDPDF=Y")</f>
        <v>47.304699999999997</v>
      </c>
      <c r="Y10" s="21">
        <f>_xll.BDH("CRM US Equity","COM_EQY_TO_TOT_ASSET","FQ4 2017","FQ4 2017","Currency=USD","Period=FQ","BEST_FPERIOD_OVERRIDE=FQ","FILING_STATUS=MR","Sort=A","Dates=H","DateFormat=P","Fill=—","Direction=H","UseDPDF=Y")</f>
        <v>42.6509</v>
      </c>
      <c r="Z10" s="21">
        <f>_xll.BDH("CRM US Equity","COM_EQY_TO_TOT_ASSET","FQ1 2018","FQ1 2018","Currency=USD","Period=FQ","BEST_FPERIOD_OVERRIDE=FQ","FILING_STATUS=MR","Sort=A","Dates=H","DateFormat=P","Fill=—","Direction=H","UseDPDF=Y")</f>
        <v>46.5122</v>
      </c>
      <c r="AA10" s="21">
        <f>_xll.BDH("CRM US Equity","COM_EQY_TO_TOT_ASSET","FQ2 2018","FQ2 2018","Currency=USD","Period=FQ","BEST_FPERIOD_OVERRIDE=FQ","FILING_STATUS=MR","Sort=A","Dates=H","DateFormat=P","Fill=—","Direction=H","UseDPDF=Y")</f>
        <v>48.617199999999997</v>
      </c>
      <c r="AB10" s="21">
        <f>_xll.BDH("CRM US Equity","COM_EQY_TO_TOT_ASSET","FQ3 2018","FQ3 2018","Currency=USD","Period=FQ","BEST_FPERIOD_OVERRIDE=FQ","FILING_STATUS=MR","Sort=A","Dates=H","DateFormat=P","Fill=—","Direction=H","UseDPDF=Y")</f>
        <v>50.482300000000002</v>
      </c>
      <c r="AC10" s="21">
        <f>_xll.BDH("CRM US Equity","COM_EQY_TO_TOT_ASSET","FQ4 2018","FQ4 2018","Currency=USD","Period=FQ","BEST_FPERIOD_OVERRIDE=FQ","FILING_STATUS=MR","Sort=A","Dates=H","DateFormat=P","Fill=—","Direction=H","UseDPDF=Y")</f>
        <v>47.198</v>
      </c>
      <c r="AD10" s="21">
        <f>_xll.BDH("CRM US Equity","COM_EQY_TO_TOT_ASSET","FQ1 2019","FQ1 2019","Currency=USD","Period=FQ","BEST_FPERIOD_OVERRIDE=FQ","FILING_STATUS=MR","Sort=A","Dates=H","DateFormat=P","Fill=—","Direction=H","UseDPDF=Y")</f>
        <v>48.164400000000001</v>
      </c>
      <c r="AE10" s="21">
        <f>_xll.BDH("CRM US Equity","COM_EQY_TO_TOT_ASSET","FQ2 2019","FQ2 2019","Currency=USD","Period=FQ","BEST_FPERIOD_OVERRIDE=FQ","FILING_STATUS=MR","Sort=A","Dates=H","DateFormat=P","Fill=—","Direction=H","UseDPDF=Y")</f>
        <v>52.3874</v>
      </c>
      <c r="AF10" s="21">
        <f>_xll.BDH("CRM US Equity","COM_EQY_TO_TOT_ASSET","FQ3 2019","FQ3 2019","Currency=USD","Period=FQ","BEST_FPERIOD_OVERRIDE=FQ","FILING_STATUS=MR","Sort=A","Dates=H","DateFormat=P","Fill=—","Direction=H","UseDPDF=Y")</f>
        <v>55.261800000000001</v>
      </c>
      <c r="AG10" s="21">
        <f>_xll.BDH("CRM US Equity","COM_EQY_TO_TOT_ASSET","FQ4 2019","FQ4 2019","Currency=USD","Period=FQ","BEST_FPERIOD_OVERRIDE=FQ","FILING_STATUS=MR","Sort=A","Dates=H","DateFormat=P","Fill=—","Direction=H","UseDPDF=Y")</f>
        <v>50.769399999999997</v>
      </c>
      <c r="AH10" s="21">
        <f>_xll.BDH("CRM US Equity","COM_EQY_TO_TOT_ASSET","FQ1 2020","FQ1 2020","Currency=USD","Period=FQ","BEST_FPERIOD_OVERRIDE=FQ","FILING_STATUS=MR","Sort=A","Dates=H","DateFormat=P","Fill=—","Direction=H","UseDPDF=Y")</f>
        <v>49.604900000000001</v>
      </c>
      <c r="AI10" s="21">
        <f>_xll.BDH("CRM US Equity","COM_EQY_TO_TOT_ASSET","FQ2 2020","FQ2 2020","Currency=USD","Period=FQ","BEST_FPERIOD_OVERRIDE=FQ","FILING_STATUS=MR","Sort=A","Dates=H","DateFormat=P","Fill=—","Direction=H","UseDPDF=Y")</f>
        <v>51.493899999999996</v>
      </c>
      <c r="AJ10" s="21">
        <f>_xll.BDH("CRM US Equity","COM_EQY_TO_TOT_ASSET","FQ3 2020","FQ3 2020","Currency=USD","Period=FQ","BEST_FPERIOD_OVERRIDE=FQ","FILING_STATUS=MR","Sort=A","Dates=H","DateFormat=P","Fill=—","Direction=H","UseDPDF=Y")</f>
        <v>66.635300000000001</v>
      </c>
      <c r="AK10" s="21">
        <f>_xll.BDH("CRM US Equity","COM_EQY_TO_TOT_ASSET","FQ4 2020","FQ4 2020","Currency=USD","Period=FQ","BEST_FPERIOD_OVERRIDE=FQ","FILING_STATUS=MR","Sort=A","Dates=H","DateFormat=P","Fill=—","Direction=H","UseDPDF=Y")</f>
        <v>61.468299999999999</v>
      </c>
      <c r="AL10" s="21">
        <f>_xll.BDH("CRM US Equity","COM_EQY_TO_TOT_ASSET","FQ1 2021","FQ1 2021","Currency=USD","Period=FQ","BEST_FPERIOD_OVERRIDE=FQ","FILING_STATUS=MR","Sort=A","Dates=H","DateFormat=P","Fill=—","Direction=H","UseDPDF=Y")</f>
        <v>64.459299999999999</v>
      </c>
      <c r="AM10" s="21">
        <f>_xll.BDH("CRM US Equity","COM_EQY_TO_TOT_ASSET","FQ2 2021","FQ2 2021","Currency=USD","Period=FQ","BEST_FPERIOD_OVERRIDE=FQ","FILING_STATUS=MR","Sort=A","Dates=H","DateFormat=P","Fill=—","Direction=H","UseDPDF=Y")</f>
        <v>66.528199999999998</v>
      </c>
      <c r="AN10" s="21">
        <f>_xll.BDH("CRM US Equity","COM_EQY_TO_TOT_ASSET","FQ3 2021","FQ3 2021","Currency=USD","Period=FQ","BEST_FPERIOD_OVERRIDE=FQ","FILING_STATUS=MR","Sort=A","Dates=H","DateFormat=P","Fill=—","Direction=H","UseDPDF=Y")</f>
        <v>68.164900000000003</v>
      </c>
      <c r="AO10" s="21">
        <f>_xll.BDH("CRM US Equity","COM_EQY_TO_TOT_ASSET","FQ4 2021","FQ4 2021","Currency=USD","Period=FQ","BEST_FPERIOD_OVERRIDE=FQ","FILING_STATUS=MR","Sort=A","Dates=H","DateFormat=P","Fill=—","Direction=H","UseDPDF=Y")</f>
        <v>62.582799999999999</v>
      </c>
      <c r="AP10" s="21">
        <f>_xll.BDH("CRM US Equity","COM_EQY_TO_TOT_ASSET","FQ1 2022","FQ1 2022","Currency=USD","Period=FQ","BEST_FPERIOD_OVERRIDE=FQ","FILING_STATUS=MR","Sort=A","Dates=H","DateFormat=P","Fill=—","Direction=H","UseDPDF=Y")</f>
        <v>65.603800000000007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183</v>
      </c>
      <c r="B12" s="8" t="s">
        <v>182</v>
      </c>
      <c r="C12" s="21">
        <f>_xll.BDH("CRM US Equity","LT_DEBT_TO_TOT_EQY","FQ2 2012","FQ2 2012","Currency=USD","Period=FQ","BEST_FPERIOD_OVERRIDE=FQ","FILING_STATUS=MR","Sort=A","Dates=H","DateFormat=P","Fill=—","Direction=H","UseDPDF=Y")</f>
        <v>0</v>
      </c>
      <c r="D12" s="21">
        <f>_xll.BDH("CRM US Equity","LT_DEBT_TO_TOT_EQY","FQ3 2012","FQ3 2012","Currency=USD","Period=FQ","BEST_FPERIOD_OVERRIDE=FQ","FILING_STATUS=MR","Sort=A","Dates=H","DateFormat=P","Fill=—","Direction=H","UseDPDF=Y")</f>
        <v>0</v>
      </c>
      <c r="E12" s="21">
        <f>_xll.BDH("CRM US Equity","LT_DEBT_TO_TOT_EQY","FQ4 2012","FQ4 2012","Currency=USD","Period=FQ","BEST_FPERIOD_OVERRIDE=FQ","FILING_STATUS=MR","Sort=A","Dates=H","DateFormat=P","Fill=—","Direction=H","UseDPDF=Y")</f>
        <v>0</v>
      </c>
      <c r="F12" s="21">
        <f>_xll.BDH("CRM US Equity","LT_DEBT_TO_TOT_EQY","FQ1 2013","FQ1 2013","Currency=USD","Period=FQ","BEST_FPERIOD_OVERRIDE=FQ","FILING_STATUS=MR","Sort=A","Dates=H","DateFormat=P","Fill=—","Direction=H","UseDPDF=Y")</f>
        <v>27.756399999999999</v>
      </c>
      <c r="G12" s="21">
        <f>_xll.BDH("CRM US Equity","LT_DEBT_TO_TOT_EQY","FQ2 2013","FQ2 2013","Currency=USD","Period=FQ","BEST_FPERIOD_OVERRIDE=FQ","FILING_STATUS=MR","Sort=A","Dates=H","DateFormat=P","Fill=—","Direction=H","UseDPDF=Y")</f>
        <v>0</v>
      </c>
      <c r="H12" s="21">
        <f>_xll.BDH("CRM US Equity","LT_DEBT_TO_TOT_EQY","FQ3 2013","FQ3 2013","Currency=USD","Period=FQ","BEST_FPERIOD_OVERRIDE=FQ","FILING_STATUS=MR","Sort=A","Dates=H","DateFormat=P","Fill=—","Direction=H","UseDPDF=Y")</f>
        <v>0</v>
      </c>
      <c r="I12" s="21">
        <f>_xll.BDH("CRM US Equity","LT_DEBT_TO_TOT_EQY","FQ4 2013","FQ4 2013","Currency=USD","Period=FQ","BEST_FPERIOD_OVERRIDE=FQ","FILING_STATUS=MR","Sort=A","Dates=H","DateFormat=P","Fill=—","Direction=H","UseDPDF=Y")</f>
        <v>2.6489000000000003</v>
      </c>
      <c r="J12" s="21">
        <f>_xll.BDH("CRM US Equity","LT_DEBT_TO_TOT_EQY","FQ1 2014","FQ1 2014","Currency=USD","Period=FQ","BEST_FPERIOD_OVERRIDE=FQ","FILING_STATUS=MR","Sort=A","Dates=H","DateFormat=P","Fill=—","Direction=H","UseDPDF=Y")</f>
        <v>43.440899999999999</v>
      </c>
      <c r="K12" s="21">
        <f>_xll.BDH("CRM US Equity","LT_DEBT_TO_TOT_EQY","FQ2 2014","FQ2 2014","Currency=USD","Period=FQ","BEST_FPERIOD_OVERRIDE=FQ","FILING_STATUS=MR","Sort=A","Dates=H","DateFormat=P","Fill=—","Direction=H","UseDPDF=Y")</f>
        <v>63.736699999999999</v>
      </c>
      <c r="L12" s="21">
        <f>_xll.BDH("CRM US Equity","LT_DEBT_TO_TOT_EQY","FQ3 2014","FQ3 2014","Currency=USD","Period=FQ","BEST_FPERIOD_OVERRIDE=FQ","FILING_STATUS=MR","Sort=A","Dates=H","DateFormat=P","Fill=—","Direction=H","UseDPDF=Y")</f>
        <v>61.851599999999998</v>
      </c>
      <c r="M12" s="21">
        <f>_xll.BDH("CRM US Equity","LT_DEBT_TO_TOT_EQY","FQ4 2014","FQ4 2014","Currency=USD","Period=FQ","BEST_FPERIOD_OVERRIDE=FQ","FILING_STATUS=MR","Sort=A","Dates=H","DateFormat=P","Fill=—","Direction=H","UseDPDF=Y")</f>
        <v>59.381599999999999</v>
      </c>
      <c r="N12" s="21">
        <f>_xll.BDH("CRM US Equity","LT_DEBT_TO_TOT_EQY","FQ1 2015","FQ1 2015","Currency=USD","Period=FQ","BEST_FPERIOD_OVERRIDE=FQ","FILING_STATUS=MR","Sort=A","Dates=H","DateFormat=P","Fill=—","Direction=H","UseDPDF=Y")</f>
        <v>49.854300000000002</v>
      </c>
      <c r="O12" s="21">
        <f>_xll.BDH("CRM US Equity","LT_DEBT_TO_TOT_EQY","FQ2 2015","FQ2 2015","Currency=USD","Period=FQ","BEST_FPERIOD_OVERRIDE=FQ","FILING_STATUS=MR","Sort=A","Dates=H","DateFormat=P","Fill=—","Direction=H","UseDPDF=Y")</f>
        <v>55.745600000000003</v>
      </c>
      <c r="P12" s="21">
        <f>_xll.BDH("CRM US Equity","LT_DEBT_TO_TOT_EQY","FQ3 2015","FQ3 2015","Currency=USD","Period=FQ","BEST_FPERIOD_OVERRIDE=FQ","FILING_STATUS=MR","Sort=A","Dates=H","DateFormat=P","Fill=—","Direction=H","UseDPDF=Y")</f>
        <v>51.084099999999999</v>
      </c>
      <c r="Q12" s="21">
        <f>_xll.BDH("CRM US Equity","LT_DEBT_TO_TOT_EQY","FQ4 2015","FQ4 2015","Currency=USD","Period=FQ","BEST_FPERIOD_OVERRIDE=FQ","FILING_STATUS=MR","Sort=A","Dates=H","DateFormat=P","Fill=—","Direction=H","UseDPDF=Y")</f>
        <v>48.741399999999999</v>
      </c>
      <c r="R12" s="21">
        <f>_xll.BDH("CRM US Equity","LT_DEBT_TO_TOT_EQY","FQ1 2016","FQ1 2016","Currency=USD","Period=FQ","BEST_FPERIOD_OVERRIDE=FQ","FILING_STATUS=MR","Sort=A","Dates=H","DateFormat=P","Fill=—","Direction=H","UseDPDF=Y")</f>
        <v>25.423300000000001</v>
      </c>
      <c r="S12" s="21">
        <f>_xll.BDH("CRM US Equity","LT_DEBT_TO_TOT_EQY","FQ2 2016","FQ2 2016","Currency=USD","Period=FQ","BEST_FPERIOD_OVERRIDE=FQ","FILING_STATUS=MR","Sort=A","Dates=H","DateFormat=P","Fill=—","Direction=H","UseDPDF=Y")</f>
        <v>39.623100000000001</v>
      </c>
      <c r="T12" s="21">
        <f>_xll.BDH("CRM US Equity","LT_DEBT_TO_TOT_EQY","FQ3 2016","FQ3 2016","Currency=USD","Period=FQ","BEST_FPERIOD_OVERRIDE=FQ","FILING_STATUS=MR","Sort=A","Dates=H","DateFormat=P","Fill=—","Direction=H","UseDPDF=Y")</f>
        <v>37.802900000000001</v>
      </c>
      <c r="U12" s="21">
        <f>_xll.BDH("CRM US Equity","LT_DEBT_TO_TOT_EQY","FQ4 2016","FQ4 2016","Currency=USD","Period=FQ","BEST_FPERIOD_OVERRIDE=FQ","FILING_STATUS=MR","Sort=A","Dates=H","DateFormat=P","Fill=—","Direction=H","UseDPDF=Y")</f>
        <v>25.707100000000001</v>
      </c>
      <c r="V12" s="21">
        <f>_xll.BDH("CRM US Equity","LT_DEBT_TO_TOT_EQY","FQ1 2017","FQ1 2017","Currency=USD","Period=FQ","BEST_FPERIOD_OVERRIDE=FQ","FILING_STATUS=MR","Sort=A","Dates=H","DateFormat=P","Fill=—","Direction=H","UseDPDF=Y")</f>
        <v>31.192499999999999</v>
      </c>
      <c r="W12" s="21">
        <f>_xll.BDH("CRM US Equity","LT_DEBT_TO_TOT_EQY","FQ2 2017","FQ2 2017","Currency=USD","Period=FQ","BEST_FPERIOD_OVERRIDE=FQ","FILING_STATUS=MR","Sort=A","Dates=H","DateFormat=P","Fill=—","Direction=H","UseDPDF=Y")</f>
        <v>29.301400000000001</v>
      </c>
      <c r="X12" s="21">
        <f>_xll.BDH("CRM US Equity","LT_DEBT_TO_TOT_EQY","FQ3 2017","FQ3 2017","Currency=USD","Period=FQ","BEST_FPERIOD_OVERRIDE=FQ","FILING_STATUS=MR","Sort=A","Dates=H","DateFormat=P","Fill=—","Direction=H","UseDPDF=Y")</f>
        <v>26.511299999999999</v>
      </c>
      <c r="Y12" s="21">
        <f>_xll.BDH("CRM US Equity","LT_DEBT_TO_TOT_EQY","FQ4 2017","FQ4 2017","Currency=USD","Period=FQ","BEST_FPERIOD_OVERRIDE=FQ","FILING_STATUS=MR","Sort=A","Dates=H","DateFormat=P","Fill=—","Direction=H","UseDPDF=Y")</f>
        <v>26.778099999999998</v>
      </c>
      <c r="Z12" s="21">
        <f>_xll.BDH("CRM US Equity","LT_DEBT_TO_TOT_EQY","FQ1 2018","FQ1 2018","Currency=USD","Period=FQ","BEST_FPERIOD_OVERRIDE=FQ","FILING_STATUS=MR","Sort=A","Dates=H","DateFormat=P","Fill=—","Direction=H","UseDPDF=Y")</f>
        <v>8.7698999999999998</v>
      </c>
      <c r="AA12" s="21">
        <f>_xll.BDH("CRM US Equity","LT_DEBT_TO_TOT_EQY","FQ2 2018","FQ2 2018","Currency=USD","Period=FQ","BEST_FPERIOD_OVERRIDE=FQ","FILING_STATUS=MR","Sort=A","Dates=H","DateFormat=P","Fill=—","Direction=H","UseDPDF=Y")</f>
        <v>8.2210000000000001</v>
      </c>
      <c r="AB12" s="21">
        <f>_xll.BDH("CRM US Equity","LT_DEBT_TO_TOT_EQY","FQ3 2018","FQ3 2018","Currency=USD","Period=FQ","BEST_FPERIOD_OVERRIDE=FQ","FILING_STATUS=MR","Sort=A","Dates=H","DateFormat=P","Fill=—","Direction=H","UseDPDF=Y")</f>
        <v>8.0114000000000001</v>
      </c>
      <c r="AC12" s="21">
        <f>_xll.BDH("CRM US Equity","LT_DEBT_TO_TOT_EQY","FQ4 2018","FQ4 2018","Currency=USD","Period=FQ","BEST_FPERIOD_OVERRIDE=FQ","FILING_STATUS=MR","Sort=A","Dates=H","DateFormat=P","Fill=—","Direction=H","UseDPDF=Y")</f>
        <v>6.6981000000000002</v>
      </c>
      <c r="AD12" s="21">
        <f>_xll.BDH("CRM US Equity","LT_DEBT_TO_TOT_EQY","FQ1 2019","FQ1 2019","Currency=USD","Period=FQ","BEST_FPERIOD_OVERRIDE=FQ","FILING_STATUS=MR","Sort=A","Dates=H","DateFormat=P","Fill=—","Direction=H","UseDPDF=Y")</f>
        <v>28.6799</v>
      </c>
      <c r="AE12" s="21">
        <f>_xll.BDH("CRM US Equity","LT_DEBT_TO_TOT_EQY","FQ2 2019","FQ2 2019","Currency=USD","Period=FQ","BEST_FPERIOD_OVERRIDE=FQ","FILING_STATUS=MR","Sort=A","Dates=H","DateFormat=P","Fill=—","Direction=H","UseDPDF=Y")</f>
        <v>23.455100000000002</v>
      </c>
      <c r="AF12" s="21">
        <f>_xll.BDH("CRM US Equity","LT_DEBT_TO_TOT_EQY","FQ3 2019","FQ3 2019","Currency=USD","Period=FQ","BEST_FPERIOD_OVERRIDE=FQ","FILING_STATUS=MR","Sort=A","Dates=H","DateFormat=P","Fill=—","Direction=H","UseDPDF=Y")</f>
        <v>21.595300000000002</v>
      </c>
      <c r="AG12" s="21">
        <f>_xll.BDH("CRM US Equity","LT_DEBT_TO_TOT_EQY","FQ4 2019","FQ4 2019","Currency=USD","Period=FQ","BEST_FPERIOD_OVERRIDE=FQ","FILING_STATUS=MR","Sort=A","Dates=H","DateFormat=P","Fill=—","Direction=H","UseDPDF=Y")</f>
        <v>21.538</v>
      </c>
      <c r="AH12" s="21">
        <f>_xll.BDH("CRM US Equity","LT_DEBT_TO_TOT_EQY","FQ1 2020","FQ1 2020","Currency=USD","Period=FQ","BEST_FPERIOD_OVERRIDE=FQ","FILING_STATUS=MR","Sort=A","Dates=H","DateFormat=P","Fill=—","Direction=H","UseDPDF=Y")</f>
        <v>35.941899999999997</v>
      </c>
      <c r="AI12" s="21">
        <f>_xll.BDH("CRM US Equity","LT_DEBT_TO_TOT_EQY","FQ2 2020","FQ2 2020","Currency=USD","Period=FQ","BEST_FPERIOD_OVERRIDE=FQ","FILING_STATUS=MR","Sort=A","Dates=H","DateFormat=P","Fill=—","Direction=H","UseDPDF=Y")</f>
        <v>32.890599999999999</v>
      </c>
      <c r="AJ12" s="21">
        <f>_xll.BDH("CRM US Equity","LT_DEBT_TO_TOT_EQY","FQ3 2020","FQ3 2020","Currency=USD","Period=FQ","BEST_FPERIOD_OVERRIDE=FQ","FILING_STATUS=MR","Sort=A","Dates=H","DateFormat=P","Fill=—","Direction=H","UseDPDF=Y")</f>
        <v>17.097899999999999</v>
      </c>
      <c r="AK12" s="21">
        <f>_xll.BDH("CRM US Equity","LT_DEBT_TO_TOT_EQY","FQ4 2020","FQ4 2020","Currency=USD","Period=FQ","BEST_FPERIOD_OVERRIDE=FQ","FILING_STATUS=MR","Sort=A","Dates=H","DateFormat=P","Fill=—","Direction=H","UseDPDF=Y")</f>
        <v>16.071999999999999</v>
      </c>
      <c r="AL12" s="21">
        <f>_xll.BDH("CRM US Equity","LT_DEBT_TO_TOT_EQY","FQ1 2021","FQ1 2021","Currency=USD","Period=FQ","BEST_FPERIOD_OVERRIDE=FQ","FILING_STATUS=MR","Sort=A","Dates=H","DateFormat=P","Fill=—","Direction=H","UseDPDF=Y")</f>
        <v>14.7288</v>
      </c>
      <c r="AM12" s="21">
        <f>_xll.BDH("CRM US Equity","LT_DEBT_TO_TOT_EQY","FQ2 2021","FQ2 2021","Currency=USD","Period=FQ","BEST_FPERIOD_OVERRIDE=FQ","FILING_STATUS=MR","Sort=A","Dates=H","DateFormat=P","Fill=—","Direction=H","UseDPDF=Y")</f>
        <v>14.058299999999999</v>
      </c>
      <c r="AN12" s="21">
        <f>_xll.BDH("CRM US Equity","LT_DEBT_TO_TOT_EQY","FQ3 2021","FQ3 2021","Currency=USD","Period=FQ","BEST_FPERIOD_OVERRIDE=FQ","FILING_STATUS=MR","Sort=A","Dates=H","DateFormat=P","Fill=—","Direction=H","UseDPDF=Y")</f>
        <v>13.510300000000001</v>
      </c>
      <c r="AO12" s="21">
        <f>_xll.BDH("CRM US Equity","LT_DEBT_TO_TOT_EQY","FQ4 2021","FQ4 2021","Currency=USD","Period=FQ","BEST_FPERIOD_OVERRIDE=FQ","FILING_STATUS=MR","Sort=A","Dates=H","DateFormat=P","Fill=—","Direction=H","UseDPDF=Y")</f>
        <v>13.5059</v>
      </c>
      <c r="AP12" s="21">
        <f>_xll.BDH("CRM US Equity","LT_DEBT_TO_TOT_EQY","FQ1 2022","FQ1 2022","Currency=USD","Period=FQ","BEST_FPERIOD_OVERRIDE=FQ","FILING_STATUS=MR","Sort=A","Dates=H","DateFormat=P","Fill=—","Direction=H","UseDPDF=Y")</f>
        <v>12.6906</v>
      </c>
    </row>
    <row r="13" spans="1:42" x14ac:dyDescent="0.25">
      <c r="A13" s="8" t="s">
        <v>181</v>
      </c>
      <c r="B13" s="8" t="s">
        <v>180</v>
      </c>
      <c r="C13" s="21">
        <f>_xll.BDH("CRM US Equity","LT_DEBT_TO_TOT_CAP","FQ2 2012","FQ2 2012","Currency=USD","Period=FQ","BEST_FPERIOD_OVERRIDE=FQ","FILING_STATUS=MR","Sort=A","Dates=H","DateFormat=P","Fill=—","Direction=H","UseDPDF=Y")</f>
        <v>0</v>
      </c>
      <c r="D13" s="21">
        <f>_xll.BDH("CRM US Equity","LT_DEBT_TO_TOT_CAP","FQ3 2012","FQ3 2012","Currency=USD","Period=FQ","BEST_FPERIOD_OVERRIDE=FQ","FILING_STATUS=MR","Sort=A","Dates=H","DateFormat=P","Fill=—","Direction=H","UseDPDF=Y")</f>
        <v>0</v>
      </c>
      <c r="E13" s="21">
        <f>_xll.BDH("CRM US Equity","LT_DEBT_TO_TOT_CAP","FQ4 2012","FQ4 2012","Currency=USD","Period=FQ","BEST_FPERIOD_OVERRIDE=FQ","FILING_STATUS=MR","Sort=A","Dates=H","DateFormat=P","Fill=—","Direction=H","UseDPDF=Y")</f>
        <v>0</v>
      </c>
      <c r="F13" s="21">
        <f>_xll.BDH("CRM US Equity","LT_DEBT_TO_TOT_CAP","FQ1 2013","FQ1 2013","Currency=USD","Period=FQ","BEST_FPERIOD_OVERRIDE=FQ","FILING_STATUS=MR","Sort=A","Dates=H","DateFormat=P","Fill=—","Direction=H","UseDPDF=Y")</f>
        <v>21.725999999999999</v>
      </c>
      <c r="G13" s="21">
        <f>_xll.BDH("CRM US Equity","LT_DEBT_TO_TOT_CAP","FQ2 2013","FQ2 2013","Currency=USD","Period=FQ","BEST_FPERIOD_OVERRIDE=FQ","FILING_STATUS=MR","Sort=A","Dates=H","DateFormat=P","Fill=—","Direction=H","UseDPDF=Y")</f>
        <v>0</v>
      </c>
      <c r="H13" s="21">
        <f>_xll.BDH("CRM US Equity","LT_DEBT_TO_TOT_CAP","FQ3 2013","FQ3 2013","Currency=USD","Period=FQ","BEST_FPERIOD_OVERRIDE=FQ","FILING_STATUS=MR","Sort=A","Dates=H","DateFormat=P","Fill=—","Direction=H","UseDPDF=Y")</f>
        <v>0</v>
      </c>
      <c r="I13" s="21">
        <f>_xll.BDH("CRM US Equity","LT_DEBT_TO_TOT_CAP","FQ4 2013","FQ4 2013","Currency=USD","Period=FQ","BEST_FPERIOD_OVERRIDE=FQ","FILING_STATUS=MR","Sort=A","Dates=H","DateFormat=P","Fill=—","Direction=H","UseDPDF=Y")</f>
        <v>2.1254</v>
      </c>
      <c r="J13" s="21">
        <f>_xll.BDH("CRM US Equity","LT_DEBT_TO_TOT_CAP","FQ1 2014","FQ1 2014","Currency=USD","Period=FQ","BEST_FPERIOD_OVERRIDE=FQ","FILING_STATUS=MR","Sort=A","Dates=H","DateFormat=P","Fill=—","Direction=H","UseDPDF=Y")</f>
        <v>26.412600000000001</v>
      </c>
      <c r="K13" s="21">
        <f>_xll.BDH("CRM US Equity","LT_DEBT_TO_TOT_CAP","FQ2 2014","FQ2 2014","Currency=USD","Period=FQ","BEST_FPERIOD_OVERRIDE=FQ","FILING_STATUS=MR","Sort=A","Dates=H","DateFormat=P","Fill=—","Direction=H","UseDPDF=Y")</f>
        <v>34.738300000000002</v>
      </c>
      <c r="L13" s="21">
        <f>_xll.BDH("CRM US Equity","LT_DEBT_TO_TOT_CAP","FQ3 2014","FQ3 2014","Currency=USD","Period=FQ","BEST_FPERIOD_OVERRIDE=FQ","FILING_STATUS=MR","Sort=A","Dates=H","DateFormat=P","Fill=—","Direction=H","UseDPDF=Y")</f>
        <v>34.127400000000002</v>
      </c>
      <c r="M13" s="21">
        <f>_xll.BDH("CRM US Equity","LT_DEBT_TO_TOT_CAP","FQ4 2014","FQ4 2014","Currency=USD","Period=FQ","BEST_FPERIOD_OVERRIDE=FQ","FILING_STATUS=MR","Sort=A","Dates=H","DateFormat=P","Fill=—","Direction=H","UseDPDF=Y")</f>
        <v>33.351500000000001</v>
      </c>
      <c r="N13" s="21">
        <f>_xll.BDH("CRM US Equity","LT_DEBT_TO_TOT_CAP","FQ1 2015","FQ1 2015","Currency=USD","Period=FQ","BEST_FPERIOD_OVERRIDE=FQ","FILING_STATUS=MR","Sort=A","Dates=H","DateFormat=P","Fill=—","Direction=H","UseDPDF=Y")</f>
        <v>31.244299999999999</v>
      </c>
      <c r="O13" s="21">
        <f>_xll.BDH("CRM US Equity","LT_DEBT_TO_TOT_CAP","FQ2 2015","FQ2 2015","Currency=USD","Period=FQ","BEST_FPERIOD_OVERRIDE=FQ","FILING_STATUS=MR","Sort=A","Dates=H","DateFormat=P","Fill=—","Direction=H","UseDPDF=Y")</f>
        <v>33.853000000000002</v>
      </c>
      <c r="P13" s="21">
        <f>_xll.BDH("CRM US Equity","LT_DEBT_TO_TOT_CAP","FQ3 2015","FQ3 2015","Currency=USD","Period=FQ","BEST_FPERIOD_OVERRIDE=FQ","FILING_STATUS=MR","Sort=A","Dates=H","DateFormat=P","Fill=—","Direction=H","UseDPDF=Y")</f>
        <v>32.783299999999997</v>
      </c>
      <c r="Q13" s="21">
        <f>_xll.BDH("CRM US Equity","LT_DEBT_TO_TOT_CAP","FQ4 2015","FQ4 2015","Currency=USD","Period=FQ","BEST_FPERIOD_OVERRIDE=FQ","FILING_STATUS=MR","Sort=A","Dates=H","DateFormat=P","Fill=—","Direction=H","UseDPDF=Y")</f>
        <v>32.769199999999998</v>
      </c>
      <c r="R13" s="21">
        <f>_xll.BDH("CRM US Equity","LT_DEBT_TO_TOT_CAP","FQ1 2016","FQ1 2016","Currency=USD","Period=FQ","BEST_FPERIOD_OVERRIDE=FQ","FILING_STATUS=MR","Sort=A","Dates=H","DateFormat=P","Fill=—","Direction=H","UseDPDF=Y")</f>
        <v>20.27</v>
      </c>
      <c r="S13" s="21">
        <f>_xll.BDH("CRM US Equity","LT_DEBT_TO_TOT_CAP","FQ2 2016","FQ2 2016","Currency=USD","Period=FQ","BEST_FPERIOD_OVERRIDE=FQ","FILING_STATUS=MR","Sort=A","Dates=H","DateFormat=P","Fill=—","Direction=H","UseDPDF=Y")</f>
        <v>28.378599999999999</v>
      </c>
      <c r="T13" s="21">
        <f>_xll.BDH("CRM US Equity","LT_DEBT_TO_TOT_CAP","FQ3 2016","FQ3 2016","Currency=USD","Period=FQ","BEST_FPERIOD_OVERRIDE=FQ","FILING_STATUS=MR","Sort=A","Dates=H","DateFormat=P","Fill=—","Direction=H","UseDPDF=Y")</f>
        <v>27.432600000000001</v>
      </c>
      <c r="U13" s="21">
        <f>_xll.BDH("CRM US Equity","LT_DEBT_TO_TOT_CAP","FQ4 2016","FQ4 2016","Currency=USD","Period=FQ","BEST_FPERIOD_OVERRIDE=FQ","FILING_STATUS=MR","Sort=A","Dates=H","DateFormat=P","Fill=—","Direction=H","UseDPDF=Y")</f>
        <v>20.45</v>
      </c>
      <c r="V13" s="21">
        <f>_xll.BDH("CRM US Equity","LT_DEBT_TO_TOT_CAP","FQ1 2017","FQ1 2017","Currency=USD","Period=FQ","BEST_FPERIOD_OVERRIDE=FQ","FILING_STATUS=MR","Sort=A","Dates=H","DateFormat=P","Fill=—","Direction=H","UseDPDF=Y")</f>
        <v>23.7761</v>
      </c>
      <c r="W13" s="21">
        <f>_xll.BDH("CRM US Equity","LT_DEBT_TO_TOT_CAP","FQ2 2017","FQ2 2017","Currency=USD","Period=FQ","BEST_FPERIOD_OVERRIDE=FQ","FILING_STATUS=MR","Sort=A","Dates=H","DateFormat=P","Fill=—","Direction=H","UseDPDF=Y")</f>
        <v>22.661300000000001</v>
      </c>
      <c r="X13" s="21">
        <f>_xll.BDH("CRM US Equity","LT_DEBT_TO_TOT_CAP","FQ3 2017","FQ3 2017","Currency=USD","Period=FQ","BEST_FPERIOD_OVERRIDE=FQ","FILING_STATUS=MR","Sort=A","Dates=H","DateFormat=P","Fill=—","Direction=H","UseDPDF=Y")</f>
        <v>20.9557</v>
      </c>
      <c r="Y13" s="21">
        <f>_xll.BDH("CRM US Equity","LT_DEBT_TO_TOT_CAP","FQ4 2017","FQ4 2017","Currency=USD","Period=FQ","BEST_FPERIOD_OVERRIDE=FQ","FILING_STATUS=MR","Sort=A","Dates=H","DateFormat=P","Fill=—","Direction=H","UseDPDF=Y")</f>
        <v>21.122</v>
      </c>
      <c r="Z13" s="21">
        <f>_xll.BDH("CRM US Equity","LT_DEBT_TO_TOT_CAP","FQ1 2018","FQ1 2018","Currency=USD","Period=FQ","BEST_FPERIOD_OVERRIDE=FQ","FILING_STATUS=MR","Sort=A","Dates=H","DateFormat=P","Fill=—","Direction=H","UseDPDF=Y")</f>
        <v>7.1340000000000003</v>
      </c>
      <c r="AA13" s="21">
        <f>_xll.BDH("CRM US Equity","LT_DEBT_TO_TOT_CAP","FQ2 2018","FQ2 2018","Currency=USD","Period=FQ","BEST_FPERIOD_OVERRIDE=FQ","FILING_STATUS=MR","Sort=A","Dates=H","DateFormat=P","Fill=—","Direction=H","UseDPDF=Y")</f>
        <v>6.7622</v>
      </c>
      <c r="AB13" s="21">
        <f>_xll.BDH("CRM US Equity","LT_DEBT_TO_TOT_CAP","FQ3 2018","FQ3 2018","Currency=USD","Period=FQ","BEST_FPERIOD_OVERRIDE=FQ","FILING_STATUS=MR","Sort=A","Dates=H","DateFormat=P","Fill=—","Direction=H","UseDPDF=Y")</f>
        <v>6.6264000000000003</v>
      </c>
      <c r="AC13" s="21">
        <f>_xll.BDH("CRM US Equity","LT_DEBT_TO_TOT_CAP","FQ4 2018","FQ4 2018","Currency=USD","Period=FQ","BEST_FPERIOD_OVERRIDE=FQ","FILING_STATUS=MR","Sort=A","Dates=H","DateFormat=P","Fill=—","Direction=H","UseDPDF=Y")</f>
        <v>5.7457000000000003</v>
      </c>
      <c r="AD13" s="21">
        <f>_xll.BDH("CRM US Equity","LT_DEBT_TO_TOT_CAP","FQ1 2019","FQ1 2019","Currency=USD","Period=FQ","BEST_FPERIOD_OVERRIDE=FQ","FILING_STATUS=MR","Sort=A","Dates=H","DateFormat=P","Fill=—","Direction=H","UseDPDF=Y")</f>
        <v>22.283100000000001</v>
      </c>
      <c r="AE13" s="21">
        <f>_xll.BDH("CRM US Equity","LT_DEBT_TO_TOT_CAP","FQ2 2019","FQ2 2019","Currency=USD","Period=FQ","BEST_FPERIOD_OVERRIDE=FQ","FILING_STATUS=MR","Sort=A","Dates=H","DateFormat=P","Fill=—","Direction=H","UseDPDF=Y")</f>
        <v>18.4434</v>
      </c>
      <c r="AF13" s="21">
        <f>_xll.BDH("CRM US Equity","LT_DEBT_TO_TOT_CAP","FQ3 2019","FQ3 2019","Currency=USD","Period=FQ","BEST_FPERIOD_OVERRIDE=FQ","FILING_STATUS=MR","Sort=A","Dates=H","DateFormat=P","Fill=—","Direction=H","UseDPDF=Y")</f>
        <v>17.273700000000002</v>
      </c>
      <c r="AG13" s="21">
        <f>_xll.BDH("CRM US Equity","LT_DEBT_TO_TOT_CAP","FQ4 2019","FQ4 2019","Currency=USD","Period=FQ","BEST_FPERIOD_OVERRIDE=FQ","FILING_STATUS=MR","Sort=A","Dates=H","DateFormat=P","Fill=—","Direction=H","UseDPDF=Y")</f>
        <v>17.718399999999999</v>
      </c>
      <c r="AH13" s="21">
        <f>_xll.BDH("CRM US Equity","LT_DEBT_TO_TOT_CAP","FQ1 2020","FQ1 2020","Currency=USD","Period=FQ","BEST_FPERIOD_OVERRIDE=FQ","FILING_STATUS=MR","Sort=A","Dates=H","DateFormat=P","Fill=—","Direction=H","UseDPDF=Y")</f>
        <v>25.463100000000001</v>
      </c>
      <c r="AI13" s="21">
        <f>_xll.BDH("CRM US Equity","LT_DEBT_TO_TOT_CAP","FQ2 2020","FQ2 2020","Currency=USD","Period=FQ","BEST_FPERIOD_OVERRIDE=FQ","FILING_STATUS=MR","Sort=A","Dates=H","DateFormat=P","Fill=—","Direction=H","UseDPDF=Y")</f>
        <v>23.925799999999999</v>
      </c>
      <c r="AJ13" s="21">
        <f>_xll.BDH("CRM US Equity","LT_DEBT_TO_TOT_CAP","FQ3 2020","FQ3 2020","Currency=USD","Period=FQ","BEST_FPERIOD_OVERRIDE=FQ","FILING_STATUS=MR","Sort=A","Dates=H","DateFormat=P","Fill=—","Direction=H","UseDPDF=Y")</f>
        <v>14.3065</v>
      </c>
      <c r="AK13" s="21">
        <f>_xll.BDH("CRM US Equity","LT_DEBT_TO_TOT_CAP","FQ4 2020","FQ4 2020","Currency=USD","Period=FQ","BEST_FPERIOD_OVERRIDE=FQ","FILING_STATUS=MR","Sort=A","Dates=H","DateFormat=P","Fill=—","Direction=H","UseDPDF=Y")</f>
        <v>13.568200000000001</v>
      </c>
      <c r="AL13" s="21">
        <f>_xll.BDH("CRM US Equity","LT_DEBT_TO_TOT_CAP","FQ1 2021","FQ1 2021","Currency=USD","Period=FQ","BEST_FPERIOD_OVERRIDE=FQ","FILING_STATUS=MR","Sort=A","Dates=H","DateFormat=P","Fill=—","Direction=H","UseDPDF=Y")</f>
        <v>12.600899999999999</v>
      </c>
      <c r="AM13" s="21">
        <f>_xll.BDH("CRM US Equity","LT_DEBT_TO_TOT_CAP","FQ2 2021","FQ2 2021","Currency=USD","Period=FQ","BEST_FPERIOD_OVERRIDE=FQ","FILING_STATUS=MR","Sort=A","Dates=H","DateFormat=P","Fill=—","Direction=H","UseDPDF=Y")</f>
        <v>12.1098</v>
      </c>
      <c r="AN13" s="21">
        <f>_xll.BDH("CRM US Equity","LT_DEBT_TO_TOT_CAP","FQ3 2021","FQ3 2021","Currency=USD","Period=FQ","BEST_FPERIOD_OVERRIDE=FQ","FILING_STATUS=MR","Sort=A","Dates=H","DateFormat=P","Fill=—","Direction=H","UseDPDF=Y")</f>
        <v>11.7035</v>
      </c>
      <c r="AO13" s="21">
        <f>_xll.BDH("CRM US Equity","LT_DEBT_TO_TOT_CAP","FQ4 2021","FQ4 2021","Currency=USD","Period=FQ","BEST_FPERIOD_OVERRIDE=FQ","FILING_STATUS=MR","Sort=A","Dates=H","DateFormat=P","Fill=—","Direction=H","UseDPDF=Y")</f>
        <v>11.6989</v>
      </c>
      <c r="AP13" s="21">
        <f>_xll.BDH("CRM US Equity","LT_DEBT_TO_TOT_CAP","FQ1 2022","FQ1 2022","Currency=USD","Period=FQ","BEST_FPERIOD_OVERRIDE=FQ","FILING_STATUS=MR","Sort=A","Dates=H","DateFormat=P","Fill=—","Direction=H","UseDPDF=Y")</f>
        <v>11.092599999999999</v>
      </c>
    </row>
    <row r="14" spans="1:42" x14ac:dyDescent="0.25">
      <c r="A14" s="8" t="s">
        <v>179</v>
      </c>
      <c r="B14" s="8" t="s">
        <v>178</v>
      </c>
      <c r="C14" s="21">
        <f>_xll.BDH("CRM US Equity","LT_DEBT_TO_TOT_ASSET","FQ2 2012","FQ2 2012","Currency=USD","Period=FQ","BEST_FPERIOD_OVERRIDE=FQ","FILING_STATUS=MR","Sort=A","Dates=H","DateFormat=P","Fill=—","Direction=H","UseDPDF=Y")</f>
        <v>0</v>
      </c>
      <c r="D14" s="21">
        <f>_xll.BDH("CRM US Equity","LT_DEBT_TO_TOT_ASSET","FQ3 2012","FQ3 2012","Currency=USD","Period=FQ","BEST_FPERIOD_OVERRIDE=FQ","FILING_STATUS=MR","Sort=A","Dates=H","DateFormat=P","Fill=—","Direction=H","UseDPDF=Y")</f>
        <v>0</v>
      </c>
      <c r="E14" s="21">
        <f>_xll.BDH("CRM US Equity","LT_DEBT_TO_TOT_ASSET","FQ4 2012","FQ4 2012","Currency=USD","Period=FQ","BEST_FPERIOD_OVERRIDE=FQ","FILING_STATUS=MR","Sort=A","Dates=H","DateFormat=P","Fill=—","Direction=H","UseDPDF=Y")</f>
        <v>0</v>
      </c>
      <c r="F14" s="21">
        <f>_xll.BDH("CRM US Equity","LT_DEBT_TO_TOT_ASSET","FQ1 2013","FQ1 2013","Currency=USD","Period=FQ","BEST_FPERIOD_OVERRIDE=FQ","FILING_STATUS=MR","Sort=A","Dates=H","DateFormat=P","Fill=—","Direction=H","UseDPDF=Y")</f>
        <v>12.086499999999999</v>
      </c>
      <c r="G14" s="21">
        <f>_xll.BDH("CRM US Equity","LT_DEBT_TO_TOT_ASSET","FQ2 2013","FQ2 2013","Currency=USD","Period=FQ","BEST_FPERIOD_OVERRIDE=FQ","FILING_STATUS=MR","Sort=A","Dates=H","DateFormat=P","Fill=—","Direction=H","UseDPDF=Y")</f>
        <v>0</v>
      </c>
      <c r="H14" s="21">
        <f>_xll.BDH("CRM US Equity","LT_DEBT_TO_TOT_ASSET","FQ3 2013","FQ3 2013","Currency=USD","Period=FQ","BEST_FPERIOD_OVERRIDE=FQ","FILING_STATUS=MR","Sort=A","Dates=H","DateFormat=P","Fill=—","Direction=H","UseDPDF=Y")</f>
        <v>0</v>
      </c>
      <c r="I14" s="21">
        <f>_xll.BDH("CRM US Equity","LT_DEBT_TO_TOT_ASSET","FQ4 2013","FQ4 2013","Currency=USD","Period=FQ","BEST_FPERIOD_OVERRIDE=FQ","FILING_STATUS=MR","Sort=A","Dates=H","DateFormat=P","Fill=—","Direction=H","UseDPDF=Y")</f>
        <v>1.1360999999999999</v>
      </c>
      <c r="J14" s="21">
        <f>_xll.BDH("CRM US Equity","LT_DEBT_TO_TOT_ASSET","FQ1 2014","FQ1 2014","Currency=USD","Period=FQ","BEST_FPERIOD_OVERRIDE=FQ","FILING_STATUS=MR","Sort=A","Dates=H","DateFormat=P","Fill=—","Direction=H","UseDPDF=Y")</f>
        <v>16.738700000000001</v>
      </c>
      <c r="K14" s="21">
        <f>_xll.BDH("CRM US Equity","LT_DEBT_TO_TOT_ASSET","FQ2 2014","FQ2 2014","Currency=USD","Period=FQ","BEST_FPERIOD_OVERRIDE=FQ","FILING_STATUS=MR","Sort=A","Dates=H","DateFormat=P","Fill=—","Direction=H","UseDPDF=Y")</f>
        <v>22.865099999999998</v>
      </c>
      <c r="L14" s="21">
        <f>_xll.BDH("CRM US Equity","LT_DEBT_TO_TOT_ASSET","FQ3 2014","FQ3 2014","Currency=USD","Period=FQ","BEST_FPERIOD_OVERRIDE=FQ","FILING_STATUS=MR","Sort=A","Dates=H","DateFormat=P","Fill=—","Direction=H","UseDPDF=Y")</f>
        <v>22.5029</v>
      </c>
      <c r="M14" s="21">
        <f>_xll.BDH("CRM US Equity","LT_DEBT_TO_TOT_ASSET","FQ4 2014","FQ4 2014","Currency=USD","Period=FQ","BEST_FPERIOD_OVERRIDE=FQ","FILING_STATUS=MR","Sort=A","Dates=H","DateFormat=P","Fill=—","Direction=H","UseDPDF=Y")</f>
        <v>19.886299999999999</v>
      </c>
      <c r="N14" s="21">
        <f>_xll.BDH("CRM US Equity","LT_DEBT_TO_TOT_ASSET","FQ1 2015","FQ1 2015","Currency=USD","Period=FQ","BEST_FPERIOD_OVERRIDE=FQ","FILING_STATUS=MR","Sort=A","Dates=H","DateFormat=P","Fill=—","Direction=H","UseDPDF=Y")</f>
        <v>18.126200000000001</v>
      </c>
      <c r="O14" s="21">
        <f>_xll.BDH("CRM US Equity","LT_DEBT_TO_TOT_ASSET","FQ2 2015","FQ2 2015","Currency=USD","Period=FQ","BEST_FPERIOD_OVERRIDE=FQ","FILING_STATUS=MR","Sort=A","Dates=H","DateFormat=P","Fill=—","Direction=H","UseDPDF=Y")</f>
        <v>20.459499999999998</v>
      </c>
      <c r="P14" s="21">
        <f>_xll.BDH("CRM US Equity","LT_DEBT_TO_TOT_ASSET","FQ3 2015","FQ3 2015","Currency=USD","Period=FQ","BEST_FPERIOD_OVERRIDE=FQ","FILING_STATUS=MR","Sort=A","Dates=H","DateFormat=P","Fill=—","Direction=H","UseDPDF=Y")</f>
        <v>20.5825</v>
      </c>
      <c r="Q14" s="21">
        <f>_xll.BDH("CRM US Equity","LT_DEBT_TO_TOT_ASSET","FQ4 2015","FQ4 2015","Currency=USD","Period=FQ","BEST_FPERIOD_OVERRIDE=FQ","FILING_STATUS=MR","Sort=A","Dates=H","DateFormat=P","Fill=—","Direction=H","UseDPDF=Y")</f>
        <v>18.167200000000001</v>
      </c>
      <c r="R14" s="21">
        <f>_xll.BDH("CRM US Equity","LT_DEBT_TO_TOT_ASSET","FQ1 2016","FQ1 2016","Currency=USD","Period=FQ","BEST_FPERIOD_OVERRIDE=FQ","FILING_STATUS=MR","Sort=A","Dates=H","DateFormat=P","Fill=—","Direction=H","UseDPDF=Y")</f>
        <v>10.3874</v>
      </c>
      <c r="S14" s="21">
        <f>_xll.BDH("CRM US Equity","LT_DEBT_TO_TOT_ASSET","FQ2 2016","FQ2 2016","Currency=USD","Period=FQ","BEST_FPERIOD_OVERRIDE=FQ","FILING_STATUS=MR","Sort=A","Dates=H","DateFormat=P","Fill=—","Direction=H","UseDPDF=Y")</f>
        <v>16.650300000000001</v>
      </c>
      <c r="T14" s="21">
        <f>_xll.BDH("CRM US Equity","LT_DEBT_TO_TOT_ASSET","FQ3 2016","FQ3 2016","Currency=USD","Period=FQ","BEST_FPERIOD_OVERRIDE=FQ","FILING_STATUS=MR","Sort=A","Dates=H","DateFormat=P","Fill=—","Direction=H","UseDPDF=Y")</f>
        <v>16.455500000000001</v>
      </c>
      <c r="U14" s="21">
        <f>_xll.BDH("CRM US Equity","LT_DEBT_TO_TOT_ASSET","FQ4 2016","FQ4 2016","Currency=USD","Period=FQ","BEST_FPERIOD_OVERRIDE=FQ","FILING_STATUS=MR","Sort=A","Dates=H","DateFormat=P","Fill=—","Direction=H","UseDPDF=Y")</f>
        <v>10.0768</v>
      </c>
      <c r="V14" s="21">
        <f>_xll.BDH("CRM US Equity","LT_DEBT_TO_TOT_ASSET","FQ1 2017","FQ1 2017","Currency=USD","Period=FQ","BEST_FPERIOD_OVERRIDE=FQ","FILING_STATUS=MR","Sort=A","Dates=H","DateFormat=P","Fill=—","Direction=H","UseDPDF=Y")</f>
        <v>13.59</v>
      </c>
      <c r="W14" s="21">
        <f>_xll.BDH("CRM US Equity","LT_DEBT_TO_TOT_ASSET","FQ2 2017","FQ2 2017","Currency=USD","Period=FQ","BEST_FPERIOD_OVERRIDE=FQ","FILING_STATUS=MR","Sort=A","Dates=H","DateFormat=P","Fill=—","Direction=H","UseDPDF=Y")</f>
        <v>12.494899999999999</v>
      </c>
      <c r="X14" s="21">
        <f>_xll.BDH("CRM US Equity","LT_DEBT_TO_TOT_ASSET","FQ3 2017","FQ3 2017","Currency=USD","Period=FQ","BEST_FPERIOD_OVERRIDE=FQ","FILING_STATUS=MR","Sort=A","Dates=H","DateFormat=P","Fill=—","Direction=H","UseDPDF=Y")</f>
        <v>12.5411</v>
      </c>
      <c r="Y14" s="21">
        <f>_xll.BDH("CRM US Equity","LT_DEBT_TO_TOT_ASSET","FQ4 2017","FQ4 2017","Currency=USD","Period=FQ","BEST_FPERIOD_OVERRIDE=FQ","FILING_STATUS=MR","Sort=A","Dates=H","DateFormat=P","Fill=—","Direction=H","UseDPDF=Y")</f>
        <v>11.421099999999999</v>
      </c>
      <c r="Z14" s="21">
        <f>_xll.BDH("CRM US Equity","LT_DEBT_TO_TOT_ASSET","FQ1 2018","FQ1 2018","Currency=USD","Period=FQ","BEST_FPERIOD_OVERRIDE=FQ","FILING_STATUS=MR","Sort=A","Dates=H","DateFormat=P","Fill=—","Direction=H","UseDPDF=Y")</f>
        <v>4.0791000000000004</v>
      </c>
      <c r="AA14" s="21">
        <f>_xll.BDH("CRM US Equity","LT_DEBT_TO_TOT_ASSET","FQ2 2018","FQ2 2018","Currency=USD","Period=FQ","BEST_FPERIOD_OVERRIDE=FQ","FILING_STATUS=MR","Sort=A","Dates=H","DateFormat=P","Fill=—","Direction=H","UseDPDF=Y")</f>
        <v>3.9967999999999999</v>
      </c>
      <c r="AB14" s="21">
        <f>_xll.BDH("CRM US Equity","LT_DEBT_TO_TOT_ASSET","FQ3 2018","FQ3 2018","Currency=USD","Period=FQ","BEST_FPERIOD_OVERRIDE=FQ","FILING_STATUS=MR","Sort=A","Dates=H","DateFormat=P","Fill=—","Direction=H","UseDPDF=Y")</f>
        <v>4.0442999999999998</v>
      </c>
      <c r="AC14" s="21">
        <f>_xll.BDH("CRM US Equity","LT_DEBT_TO_TOT_ASSET","FQ4 2018","FQ4 2018","Currency=USD","Period=FQ","BEST_FPERIOD_OVERRIDE=FQ","FILING_STATUS=MR","Sort=A","Dates=H","DateFormat=P","Fill=—","Direction=H","UseDPDF=Y")</f>
        <v>3.1614</v>
      </c>
      <c r="AD14" s="21">
        <f>_xll.BDH("CRM US Equity","LT_DEBT_TO_TOT_ASSET","FQ1 2019","FQ1 2019","Currency=USD","Period=FQ","BEST_FPERIOD_OVERRIDE=FQ","FILING_STATUS=MR","Sort=A","Dates=H","DateFormat=P","Fill=—","Direction=H","UseDPDF=Y")</f>
        <v>13.813499999999999</v>
      </c>
      <c r="AE14" s="21">
        <f>_xll.BDH("CRM US Equity","LT_DEBT_TO_TOT_ASSET","FQ2 2019","FQ2 2019","Currency=USD","Period=FQ","BEST_FPERIOD_OVERRIDE=FQ","FILING_STATUS=MR","Sort=A","Dates=H","DateFormat=P","Fill=—","Direction=H","UseDPDF=Y")</f>
        <v>12.2875</v>
      </c>
      <c r="AF14" s="21">
        <f>_xll.BDH("CRM US Equity","LT_DEBT_TO_TOT_ASSET","FQ3 2019","FQ3 2019","Currency=USD","Period=FQ","BEST_FPERIOD_OVERRIDE=FQ","FILING_STATUS=MR","Sort=A","Dates=H","DateFormat=P","Fill=—","Direction=H","UseDPDF=Y")</f>
        <v>11.933999999999999</v>
      </c>
      <c r="AG14" s="21">
        <f>_xll.BDH("CRM US Equity","LT_DEBT_TO_TOT_ASSET","FQ4 2019","FQ4 2019","Currency=USD","Period=FQ","BEST_FPERIOD_OVERRIDE=FQ","FILING_STATUS=MR","Sort=A","Dates=H","DateFormat=P","Fill=—","Direction=H","UseDPDF=Y")</f>
        <v>10.934699999999999</v>
      </c>
      <c r="AH14" s="21">
        <f>_xll.BDH("CRM US Equity","LT_DEBT_TO_TOT_ASSET","FQ1 2020","FQ1 2020","Currency=USD","Period=FQ","BEST_FPERIOD_OVERRIDE=FQ","FILING_STATUS=MR","Sort=A","Dates=H","DateFormat=P","Fill=—","Direction=H","UseDPDF=Y")</f>
        <v>17.828900000000001</v>
      </c>
      <c r="AI14" s="21">
        <f>_xll.BDH("CRM US Equity","LT_DEBT_TO_TOT_ASSET","FQ2 2020","FQ2 2020","Currency=USD","Period=FQ","BEST_FPERIOD_OVERRIDE=FQ","FILING_STATUS=MR","Sort=A","Dates=H","DateFormat=P","Fill=—","Direction=H","UseDPDF=Y")</f>
        <v>16.936599999999999</v>
      </c>
      <c r="AJ14" s="21">
        <f>_xll.BDH("CRM US Equity","LT_DEBT_TO_TOT_ASSET","FQ3 2020","FQ3 2020","Currency=USD","Period=FQ","BEST_FPERIOD_OVERRIDE=FQ","FILING_STATUS=MR","Sort=A","Dates=H","DateFormat=P","Fill=—","Direction=H","UseDPDF=Y")</f>
        <v>11.3932</v>
      </c>
      <c r="AK14" s="21">
        <f>_xll.BDH("CRM US Equity","LT_DEBT_TO_TOT_ASSET","FQ4 2020","FQ4 2020","Currency=USD","Period=FQ","BEST_FPERIOD_OVERRIDE=FQ","FILING_STATUS=MR","Sort=A","Dates=H","DateFormat=P","Fill=—","Direction=H","UseDPDF=Y")</f>
        <v>9.8792000000000009</v>
      </c>
      <c r="AL14" s="21">
        <f>_xll.BDH("CRM US Equity","LT_DEBT_TO_TOT_ASSET","FQ1 2021","FQ1 2021","Currency=USD","Period=FQ","BEST_FPERIOD_OVERRIDE=FQ","FILING_STATUS=MR","Sort=A","Dates=H","DateFormat=P","Fill=—","Direction=H","UseDPDF=Y")</f>
        <v>9.4940999999999995</v>
      </c>
      <c r="AM14" s="21">
        <f>_xll.BDH("CRM US Equity","LT_DEBT_TO_TOT_ASSET","FQ2 2021","FQ2 2021","Currency=USD","Period=FQ","BEST_FPERIOD_OVERRIDE=FQ","FILING_STATUS=MR","Sort=A","Dates=H","DateFormat=P","Fill=—","Direction=H","UseDPDF=Y")</f>
        <v>9.3527000000000005</v>
      </c>
      <c r="AN14" s="21">
        <f>_xll.BDH("CRM US Equity","LT_DEBT_TO_TOT_ASSET","FQ3 2021","FQ3 2021","Currency=USD","Period=FQ","BEST_FPERIOD_OVERRIDE=FQ","FILING_STATUS=MR","Sort=A","Dates=H","DateFormat=P","Fill=—","Direction=H","UseDPDF=Y")</f>
        <v>9.2093000000000007</v>
      </c>
      <c r="AO14" s="21">
        <f>_xll.BDH("CRM US Equity","LT_DEBT_TO_TOT_ASSET","FQ4 2021","FQ4 2021","Currency=USD","Period=FQ","BEST_FPERIOD_OVERRIDE=FQ","FILING_STATUS=MR","Sort=A","Dates=H","DateFormat=P","Fill=—","Direction=H","UseDPDF=Y")</f>
        <v>8.4524000000000008</v>
      </c>
      <c r="AP14" s="21">
        <f>_xll.BDH("CRM US Equity","LT_DEBT_TO_TOT_ASSET","FQ1 2022","FQ1 2022","Currency=USD","Period=FQ","BEST_FPERIOD_OVERRIDE=FQ","FILING_STATUS=MR","Sort=A","Dates=H","DateFormat=P","Fill=—","Direction=H","UseDPDF=Y")</f>
        <v>8.3254999999999999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177</v>
      </c>
      <c r="B16" s="8" t="s">
        <v>176</v>
      </c>
      <c r="C16" s="21">
        <f>_xll.BDH("CRM US Equity","TOT_DEBT_TO_TOT_EQY","FQ2 2012","FQ2 2012","Currency=USD","Period=FQ","BEST_FPERIOD_OVERRIDE=FQ","FILING_STATUS=MR","Sort=A","Dates=H","DateFormat=P","Fill=—","Direction=H","UseDPDF=Y")</f>
        <v>32.084899999999998</v>
      </c>
      <c r="D16" s="21">
        <f>_xll.BDH("CRM US Equity","TOT_DEBT_TO_TOT_EQY","FQ3 2012","FQ3 2012","Currency=USD","Period=FQ","BEST_FPERIOD_OVERRIDE=FQ","FILING_STATUS=MR","Sort=A","Dates=H","DateFormat=P","Fill=—","Direction=H","UseDPDF=Y")</f>
        <v>30.958300000000001</v>
      </c>
      <c r="E16" s="21">
        <f>_xll.BDH("CRM US Equity","TOT_DEBT_TO_TOT_EQY","FQ4 2012","FQ4 2012","Currency=USD","Period=FQ","BEST_FPERIOD_OVERRIDE=FQ","FILING_STATUS=MR","Sort=A","Dates=H","DateFormat=P","Fill=—","Direction=H","UseDPDF=Y")</f>
        <v>29.779</v>
      </c>
      <c r="F16" s="21">
        <f>_xll.BDH("CRM US Equity","TOT_DEBT_TO_TOT_EQY","FQ1 2013","FQ1 2013","Currency=USD","Period=FQ","BEST_FPERIOD_OVERRIDE=FQ","FILING_STATUS=MR","Sort=A","Dates=H","DateFormat=P","Fill=—","Direction=H","UseDPDF=Y")</f>
        <v>27.756399999999999</v>
      </c>
      <c r="G16" s="21">
        <f>_xll.BDH("CRM US Equity","TOT_DEBT_TO_TOT_EQY","FQ2 2013","FQ2 2013","Currency=USD","Period=FQ","BEST_FPERIOD_OVERRIDE=FQ","FILING_STATUS=MR","Sort=A","Dates=H","DateFormat=P","Fill=—","Direction=H","UseDPDF=Y")</f>
        <v>25.963200000000001</v>
      </c>
      <c r="H16" s="21">
        <f>_xll.BDH("CRM US Equity","TOT_DEBT_TO_TOT_EQY","FQ3 2013","FQ3 2013","Currency=USD","Period=FQ","BEST_FPERIOD_OVERRIDE=FQ","FILING_STATUS=MR","Sort=A","Dates=H","DateFormat=P","Fill=—","Direction=H","UseDPDF=Y")</f>
        <v>24.0198</v>
      </c>
      <c r="I16" s="21">
        <f>_xll.BDH("CRM US Equity","TOT_DEBT_TO_TOT_EQY","FQ4 2013","FQ4 2013","Currency=USD","Period=FQ","BEST_FPERIOD_OVERRIDE=FQ","FILING_STATUS=MR","Sort=A","Dates=H","DateFormat=P","Fill=—","Direction=H","UseDPDF=Y")</f>
        <v>24.632200000000001</v>
      </c>
      <c r="J16" s="21">
        <f>_xll.BDH("CRM US Equity","TOT_DEBT_TO_TOT_EQY","FQ1 2014","FQ1 2014","Currency=USD","Period=FQ","BEST_FPERIOD_OVERRIDE=FQ","FILING_STATUS=MR","Sort=A","Dates=H","DateFormat=P","Fill=—","Direction=H","UseDPDF=Y")</f>
        <v>64.470200000000006</v>
      </c>
      <c r="K16" s="21">
        <f>_xll.BDH("CRM US Equity","TOT_DEBT_TO_TOT_EQY","FQ2 2014","FQ2 2014","Currency=USD","Period=FQ","BEST_FPERIOD_OVERRIDE=FQ","FILING_STATUS=MR","Sort=A","Dates=H","DateFormat=P","Fill=—","Direction=H","UseDPDF=Y")</f>
        <v>83.476500000000001</v>
      </c>
      <c r="L16" s="21">
        <f>_xll.BDH("CRM US Equity","TOT_DEBT_TO_TOT_EQY","FQ3 2014","FQ3 2014","Currency=USD","Period=FQ","BEST_FPERIOD_OVERRIDE=FQ","FILING_STATUS=MR","Sort=A","Dates=H","DateFormat=P","Fill=—","Direction=H","UseDPDF=Y")</f>
        <v>81.237499999999997</v>
      </c>
      <c r="M16" s="21">
        <f>_xll.BDH("CRM US Equity","TOT_DEBT_TO_TOT_EQY","FQ4 2014","FQ4 2014","Currency=USD","Period=FQ","BEST_FPERIOD_OVERRIDE=FQ","FILING_STATUS=MR","Sort=A","Dates=H","DateFormat=P","Fill=—","Direction=H","UseDPDF=Y")</f>
        <v>78.047799999999995</v>
      </c>
      <c r="N16" s="21">
        <f>_xll.BDH("CRM US Equity","TOT_DEBT_TO_TOT_EQY","FQ1 2015","FQ1 2015","Currency=USD","Period=FQ","BEST_FPERIOD_OVERRIDE=FQ","FILING_STATUS=MR","Sort=A","Dates=H","DateFormat=P","Fill=—","Direction=H","UseDPDF=Y")</f>
        <v>59.562899999999999</v>
      </c>
      <c r="O16" s="21">
        <f>_xll.BDH("CRM US Equity","TOT_DEBT_TO_TOT_EQY","FQ2 2015","FQ2 2015","Currency=USD","Period=FQ","BEST_FPERIOD_OVERRIDE=FQ","FILING_STATUS=MR","Sort=A","Dates=H","DateFormat=P","Fill=—","Direction=H","UseDPDF=Y")</f>
        <v>64.669899999999998</v>
      </c>
      <c r="P16" s="21">
        <f>_xll.BDH("CRM US Equity","TOT_DEBT_TO_TOT_EQY","FQ3 2015","FQ3 2015","Currency=USD","Period=FQ","BEST_FPERIOD_OVERRIDE=FQ","FILING_STATUS=MR","Sort=A","Dates=H","DateFormat=P","Fill=—","Direction=H","UseDPDF=Y")</f>
        <v>55.823900000000002</v>
      </c>
      <c r="Q16" s="21">
        <f>_xll.BDH("CRM US Equity","TOT_DEBT_TO_TOT_EQY","FQ4 2015","FQ4 2015","Currency=USD","Period=FQ","BEST_FPERIOD_OVERRIDE=FQ","FILING_STATUS=MR","Sort=A","Dates=H","DateFormat=P","Fill=—","Direction=H","UseDPDF=Y")</f>
        <v>48.741399999999999</v>
      </c>
      <c r="R16" s="21">
        <f>_xll.BDH("CRM US Equity","TOT_DEBT_TO_TOT_EQY","FQ1 2016","FQ1 2016","Currency=USD","Period=FQ","BEST_FPERIOD_OVERRIDE=FQ","FILING_STATUS=MR","Sort=A","Dates=H","DateFormat=P","Fill=—","Direction=H","UseDPDF=Y")</f>
        <v>25.423300000000001</v>
      </c>
      <c r="S16" s="21">
        <f>_xll.BDH("CRM US Equity","TOT_DEBT_TO_TOT_EQY","FQ2 2016","FQ2 2016","Currency=USD","Period=FQ","BEST_FPERIOD_OVERRIDE=FQ","FILING_STATUS=MR","Sort=A","Dates=H","DateFormat=P","Fill=—","Direction=H","UseDPDF=Y")</f>
        <v>39.623100000000001</v>
      </c>
      <c r="T16" s="21">
        <f>_xll.BDH("CRM US Equity","TOT_DEBT_TO_TOT_EQY","FQ3 2016","FQ3 2016","Currency=USD","Period=FQ","BEST_FPERIOD_OVERRIDE=FQ","FILING_STATUS=MR","Sort=A","Dates=H","DateFormat=P","Fill=—","Direction=H","UseDPDF=Y")</f>
        <v>37.802900000000001</v>
      </c>
      <c r="U16" s="21">
        <f>_xll.BDH("CRM US Equity","TOT_DEBT_TO_TOT_EQY","FQ4 2016","FQ4 2016","Currency=USD","Period=FQ","BEST_FPERIOD_OVERRIDE=FQ","FILING_STATUS=MR","Sort=A","Dates=H","DateFormat=P","Fill=—","Direction=H","UseDPDF=Y")</f>
        <v>25.707100000000001</v>
      </c>
      <c r="V16" s="21">
        <f>_xll.BDH("CRM US Equity","TOT_DEBT_TO_TOT_EQY","FQ1 2017","FQ1 2017","Currency=USD","Period=FQ","BEST_FPERIOD_OVERRIDE=FQ","FILING_STATUS=MR","Sort=A","Dates=H","DateFormat=P","Fill=—","Direction=H","UseDPDF=Y")</f>
        <v>31.192499999999999</v>
      </c>
      <c r="W16" s="21">
        <f>_xll.BDH("CRM US Equity","TOT_DEBT_TO_TOT_EQY","FQ2 2017","FQ2 2017","Currency=USD","Period=FQ","BEST_FPERIOD_OVERRIDE=FQ","FILING_STATUS=MR","Sort=A","Dates=H","DateFormat=P","Fill=—","Direction=H","UseDPDF=Y")</f>
        <v>29.301400000000001</v>
      </c>
      <c r="X16" s="21">
        <f>_xll.BDH("CRM US Equity","TOT_DEBT_TO_TOT_EQY","FQ3 2017","FQ3 2017","Currency=USD","Period=FQ","BEST_FPERIOD_OVERRIDE=FQ","FILING_STATUS=MR","Sort=A","Dates=H","DateFormat=P","Fill=—","Direction=H","UseDPDF=Y")</f>
        <v>26.511299999999999</v>
      </c>
      <c r="Y16" s="21">
        <f>_xll.BDH("CRM US Equity","TOT_DEBT_TO_TOT_EQY","FQ4 2017","FQ4 2017","Currency=USD","Period=FQ","BEST_FPERIOD_OVERRIDE=FQ","FILING_STATUS=MR","Sort=A","Dates=H","DateFormat=P","Fill=—","Direction=H","UseDPDF=Y")</f>
        <v>26.778099999999998</v>
      </c>
      <c r="Z16" s="21">
        <f>_xll.BDH("CRM US Equity","TOT_DEBT_TO_TOT_EQY","FQ1 2018","FQ1 2018","Currency=USD","Period=FQ","BEST_FPERIOD_OVERRIDE=FQ","FILING_STATUS=MR","Sort=A","Dates=H","DateFormat=P","Fill=—","Direction=H","UseDPDF=Y")</f>
        <v>22.9299</v>
      </c>
      <c r="AA16" s="21">
        <f>_xll.BDH("CRM US Equity","TOT_DEBT_TO_TOT_EQY","FQ2 2018","FQ2 2018","Currency=USD","Period=FQ","BEST_FPERIOD_OVERRIDE=FQ","FILING_STATUS=MR","Sort=A","Dates=H","DateFormat=P","Fill=—","Direction=H","UseDPDF=Y")</f>
        <v>21.5731</v>
      </c>
      <c r="AB16" s="21">
        <f>_xll.BDH("CRM US Equity","TOT_DEBT_TO_TOT_EQY","FQ3 2018","FQ3 2018","Currency=USD","Period=FQ","BEST_FPERIOD_OVERRIDE=FQ","FILING_STATUS=MR","Sort=A","Dates=H","DateFormat=P","Fill=—","Direction=H","UseDPDF=Y")</f>
        <v>20.8996</v>
      </c>
      <c r="AC16" s="21">
        <f>_xll.BDH("CRM US Equity","TOT_DEBT_TO_TOT_EQY","FQ4 2018","FQ4 2018","Currency=USD","Period=FQ","BEST_FPERIOD_OVERRIDE=FQ","FILING_STATUS=MR","Sort=A","Dates=H","DateFormat=P","Fill=—","Direction=H","UseDPDF=Y")</f>
        <v>16.576699999999999</v>
      </c>
      <c r="AD16" s="21">
        <f>_xll.BDH("CRM US Equity","TOT_DEBT_TO_TOT_EQY","FQ1 2019","FQ1 2019","Currency=USD","Period=FQ","BEST_FPERIOD_OVERRIDE=FQ","FILING_STATUS=MR","Sort=A","Dates=H","DateFormat=P","Fill=—","Direction=H","UseDPDF=Y")</f>
        <v>28.707100000000001</v>
      </c>
      <c r="AE16" s="21">
        <f>_xll.BDH("CRM US Equity","TOT_DEBT_TO_TOT_EQY","FQ2 2019","FQ2 2019","Currency=USD","Period=FQ","BEST_FPERIOD_OVERRIDE=FQ","FILING_STATUS=MR","Sort=A","Dates=H","DateFormat=P","Fill=—","Direction=H","UseDPDF=Y")</f>
        <v>27.173300000000001</v>
      </c>
      <c r="AF16" s="21">
        <f>_xll.BDH("CRM US Equity","TOT_DEBT_TO_TOT_EQY","FQ3 2019","FQ3 2019","Currency=USD","Period=FQ","BEST_FPERIOD_OVERRIDE=FQ","FILING_STATUS=MR","Sort=A","Dates=H","DateFormat=P","Fill=—","Direction=H","UseDPDF=Y")</f>
        <v>25.018699999999999</v>
      </c>
      <c r="AG16" s="21">
        <f>_xll.BDH("CRM US Equity","TOT_DEBT_TO_TOT_EQY","FQ4 2019","FQ4 2019","Currency=USD","Period=FQ","BEST_FPERIOD_OVERRIDE=FQ","FILING_STATUS=MR","Sort=A","Dates=H","DateFormat=P","Fill=—","Direction=H","UseDPDF=Y")</f>
        <v>21.557200000000002</v>
      </c>
      <c r="AH16" s="21">
        <f>_xll.BDH("CRM US Equity","TOT_DEBT_TO_TOT_EQY","FQ1 2020","FQ1 2020","Currency=USD","Period=FQ","BEST_FPERIOD_OVERRIDE=FQ","FILING_STATUS=MR","Sort=A","Dates=H","DateFormat=P","Fill=—","Direction=H","UseDPDF=Y")</f>
        <v>41.152900000000002</v>
      </c>
      <c r="AI16" s="21">
        <f>_xll.BDH("CRM US Equity","TOT_DEBT_TO_TOT_EQY","FQ2 2020","FQ2 2020","Currency=USD","Period=FQ","BEST_FPERIOD_OVERRIDE=FQ","FILING_STATUS=MR","Sort=A","Dates=H","DateFormat=P","Fill=—","Direction=H","UseDPDF=Y")</f>
        <v>37.4694</v>
      </c>
      <c r="AJ16" s="21">
        <f>_xll.BDH("CRM US Equity","TOT_DEBT_TO_TOT_EQY","FQ3 2020","FQ3 2020","Currency=USD","Period=FQ","BEST_FPERIOD_OVERRIDE=FQ","FILING_STATUS=MR","Sort=A","Dates=H","DateFormat=P","Fill=—","Direction=H","UseDPDF=Y")</f>
        <v>19.5108</v>
      </c>
      <c r="AK16" s="21">
        <f>_xll.BDH("CRM US Equity","TOT_DEBT_TO_TOT_EQY","FQ4 2020","FQ4 2020","Currency=USD","Period=FQ","BEST_FPERIOD_OVERRIDE=FQ","FILING_STATUS=MR","Sort=A","Dates=H","DateFormat=P","Fill=—","Direction=H","UseDPDF=Y")</f>
        <v>18.453600000000002</v>
      </c>
      <c r="AL16" s="21">
        <f>_xll.BDH("CRM US Equity","TOT_DEBT_TO_TOT_EQY","FQ1 2021","FQ1 2021","Currency=USD","Period=FQ","BEST_FPERIOD_OVERRIDE=FQ","FILING_STATUS=MR","Sort=A","Dates=H","DateFormat=P","Fill=—","Direction=H","UseDPDF=Y")</f>
        <v>16.887</v>
      </c>
      <c r="AM16" s="21">
        <f>_xll.BDH("CRM US Equity","TOT_DEBT_TO_TOT_EQY","FQ2 2021","FQ2 2021","Currency=USD","Period=FQ","BEST_FPERIOD_OVERRIDE=FQ","FILING_STATUS=MR","Sort=A","Dates=H","DateFormat=P","Fill=—","Direction=H","UseDPDF=Y")</f>
        <v>16.09</v>
      </c>
      <c r="AN16" s="21">
        <f>_xll.BDH("CRM US Equity","TOT_DEBT_TO_TOT_EQY","FQ3 2021","FQ3 2021","Currency=USD","Period=FQ","BEST_FPERIOD_OVERRIDE=FQ","FILING_STATUS=MR","Sort=A","Dates=H","DateFormat=P","Fill=—","Direction=H","UseDPDF=Y")</f>
        <v>15.437900000000001</v>
      </c>
      <c r="AO16" s="21">
        <f>_xll.BDH("CRM US Equity","TOT_DEBT_TO_TOT_EQY","FQ4 2021","FQ4 2021","Currency=USD","Period=FQ","BEST_FPERIOD_OVERRIDE=FQ","FILING_STATUS=MR","Sort=A","Dates=H","DateFormat=P","Fill=—","Direction=H","UseDPDF=Y")</f>
        <v>15.446</v>
      </c>
      <c r="AP16" s="21">
        <f>_xll.BDH("CRM US Equity","TOT_DEBT_TO_TOT_EQY","FQ1 2022","FQ1 2022","Currency=USD","Period=FQ","BEST_FPERIOD_OVERRIDE=FQ","FILING_STATUS=MR","Sort=A","Dates=H","DateFormat=P","Fill=—","Direction=H","UseDPDF=Y")</f>
        <v>14.4055</v>
      </c>
    </row>
    <row r="17" spans="1:42" x14ac:dyDescent="0.25">
      <c r="A17" s="8" t="s">
        <v>175</v>
      </c>
      <c r="B17" s="8" t="s">
        <v>174</v>
      </c>
      <c r="C17" s="21">
        <f>_xll.BDH("CRM US Equity","TOT_DEBT_TO_TOT_CAP","FQ2 2012","FQ2 2012","Currency=USD","Period=FQ","BEST_FPERIOD_OVERRIDE=FQ","FILING_STATUS=MR","Sort=A","Dates=H","DateFormat=P","Fill=—","Direction=H","UseDPDF=Y")</f>
        <v>24.2911</v>
      </c>
      <c r="D17" s="21">
        <f>_xll.BDH("CRM US Equity","TOT_DEBT_TO_TOT_CAP","FQ3 2012","FQ3 2012","Currency=USD","Period=FQ","BEST_FPERIOD_OVERRIDE=FQ","FILING_STATUS=MR","Sort=A","Dates=H","DateFormat=P","Fill=—","Direction=H","UseDPDF=Y")</f>
        <v>23.639800000000001</v>
      </c>
      <c r="E17" s="21">
        <f>_xll.BDH("CRM US Equity","TOT_DEBT_TO_TOT_CAP","FQ4 2012","FQ4 2012","Currency=USD","Period=FQ","BEST_FPERIOD_OVERRIDE=FQ","FILING_STATUS=MR","Sort=A","Dates=H","DateFormat=P","Fill=—","Direction=H","UseDPDF=Y")</f>
        <v>22.946000000000002</v>
      </c>
      <c r="F17" s="21">
        <f>_xll.BDH("CRM US Equity","TOT_DEBT_TO_TOT_CAP","FQ1 2013","FQ1 2013","Currency=USD","Period=FQ","BEST_FPERIOD_OVERRIDE=FQ","FILING_STATUS=MR","Sort=A","Dates=H","DateFormat=P","Fill=—","Direction=H","UseDPDF=Y")</f>
        <v>21.725999999999999</v>
      </c>
      <c r="G17" s="21">
        <f>_xll.BDH("CRM US Equity","TOT_DEBT_TO_TOT_CAP","FQ2 2013","FQ2 2013","Currency=USD","Period=FQ","BEST_FPERIOD_OVERRIDE=FQ","FILING_STATUS=MR","Sort=A","Dates=H","DateFormat=P","Fill=—","Direction=H","UseDPDF=Y")</f>
        <v>20.611699999999999</v>
      </c>
      <c r="H17" s="21">
        <f>_xll.BDH("CRM US Equity","TOT_DEBT_TO_TOT_CAP","FQ3 2013","FQ3 2013","Currency=USD","Period=FQ","BEST_FPERIOD_OVERRIDE=FQ","FILING_STATUS=MR","Sort=A","Dates=H","DateFormat=P","Fill=—","Direction=H","UseDPDF=Y")</f>
        <v>19.367699999999999</v>
      </c>
      <c r="I17" s="21">
        <f>_xll.BDH("CRM US Equity","TOT_DEBT_TO_TOT_CAP","FQ4 2013","FQ4 2013","Currency=USD","Period=FQ","BEST_FPERIOD_OVERRIDE=FQ","FILING_STATUS=MR","Sort=A","Dates=H","DateFormat=P","Fill=—","Direction=H","UseDPDF=Y")</f>
        <v>19.7639</v>
      </c>
      <c r="J17" s="21">
        <f>_xll.BDH("CRM US Equity","TOT_DEBT_TO_TOT_CAP","FQ1 2014","FQ1 2014","Currency=USD","Period=FQ","BEST_FPERIOD_OVERRIDE=FQ","FILING_STATUS=MR","Sort=A","Dates=H","DateFormat=P","Fill=—","Direction=H","UseDPDF=Y")</f>
        <v>39.198700000000002</v>
      </c>
      <c r="K17" s="21">
        <f>_xll.BDH("CRM US Equity","TOT_DEBT_TO_TOT_CAP","FQ2 2014","FQ2 2014","Currency=USD","Period=FQ","BEST_FPERIOD_OVERRIDE=FQ","FILING_STATUS=MR","Sort=A","Dates=H","DateFormat=P","Fill=—","Direction=H","UseDPDF=Y")</f>
        <v>45.497100000000003</v>
      </c>
      <c r="L17" s="21">
        <f>_xll.BDH("CRM US Equity","TOT_DEBT_TO_TOT_CAP","FQ3 2014","FQ3 2014","Currency=USD","Period=FQ","BEST_FPERIOD_OVERRIDE=FQ","FILING_STATUS=MR","Sort=A","Dates=H","DateFormat=P","Fill=—","Direction=H","UseDPDF=Y")</f>
        <v>44.823799999999999</v>
      </c>
      <c r="M17" s="21">
        <f>_xll.BDH("CRM US Equity","TOT_DEBT_TO_TOT_CAP","FQ4 2014","FQ4 2014","Currency=USD","Period=FQ","BEST_FPERIOD_OVERRIDE=FQ","FILING_STATUS=MR","Sort=A","Dates=H","DateFormat=P","Fill=—","Direction=H","UseDPDF=Y")</f>
        <v>43.835299999999997</v>
      </c>
      <c r="N17" s="21">
        <f>_xll.BDH("CRM US Equity","TOT_DEBT_TO_TOT_CAP","FQ1 2015","FQ1 2015","Currency=USD","Period=FQ","BEST_FPERIOD_OVERRIDE=FQ","FILING_STATUS=MR","Sort=A","Dates=H","DateFormat=P","Fill=—","Direction=H","UseDPDF=Y")</f>
        <v>37.328800000000001</v>
      </c>
      <c r="O17" s="21">
        <f>_xll.BDH("CRM US Equity","TOT_DEBT_TO_TOT_CAP","FQ2 2015","FQ2 2015","Currency=USD","Period=FQ","BEST_FPERIOD_OVERRIDE=FQ","FILING_STATUS=MR","Sort=A","Dates=H","DateFormat=P","Fill=—","Direction=H","UseDPDF=Y")</f>
        <v>39.272399999999998</v>
      </c>
      <c r="P17" s="21">
        <f>_xll.BDH("CRM US Equity","TOT_DEBT_TO_TOT_CAP","FQ3 2015","FQ3 2015","Currency=USD","Period=FQ","BEST_FPERIOD_OVERRIDE=FQ","FILING_STATUS=MR","Sort=A","Dates=H","DateFormat=P","Fill=—","Direction=H","UseDPDF=Y")</f>
        <v>35.825000000000003</v>
      </c>
      <c r="Q17" s="21">
        <f>_xll.BDH("CRM US Equity","TOT_DEBT_TO_TOT_CAP","FQ4 2015","FQ4 2015","Currency=USD","Period=FQ","BEST_FPERIOD_OVERRIDE=FQ","FILING_STATUS=MR","Sort=A","Dates=H","DateFormat=P","Fill=—","Direction=H","UseDPDF=Y")</f>
        <v>32.769199999999998</v>
      </c>
      <c r="R17" s="21">
        <f>_xll.BDH("CRM US Equity","TOT_DEBT_TO_TOT_CAP","FQ1 2016","FQ1 2016","Currency=USD","Period=FQ","BEST_FPERIOD_OVERRIDE=FQ","FILING_STATUS=MR","Sort=A","Dates=H","DateFormat=P","Fill=—","Direction=H","UseDPDF=Y")</f>
        <v>20.27</v>
      </c>
      <c r="S17" s="21">
        <f>_xll.BDH("CRM US Equity","TOT_DEBT_TO_TOT_CAP","FQ2 2016","FQ2 2016","Currency=USD","Period=FQ","BEST_FPERIOD_OVERRIDE=FQ","FILING_STATUS=MR","Sort=A","Dates=H","DateFormat=P","Fill=—","Direction=H","UseDPDF=Y")</f>
        <v>28.378599999999999</v>
      </c>
      <c r="T17" s="21">
        <f>_xll.BDH("CRM US Equity","TOT_DEBT_TO_TOT_CAP","FQ3 2016","FQ3 2016","Currency=USD","Period=FQ","BEST_FPERIOD_OVERRIDE=FQ","FILING_STATUS=MR","Sort=A","Dates=H","DateFormat=P","Fill=—","Direction=H","UseDPDF=Y")</f>
        <v>27.432600000000001</v>
      </c>
      <c r="U17" s="21">
        <f>_xll.BDH("CRM US Equity","TOT_DEBT_TO_TOT_CAP","FQ4 2016","FQ4 2016","Currency=USD","Period=FQ","BEST_FPERIOD_OVERRIDE=FQ","FILING_STATUS=MR","Sort=A","Dates=H","DateFormat=P","Fill=—","Direction=H","UseDPDF=Y")</f>
        <v>20.45</v>
      </c>
      <c r="V17" s="21">
        <f>_xll.BDH("CRM US Equity","TOT_DEBT_TO_TOT_CAP","FQ1 2017","FQ1 2017","Currency=USD","Period=FQ","BEST_FPERIOD_OVERRIDE=FQ","FILING_STATUS=MR","Sort=A","Dates=H","DateFormat=P","Fill=—","Direction=H","UseDPDF=Y")</f>
        <v>23.7761</v>
      </c>
      <c r="W17" s="21">
        <f>_xll.BDH("CRM US Equity","TOT_DEBT_TO_TOT_CAP","FQ2 2017","FQ2 2017","Currency=USD","Period=FQ","BEST_FPERIOD_OVERRIDE=FQ","FILING_STATUS=MR","Sort=A","Dates=H","DateFormat=P","Fill=—","Direction=H","UseDPDF=Y")</f>
        <v>22.661300000000001</v>
      </c>
      <c r="X17" s="21">
        <f>_xll.BDH("CRM US Equity","TOT_DEBT_TO_TOT_CAP","FQ3 2017","FQ3 2017","Currency=USD","Period=FQ","BEST_FPERIOD_OVERRIDE=FQ","FILING_STATUS=MR","Sort=A","Dates=H","DateFormat=P","Fill=—","Direction=H","UseDPDF=Y")</f>
        <v>20.9557</v>
      </c>
      <c r="Y17" s="21">
        <f>_xll.BDH("CRM US Equity","TOT_DEBT_TO_TOT_CAP","FQ4 2017","FQ4 2017","Currency=USD","Period=FQ","BEST_FPERIOD_OVERRIDE=FQ","FILING_STATUS=MR","Sort=A","Dates=H","DateFormat=P","Fill=—","Direction=H","UseDPDF=Y")</f>
        <v>21.122</v>
      </c>
      <c r="Z17" s="21">
        <f>_xll.BDH("CRM US Equity","TOT_DEBT_TO_TOT_CAP","FQ1 2018","FQ1 2018","Currency=USD","Period=FQ","BEST_FPERIOD_OVERRIDE=FQ","FILING_STATUS=MR","Sort=A","Dates=H","DateFormat=P","Fill=—","Direction=H","UseDPDF=Y")</f>
        <v>18.652799999999999</v>
      </c>
      <c r="AA17" s="21">
        <f>_xll.BDH("CRM US Equity","TOT_DEBT_TO_TOT_CAP","FQ2 2018","FQ2 2018","Currency=USD","Period=FQ","BEST_FPERIOD_OVERRIDE=FQ","FILING_STATUS=MR","Sort=A","Dates=H","DateFormat=P","Fill=—","Direction=H","UseDPDF=Y")</f>
        <v>17.745000000000001</v>
      </c>
      <c r="AB17" s="21">
        <f>_xll.BDH("CRM US Equity","TOT_DEBT_TO_TOT_CAP","FQ3 2018","FQ3 2018","Currency=USD","Period=FQ","BEST_FPERIOD_OVERRIDE=FQ","FILING_STATUS=MR","Sort=A","Dates=H","DateFormat=P","Fill=—","Direction=H","UseDPDF=Y")</f>
        <v>17.286799999999999</v>
      </c>
      <c r="AC17" s="21">
        <f>_xll.BDH("CRM US Equity","TOT_DEBT_TO_TOT_CAP","FQ4 2018","FQ4 2018","Currency=USD","Period=FQ","BEST_FPERIOD_OVERRIDE=FQ","FILING_STATUS=MR","Sort=A","Dates=H","DateFormat=P","Fill=—","Direction=H","UseDPDF=Y")</f>
        <v>14.2196</v>
      </c>
      <c r="AD17" s="21">
        <f>_xll.BDH("CRM US Equity","TOT_DEBT_TO_TOT_CAP","FQ1 2019","FQ1 2019","Currency=USD","Period=FQ","BEST_FPERIOD_OVERRIDE=FQ","FILING_STATUS=MR","Sort=A","Dates=H","DateFormat=P","Fill=—","Direction=H","UseDPDF=Y")</f>
        <v>22.304200000000002</v>
      </c>
      <c r="AE17" s="21">
        <f>_xll.BDH("CRM US Equity","TOT_DEBT_TO_TOT_CAP","FQ2 2019","FQ2 2019","Currency=USD","Period=FQ","BEST_FPERIOD_OVERRIDE=FQ","FILING_STATUS=MR","Sort=A","Dates=H","DateFormat=P","Fill=—","Direction=H","UseDPDF=Y")</f>
        <v>21.367100000000001</v>
      </c>
      <c r="AF17" s="21">
        <f>_xll.BDH("CRM US Equity","TOT_DEBT_TO_TOT_CAP","FQ3 2019","FQ3 2019","Currency=USD","Period=FQ","BEST_FPERIOD_OVERRIDE=FQ","FILING_STATUS=MR","Sort=A","Dates=H","DateFormat=P","Fill=—","Direction=H","UseDPDF=Y")</f>
        <v>20.012</v>
      </c>
      <c r="AG17" s="21">
        <f>_xll.BDH("CRM US Equity","TOT_DEBT_TO_TOT_CAP","FQ4 2019","FQ4 2019","Currency=USD","Period=FQ","BEST_FPERIOD_OVERRIDE=FQ","FILING_STATUS=MR","Sort=A","Dates=H","DateFormat=P","Fill=—","Direction=H","UseDPDF=Y")</f>
        <v>17.734200000000001</v>
      </c>
      <c r="AH17" s="21">
        <f>_xll.BDH("CRM US Equity","TOT_DEBT_TO_TOT_CAP","FQ1 2020","FQ1 2020","Currency=USD","Period=FQ","BEST_FPERIOD_OVERRIDE=FQ","FILING_STATUS=MR","Sort=A","Dates=H","DateFormat=P","Fill=—","Direction=H","UseDPDF=Y")</f>
        <v>29.154800000000002</v>
      </c>
      <c r="AI17" s="21">
        <f>_xll.BDH("CRM US Equity","TOT_DEBT_TO_TOT_CAP","FQ2 2020","FQ2 2020","Currency=USD","Period=FQ","BEST_FPERIOD_OVERRIDE=FQ","FILING_STATUS=MR","Sort=A","Dates=H","DateFormat=P","Fill=—","Direction=H","UseDPDF=Y")</f>
        <v>27.256499999999999</v>
      </c>
      <c r="AJ17" s="21">
        <f>_xll.BDH("CRM US Equity","TOT_DEBT_TO_TOT_CAP","FQ3 2020","FQ3 2020","Currency=USD","Period=FQ","BEST_FPERIOD_OVERRIDE=FQ","FILING_STATUS=MR","Sort=A","Dates=H","DateFormat=P","Fill=—","Direction=H","UseDPDF=Y")</f>
        <v>16.325600000000001</v>
      </c>
      <c r="AK17" s="21">
        <f>_xll.BDH("CRM US Equity","TOT_DEBT_TO_TOT_CAP","FQ4 2020","FQ4 2020","Currency=USD","Period=FQ","BEST_FPERIOD_OVERRIDE=FQ","FILING_STATUS=MR","Sort=A","Dates=H","DateFormat=P","Fill=—","Direction=H","UseDPDF=Y")</f>
        <v>15.578799999999999</v>
      </c>
      <c r="AL17" s="21">
        <f>_xll.BDH("CRM US Equity","TOT_DEBT_TO_TOT_CAP","FQ1 2021","FQ1 2021","Currency=USD","Period=FQ","BEST_FPERIOD_OVERRIDE=FQ","FILING_STATUS=MR","Sort=A","Dates=H","DateFormat=P","Fill=—","Direction=H","UseDPDF=Y")</f>
        <v>14.4473</v>
      </c>
      <c r="AM17" s="21">
        <f>_xll.BDH("CRM US Equity","TOT_DEBT_TO_TOT_CAP","FQ2 2021","FQ2 2021","Currency=USD","Period=FQ","BEST_FPERIOD_OVERRIDE=FQ","FILING_STATUS=MR","Sort=A","Dates=H","DateFormat=P","Fill=—","Direction=H","UseDPDF=Y")</f>
        <v>13.8599</v>
      </c>
      <c r="AN17" s="21">
        <f>_xll.BDH("CRM US Equity","TOT_DEBT_TO_TOT_CAP","FQ3 2021","FQ3 2021","Currency=USD","Period=FQ","BEST_FPERIOD_OVERRIDE=FQ","FILING_STATUS=MR","Sort=A","Dates=H","DateFormat=P","Fill=—","Direction=H","UseDPDF=Y")</f>
        <v>13.3733</v>
      </c>
      <c r="AO17" s="21">
        <f>_xll.BDH("CRM US Equity","TOT_DEBT_TO_TOT_CAP","FQ4 2021","FQ4 2021","Currency=USD","Period=FQ","BEST_FPERIOD_OVERRIDE=FQ","FILING_STATUS=MR","Sort=A","Dates=H","DateFormat=P","Fill=—","Direction=H","UseDPDF=Y")</f>
        <v>13.3794</v>
      </c>
      <c r="AP17" s="21">
        <f>_xll.BDH("CRM US Equity","TOT_DEBT_TO_TOT_CAP","FQ1 2022","FQ1 2022","Currency=USD","Period=FQ","BEST_FPERIOD_OVERRIDE=FQ","FILING_STATUS=MR","Sort=A","Dates=H","DateFormat=P","Fill=—","Direction=H","UseDPDF=Y")</f>
        <v>12.5916</v>
      </c>
    </row>
    <row r="18" spans="1:42" x14ac:dyDescent="0.25">
      <c r="A18" s="8" t="s">
        <v>173</v>
      </c>
      <c r="B18" s="8" t="s">
        <v>172</v>
      </c>
      <c r="C18" s="21">
        <f>_xll.BDH("CRM US Equity","TOT_DEBT_TO_TOT_ASSET","FQ2 2012","FQ2 2012","Currency=USD","Period=FQ","BEST_FPERIOD_OVERRIDE=FQ","FILING_STATUS=MR","Sort=A","Dates=H","DateFormat=P","Fill=—","Direction=H","UseDPDF=Y")</f>
        <v>14.1503</v>
      </c>
      <c r="D18" s="21">
        <f>_xll.BDH("CRM US Equity","TOT_DEBT_TO_TOT_ASSET","FQ3 2012","FQ3 2012","Currency=USD","Period=FQ","BEST_FPERIOD_OVERRIDE=FQ","FILING_STATUS=MR","Sort=A","Dates=H","DateFormat=P","Fill=—","Direction=H","UseDPDF=Y")</f>
        <v>13.958399999999999</v>
      </c>
      <c r="E18" s="21">
        <f>_xll.BDH("CRM US Equity","TOT_DEBT_TO_TOT_ASSET","FQ4 2012","FQ4 2012","Currency=USD","Period=FQ","BEST_FPERIOD_OVERRIDE=FQ","FILING_STATUS=MR","Sort=A","Dates=H","DateFormat=P","Fill=—","Direction=H","UseDPDF=Y")</f>
        <v>11.9148</v>
      </c>
      <c r="F18" s="21">
        <f>_xll.BDH("CRM US Equity","TOT_DEBT_TO_TOT_ASSET","FQ1 2013","FQ1 2013","Currency=USD","Period=FQ","BEST_FPERIOD_OVERRIDE=FQ","FILING_STATUS=MR","Sort=A","Dates=H","DateFormat=P","Fill=—","Direction=H","UseDPDF=Y")</f>
        <v>12.086499999999999</v>
      </c>
      <c r="G18" s="21">
        <f>_xll.BDH("CRM US Equity","TOT_DEBT_TO_TOT_ASSET","FQ2 2013","FQ2 2013","Currency=USD","Period=FQ","BEST_FPERIOD_OVERRIDE=FQ","FILING_STATUS=MR","Sort=A","Dates=H","DateFormat=P","Fill=—","Direction=H","UseDPDF=Y")</f>
        <v>11.4185</v>
      </c>
      <c r="H18" s="21">
        <f>_xll.BDH("CRM US Equity","TOT_DEBT_TO_TOT_ASSET","FQ3 2013","FQ3 2013","Currency=USD","Period=FQ","BEST_FPERIOD_OVERRIDE=FQ","FILING_STATUS=MR","Sort=A","Dates=H","DateFormat=P","Fill=—","Direction=H","UseDPDF=Y")</f>
        <v>11.0913</v>
      </c>
      <c r="I18" s="21">
        <f>_xll.BDH("CRM US Equity","TOT_DEBT_TO_TOT_ASSET","FQ4 2013","FQ4 2013","Currency=USD","Period=FQ","BEST_FPERIOD_OVERRIDE=FQ","FILING_STATUS=MR","Sort=A","Dates=H","DateFormat=P","Fill=—","Direction=H","UseDPDF=Y")</f>
        <v>10.5642</v>
      </c>
      <c r="J18" s="21">
        <f>_xll.BDH("CRM US Equity","TOT_DEBT_TO_TOT_ASSET","FQ1 2014","FQ1 2014","Currency=USD","Period=FQ","BEST_FPERIOD_OVERRIDE=FQ","FILING_STATUS=MR","Sort=A","Dates=H","DateFormat=P","Fill=—","Direction=H","UseDPDF=Y")</f>
        <v>24.841799999999999</v>
      </c>
      <c r="K18" s="21">
        <f>_xll.BDH("CRM US Equity","TOT_DEBT_TO_TOT_ASSET","FQ2 2014","FQ2 2014","Currency=USD","Period=FQ","BEST_FPERIOD_OVERRIDE=FQ","FILING_STATUS=MR","Sort=A","Dates=H","DateFormat=P","Fill=—","Direction=H","UseDPDF=Y")</f>
        <v>29.9467</v>
      </c>
      <c r="L18" s="21">
        <f>_xll.BDH("CRM US Equity","TOT_DEBT_TO_TOT_ASSET","FQ3 2014","FQ3 2014","Currency=USD","Period=FQ","BEST_FPERIOD_OVERRIDE=FQ","FILING_STATUS=MR","Sort=A","Dates=H","DateFormat=P","Fill=—","Direction=H","UseDPDF=Y")</f>
        <v>29.555900000000001</v>
      </c>
      <c r="M18" s="21">
        <f>_xll.BDH("CRM US Equity","TOT_DEBT_TO_TOT_ASSET","FQ4 2014","FQ4 2014","Currency=USD","Period=FQ","BEST_FPERIOD_OVERRIDE=FQ","FILING_STATUS=MR","Sort=A","Dates=H","DateFormat=P","Fill=—","Direction=H","UseDPDF=Y")</f>
        <v>26.1374</v>
      </c>
      <c r="N18" s="21">
        <f>_xll.BDH("CRM US Equity","TOT_DEBT_TO_TOT_ASSET","FQ1 2015","FQ1 2015","Currency=USD","Period=FQ","BEST_FPERIOD_OVERRIDE=FQ","FILING_STATUS=MR","Sort=A","Dates=H","DateFormat=P","Fill=—","Direction=H","UseDPDF=Y")</f>
        <v>21.656099999999999</v>
      </c>
      <c r="O18" s="21">
        <f>_xll.BDH("CRM US Equity","TOT_DEBT_TO_TOT_ASSET","FQ2 2015","FQ2 2015","Currency=USD","Period=FQ","BEST_FPERIOD_OVERRIDE=FQ","FILING_STATUS=MR","Sort=A","Dates=H","DateFormat=P","Fill=—","Direction=H","UseDPDF=Y")</f>
        <v>23.7348</v>
      </c>
      <c r="P18" s="21">
        <f>_xll.BDH("CRM US Equity","TOT_DEBT_TO_TOT_ASSET","FQ3 2015","FQ3 2015","Currency=USD","Period=FQ","BEST_FPERIOD_OVERRIDE=FQ","FILING_STATUS=MR","Sort=A","Dates=H","DateFormat=P","Fill=—","Direction=H","UseDPDF=Y")</f>
        <v>22.4922</v>
      </c>
      <c r="Q18" s="21">
        <f>_xll.BDH("CRM US Equity","TOT_DEBT_TO_TOT_ASSET","FQ4 2015","FQ4 2015","Currency=USD","Period=FQ","BEST_FPERIOD_OVERRIDE=FQ","FILING_STATUS=MR","Sort=A","Dates=H","DateFormat=P","Fill=—","Direction=H","UseDPDF=Y")</f>
        <v>18.167200000000001</v>
      </c>
      <c r="R18" s="21">
        <f>_xll.BDH("CRM US Equity","TOT_DEBT_TO_TOT_ASSET","FQ1 2016","FQ1 2016","Currency=USD","Period=FQ","BEST_FPERIOD_OVERRIDE=FQ","FILING_STATUS=MR","Sort=A","Dates=H","DateFormat=P","Fill=—","Direction=H","UseDPDF=Y")</f>
        <v>10.3874</v>
      </c>
      <c r="S18" s="21">
        <f>_xll.BDH("CRM US Equity","TOT_DEBT_TO_TOT_ASSET","FQ2 2016","FQ2 2016","Currency=USD","Period=FQ","BEST_FPERIOD_OVERRIDE=FQ","FILING_STATUS=MR","Sort=A","Dates=H","DateFormat=P","Fill=—","Direction=H","UseDPDF=Y")</f>
        <v>16.650300000000001</v>
      </c>
      <c r="T18" s="21">
        <f>_xll.BDH("CRM US Equity","TOT_DEBT_TO_TOT_ASSET","FQ3 2016","FQ3 2016","Currency=USD","Period=FQ","BEST_FPERIOD_OVERRIDE=FQ","FILING_STATUS=MR","Sort=A","Dates=H","DateFormat=P","Fill=—","Direction=H","UseDPDF=Y")</f>
        <v>16.455500000000001</v>
      </c>
      <c r="U18" s="21">
        <f>_xll.BDH("CRM US Equity","TOT_DEBT_TO_TOT_ASSET","FQ4 2016","FQ4 2016","Currency=USD","Period=FQ","BEST_FPERIOD_OVERRIDE=FQ","FILING_STATUS=MR","Sort=A","Dates=H","DateFormat=P","Fill=—","Direction=H","UseDPDF=Y")</f>
        <v>10.0768</v>
      </c>
      <c r="V18" s="21">
        <f>_xll.BDH("CRM US Equity","TOT_DEBT_TO_TOT_ASSET","FQ1 2017","FQ1 2017","Currency=USD","Period=FQ","BEST_FPERIOD_OVERRIDE=FQ","FILING_STATUS=MR","Sort=A","Dates=H","DateFormat=P","Fill=—","Direction=H","UseDPDF=Y")</f>
        <v>13.59</v>
      </c>
      <c r="W18" s="21">
        <f>_xll.BDH("CRM US Equity","TOT_DEBT_TO_TOT_ASSET","FQ2 2017","FQ2 2017","Currency=USD","Period=FQ","BEST_FPERIOD_OVERRIDE=FQ","FILING_STATUS=MR","Sort=A","Dates=H","DateFormat=P","Fill=—","Direction=H","UseDPDF=Y")</f>
        <v>12.494899999999999</v>
      </c>
      <c r="X18" s="21">
        <f>_xll.BDH("CRM US Equity","TOT_DEBT_TO_TOT_ASSET","FQ3 2017","FQ3 2017","Currency=USD","Period=FQ","BEST_FPERIOD_OVERRIDE=FQ","FILING_STATUS=MR","Sort=A","Dates=H","DateFormat=P","Fill=—","Direction=H","UseDPDF=Y")</f>
        <v>12.5411</v>
      </c>
      <c r="Y18" s="21">
        <f>_xll.BDH("CRM US Equity","TOT_DEBT_TO_TOT_ASSET","FQ4 2017","FQ4 2017","Currency=USD","Period=FQ","BEST_FPERIOD_OVERRIDE=FQ","FILING_STATUS=MR","Sort=A","Dates=H","DateFormat=P","Fill=—","Direction=H","UseDPDF=Y")</f>
        <v>11.421099999999999</v>
      </c>
      <c r="Z18" s="21">
        <f>_xll.BDH("CRM US Equity","TOT_DEBT_TO_TOT_ASSET","FQ1 2018","FQ1 2018","Currency=USD","Period=FQ","BEST_FPERIOD_OVERRIDE=FQ","FILING_STATUS=MR","Sort=A","Dates=H","DateFormat=P","Fill=—","Direction=H","UseDPDF=Y")</f>
        <v>10.6652</v>
      </c>
      <c r="AA18" s="21">
        <f>_xll.BDH("CRM US Equity","TOT_DEBT_TO_TOT_ASSET","FQ2 2018","FQ2 2018","Currency=USD","Period=FQ","BEST_FPERIOD_OVERRIDE=FQ","FILING_STATUS=MR","Sort=A","Dates=H","DateFormat=P","Fill=—","Direction=H","UseDPDF=Y")</f>
        <v>10.488300000000001</v>
      </c>
      <c r="AB18" s="21">
        <f>_xll.BDH("CRM US Equity","TOT_DEBT_TO_TOT_ASSET","FQ3 2018","FQ3 2018","Currency=USD","Period=FQ","BEST_FPERIOD_OVERRIDE=FQ","FILING_STATUS=MR","Sort=A","Dates=H","DateFormat=P","Fill=—","Direction=H","UseDPDF=Y")</f>
        <v>10.550599999999999</v>
      </c>
      <c r="AC18" s="21">
        <f>_xll.BDH("CRM US Equity","TOT_DEBT_TO_TOT_ASSET","FQ4 2018","FQ4 2018","Currency=USD","Period=FQ","BEST_FPERIOD_OVERRIDE=FQ","FILING_STATUS=MR","Sort=A","Dates=H","DateFormat=P","Fill=—","Direction=H","UseDPDF=Y")</f>
        <v>7.8239000000000001</v>
      </c>
      <c r="AD18" s="21">
        <f>_xll.BDH("CRM US Equity","TOT_DEBT_TO_TOT_ASSET","FQ1 2019","FQ1 2019","Currency=USD","Period=FQ","BEST_FPERIOD_OVERRIDE=FQ","FILING_STATUS=MR","Sort=A","Dates=H","DateFormat=P","Fill=—","Direction=H","UseDPDF=Y")</f>
        <v>13.826599999999999</v>
      </c>
      <c r="AE18" s="21">
        <f>_xll.BDH("CRM US Equity","TOT_DEBT_TO_TOT_ASSET","FQ2 2019","FQ2 2019","Currency=USD","Period=FQ","BEST_FPERIOD_OVERRIDE=FQ","FILING_STATUS=MR","Sort=A","Dates=H","DateFormat=P","Fill=—","Direction=H","UseDPDF=Y")</f>
        <v>14.2354</v>
      </c>
      <c r="AF18" s="21">
        <f>_xll.BDH("CRM US Equity","TOT_DEBT_TO_TOT_ASSET","FQ3 2019","FQ3 2019","Currency=USD","Period=FQ","BEST_FPERIOD_OVERRIDE=FQ","FILING_STATUS=MR","Sort=A","Dates=H","DateFormat=P","Fill=—","Direction=H","UseDPDF=Y")</f>
        <v>13.825799999999999</v>
      </c>
      <c r="AG18" s="21">
        <f>_xll.BDH("CRM US Equity","TOT_DEBT_TO_TOT_ASSET","FQ4 2019","FQ4 2019","Currency=USD","Period=FQ","BEST_FPERIOD_OVERRIDE=FQ","FILING_STATUS=MR","Sort=A","Dates=H","DateFormat=P","Fill=—","Direction=H","UseDPDF=Y")</f>
        <v>10.9445</v>
      </c>
      <c r="AH18" s="21">
        <f>_xll.BDH("CRM US Equity","TOT_DEBT_TO_TOT_ASSET","FQ1 2020","FQ1 2020","Currency=USD","Period=FQ","BEST_FPERIOD_OVERRIDE=FQ","FILING_STATUS=MR","Sort=A","Dates=H","DateFormat=P","Fill=—","Direction=H","UseDPDF=Y")</f>
        <v>20.413799999999998</v>
      </c>
      <c r="AI18" s="21">
        <f>_xll.BDH("CRM US Equity","TOT_DEBT_TO_TOT_ASSET","FQ2 2020","FQ2 2020","Currency=USD","Period=FQ","BEST_FPERIOD_OVERRIDE=FQ","FILING_STATUS=MR","Sort=A","Dates=H","DateFormat=P","Fill=—","Direction=H","UseDPDF=Y")</f>
        <v>19.294499999999999</v>
      </c>
      <c r="AJ18" s="21">
        <f>_xll.BDH("CRM US Equity","TOT_DEBT_TO_TOT_ASSET","FQ3 2020","FQ3 2020","Currency=USD","Period=FQ","BEST_FPERIOD_OVERRIDE=FQ","FILING_STATUS=MR","Sort=A","Dates=H","DateFormat=P","Fill=—","Direction=H","UseDPDF=Y")</f>
        <v>13.001099999999999</v>
      </c>
      <c r="AK18" s="21">
        <f>_xll.BDH("CRM US Equity","TOT_DEBT_TO_TOT_ASSET","FQ4 2020","FQ4 2020","Currency=USD","Period=FQ","BEST_FPERIOD_OVERRIDE=FQ","FILING_STATUS=MR","Sort=A","Dates=H","DateFormat=P","Fill=—","Direction=H","UseDPDF=Y")</f>
        <v>11.3431</v>
      </c>
      <c r="AL18" s="21">
        <f>_xll.BDH("CRM US Equity","TOT_DEBT_TO_TOT_ASSET","FQ1 2021","FQ1 2021","Currency=USD","Period=FQ","BEST_FPERIOD_OVERRIDE=FQ","FILING_STATUS=MR","Sort=A","Dates=H","DateFormat=P","Fill=—","Direction=H","UseDPDF=Y")</f>
        <v>10.885300000000001</v>
      </c>
      <c r="AM18" s="21">
        <f>_xll.BDH("CRM US Equity","TOT_DEBT_TO_TOT_ASSET","FQ2 2021","FQ2 2021","Currency=USD","Period=FQ","BEST_FPERIOD_OVERRIDE=FQ","FILING_STATUS=MR","Sort=A","Dates=H","DateFormat=P","Fill=—","Direction=H","UseDPDF=Y")</f>
        <v>10.7044</v>
      </c>
      <c r="AN18" s="21">
        <f>_xll.BDH("CRM US Equity","TOT_DEBT_TO_TOT_ASSET","FQ3 2021","FQ3 2021","Currency=USD","Period=FQ","BEST_FPERIOD_OVERRIDE=FQ","FILING_STATUS=MR","Sort=A","Dates=H","DateFormat=P","Fill=—","Direction=H","UseDPDF=Y")</f>
        <v>10.523199999999999</v>
      </c>
      <c r="AO18" s="21">
        <f>_xll.BDH("CRM US Equity","TOT_DEBT_TO_TOT_ASSET","FQ4 2021","FQ4 2021","Currency=USD","Period=FQ","BEST_FPERIOD_OVERRIDE=FQ","FILING_STATUS=MR","Sort=A","Dates=H","DateFormat=P","Fill=—","Direction=H","UseDPDF=Y")</f>
        <v>9.6664999999999992</v>
      </c>
      <c r="AP18" s="21">
        <f>_xll.BDH("CRM US Equity","TOT_DEBT_TO_TOT_ASSET","FQ1 2022","FQ1 2022","Currency=USD","Period=FQ","BEST_FPERIOD_OVERRIDE=FQ","FILING_STATUS=MR","Sort=A","Dates=H","DateFormat=P","Fill=—","Direction=H","UseDPDF=Y")</f>
        <v>9.4505999999999997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171</v>
      </c>
      <c r="B20" s="8" t="s">
        <v>170</v>
      </c>
      <c r="C20" s="21">
        <f>_xll.BDH("CRM US Equity","CASH_FLOW_TO_TOT_LIAB","FQ2 2012","FQ2 2012","Currency=USD","Period=FQ","BEST_FPERIOD_OVERRIDE=FQ","FILING_STATUS=MR","Sort=A","Dates=H","DateFormat=P","Fill=—","Direction=H","UseDPDF=Y")</f>
        <v>24.1709</v>
      </c>
      <c r="D20" s="21">
        <f>_xll.BDH("CRM US Equity","CASH_FLOW_TO_TOT_LIAB","FQ3 2012","FQ3 2012","Currency=USD","Period=FQ","BEST_FPERIOD_OVERRIDE=FQ","FILING_STATUS=MR","Sort=A","Dates=H","DateFormat=P","Fill=—","Direction=H","UseDPDF=Y")</f>
        <v>26.809699999999999</v>
      </c>
      <c r="E20" s="21">
        <f>_xll.BDH("CRM US Equity","CASH_FLOW_TO_TOT_LIAB","FQ4 2012","FQ4 2012","Currency=USD","Period=FQ","BEST_FPERIOD_OVERRIDE=FQ","FILING_STATUS=MR","Sort=A","Dates=H","DateFormat=P","Fill=—","Direction=H","UseDPDF=Y")</f>
        <v>23.678699999999999</v>
      </c>
      <c r="F20" s="21">
        <f>_xll.BDH("CRM US Equity","CASH_FLOW_TO_TOT_LIAB","FQ1 2013","FQ1 2013","Currency=USD","Period=FQ","BEST_FPERIOD_OVERRIDE=FQ","FILING_STATUS=MR","Sort=A","Dates=H","DateFormat=P","Fill=—","Direction=H","UseDPDF=Y")</f>
        <v>28.3508</v>
      </c>
      <c r="G20" s="21">
        <f>_xll.BDH("CRM US Equity","CASH_FLOW_TO_TOT_LIAB","FQ2 2013","FQ2 2013","Currency=USD","Period=FQ","BEST_FPERIOD_OVERRIDE=FQ","FILING_STATUS=MR","Sort=A","Dates=H","DateFormat=P","Fill=—","Direction=H","UseDPDF=Y")</f>
        <v>28.7974</v>
      </c>
      <c r="H20" s="21">
        <f>_xll.BDH("CRM US Equity","CASH_FLOW_TO_TOT_LIAB","FQ3 2013","FQ3 2013","Currency=USD","Period=FQ","BEST_FPERIOD_OVERRIDE=FQ","FILING_STATUS=MR","Sort=A","Dates=H","DateFormat=P","Fill=—","Direction=H","UseDPDF=Y")</f>
        <v>27.8416</v>
      </c>
      <c r="I20" s="21">
        <f>_xll.BDH("CRM US Equity","CASH_FLOW_TO_TOT_LIAB","FQ4 2013","FQ4 2013","Currency=USD","Period=FQ","BEST_FPERIOD_OVERRIDE=FQ","FILING_STATUS=MR","Sort=A","Dates=H","DateFormat=P","Fill=—","Direction=H","UseDPDF=Y")</f>
        <v>23.336400000000001</v>
      </c>
      <c r="J20" s="21">
        <f>_xll.BDH("CRM US Equity","CASH_FLOW_TO_TOT_LIAB","FQ1 2014","FQ1 2014","Currency=USD","Period=FQ","BEST_FPERIOD_OVERRIDE=FQ","FILING_STATUS=MR","Sort=A","Dates=H","DateFormat=P","Fill=—","Direction=H","UseDPDF=Y")</f>
        <v>20.1525</v>
      </c>
      <c r="K20" s="21">
        <f>_xll.BDH("CRM US Equity","CASH_FLOW_TO_TOT_LIAB","FQ2 2014","FQ2 2014","Currency=USD","Period=FQ","BEST_FPERIOD_OVERRIDE=FQ","FILING_STATUS=MR","Sort=A","Dates=H","DateFormat=P","Fill=—","Direction=H","UseDPDF=Y")</f>
        <v>16.707100000000001</v>
      </c>
      <c r="L20" s="21">
        <f>_xll.BDH("CRM US Equity","CASH_FLOW_TO_TOT_LIAB","FQ3 2014","FQ3 2014","Currency=USD","Period=FQ","BEST_FPERIOD_OVERRIDE=FQ","FILING_STATUS=MR","Sort=A","Dates=H","DateFormat=P","Fill=—","Direction=H","UseDPDF=Y")</f>
        <v>17.194900000000001</v>
      </c>
      <c r="M20" s="21">
        <f>_xll.BDH("CRM US Equity","CASH_FLOW_TO_TOT_LIAB","FQ4 2014","FQ4 2014","Currency=USD","Period=FQ","BEST_FPERIOD_OVERRIDE=FQ","FILING_STATUS=MR","Sort=A","Dates=H","DateFormat=P","Fill=—","Direction=H","UseDPDF=Y")</f>
        <v>14.3809</v>
      </c>
      <c r="N20" s="21">
        <f>_xll.BDH("CRM US Equity","CASH_FLOW_TO_TOT_LIAB","FQ1 2015","FQ1 2015","Currency=USD","Period=FQ","BEST_FPERIOD_OVERRIDE=FQ","FILING_STATUS=MR","Sort=A","Dates=H","DateFormat=P","Fill=—","Direction=H","UseDPDF=Y")</f>
        <v>19.3721</v>
      </c>
      <c r="O20" s="21">
        <f>_xll.BDH("CRM US Equity","CASH_FLOW_TO_TOT_LIAB","FQ2 2015","FQ2 2015","Currency=USD","Period=FQ","BEST_FPERIOD_OVERRIDE=FQ","FILING_STATUS=MR","Sort=A","Dates=H","DateFormat=P","Fill=—","Direction=H","UseDPDF=Y")</f>
        <v>19.780100000000001</v>
      </c>
      <c r="P20" s="21">
        <f>_xll.BDH("CRM US Equity","CASH_FLOW_TO_TOT_LIAB","FQ3 2015","FQ3 2015","Currency=USD","Period=FQ","BEST_FPERIOD_OVERRIDE=FQ","FILING_STATUS=MR","Sort=A","Dates=H","DateFormat=P","Fill=—","Direction=H","UseDPDF=Y")</f>
        <v>19.7989</v>
      </c>
      <c r="Q20" s="21">
        <f>_xll.BDH("CRM US Equity","CASH_FLOW_TO_TOT_LIAB","FQ4 2015","FQ4 2015","Currency=USD","Period=FQ","BEST_FPERIOD_OVERRIDE=FQ","FILING_STATUS=MR","Sort=A","Dates=H","DateFormat=P","Fill=—","Direction=H","UseDPDF=Y")</f>
        <v>17.544499999999999</v>
      </c>
      <c r="R20" s="21">
        <f>_xll.BDH("CRM US Equity","CASH_FLOW_TO_TOT_LIAB","FQ1 2016","FQ1 2016","Currency=USD","Period=FQ","BEST_FPERIOD_OVERRIDE=FQ","FILING_STATUS=MR","Sort=A","Dates=H","DateFormat=P","Fill=—","Direction=H","UseDPDF=Y")</f>
        <v>23.4192</v>
      </c>
      <c r="S20" s="21">
        <f>_xll.BDH("CRM US Equity","CASH_FLOW_TO_TOT_LIAB","FQ2 2016","FQ2 2016","Currency=USD","Period=FQ","BEST_FPERIOD_OVERRIDE=FQ","FILING_STATUS=MR","Sort=A","Dates=H","DateFormat=P","Fill=—","Direction=H","UseDPDF=Y")</f>
        <v>23.874300000000002</v>
      </c>
      <c r="T20" s="21">
        <f>_xll.BDH("CRM US Equity","CASH_FLOW_TO_TOT_LIAB","FQ3 2016","FQ3 2016","Currency=USD","Period=FQ","BEST_FPERIOD_OVERRIDE=FQ","FILING_STATUS=MR","Sort=A","Dates=H","DateFormat=P","Fill=—","Direction=H","UseDPDF=Y")</f>
        <v>24.896000000000001</v>
      </c>
      <c r="U20" s="21">
        <f>_xll.BDH("CRM US Equity","CASH_FLOW_TO_TOT_LIAB","FQ4 2016","FQ4 2016","Currency=USD","Period=FQ","BEST_FPERIOD_OVERRIDE=FQ","FILING_STATUS=MR","Sort=A","Dates=H","DateFormat=P","Fill=—","Direction=H","UseDPDF=Y")</f>
        <v>21.5473</v>
      </c>
      <c r="V20" s="21">
        <f>_xll.BDH("CRM US Equity","CASH_FLOW_TO_TOT_LIAB","FQ1 2017","FQ1 2017","Currency=USD","Period=FQ","BEST_FPERIOD_OVERRIDE=FQ","FILING_STATUS=MR","Sort=A","Dates=H","DateFormat=P","Fill=—","Direction=H","UseDPDF=Y")</f>
        <v>27.486000000000001</v>
      </c>
      <c r="W20" s="21">
        <f>_xll.BDH("CRM US Equity","CASH_FLOW_TO_TOT_LIAB","FQ2 2017","FQ2 2017","Currency=USD","Period=FQ","BEST_FPERIOD_OVERRIDE=FQ","FILING_STATUS=MR","Sort=A","Dates=H","DateFormat=P","Fill=—","Direction=H","UseDPDF=Y")</f>
        <v>23.451599999999999</v>
      </c>
      <c r="X20" s="21">
        <f>_xll.BDH("CRM US Equity","CASH_FLOW_TO_TOT_LIAB","FQ3 2017","FQ3 2017","Currency=USD","Period=FQ","BEST_FPERIOD_OVERRIDE=FQ","FILING_STATUS=MR","Sort=A","Dates=H","DateFormat=P","Fill=—","Direction=H","UseDPDF=Y")</f>
        <v>25.4069</v>
      </c>
      <c r="Y20" s="21">
        <f>_xll.BDH("CRM US Equity","CASH_FLOW_TO_TOT_LIAB","FQ4 2017","FQ4 2017","Currency=USD","Period=FQ","BEST_FPERIOD_OVERRIDE=FQ","FILING_STATUS=MR","Sort=A","Dates=H","DateFormat=P","Fill=—","Direction=H","UseDPDF=Y")</f>
        <v>21.438199999999998</v>
      </c>
      <c r="Z20" s="21">
        <f>_xll.BDH("CRM US Equity","CASH_FLOW_TO_TOT_LIAB","FQ1 2018","FQ1 2018","Currency=USD","Period=FQ","BEST_FPERIOD_OVERRIDE=FQ","FILING_STATUS=MR","Sort=A","Dates=H","DateFormat=P","Fill=—","Direction=H","UseDPDF=Y")</f>
        <v>25.6557</v>
      </c>
      <c r="AA20" s="21">
        <f>_xll.BDH("CRM US Equity","CASH_FLOW_TO_TOT_LIAB","FQ2 2018","FQ2 2018","Currency=USD","Period=FQ","BEST_FPERIOD_OVERRIDE=FQ","FILING_STATUS=MR","Sort=A","Dates=H","DateFormat=P","Fill=—","Direction=H","UseDPDF=Y")</f>
        <v>27.052399999999999</v>
      </c>
      <c r="AB20" s="21">
        <f>_xll.BDH("CRM US Equity","CASH_FLOW_TO_TOT_LIAB","FQ3 2018","FQ3 2018","Currency=USD","Period=FQ","BEST_FPERIOD_OVERRIDE=FQ","FILING_STATUS=MR","Sort=A","Dates=H","DateFormat=P","Fill=—","Direction=H","UseDPDF=Y")</f>
        <v>27.618500000000001</v>
      </c>
      <c r="AC20" s="21">
        <f>_xll.BDH("CRM US Equity","CASH_FLOW_TO_TOT_LIAB","FQ4 2018","FQ4 2018","Currency=USD","Period=FQ","BEST_FPERIOD_OVERRIDE=FQ","FILING_STATUS=MR","Sort=A","Dates=H","DateFormat=P","Fill=—","Direction=H","UseDPDF=Y")</f>
        <v>23.587199999999999</v>
      </c>
      <c r="AD20" s="21">
        <f>_xll.BDH("CRM US Equity","CASH_FLOW_TO_TOT_LIAB","FQ1 2019","FQ1 2019","Currency=USD","Period=FQ","BEST_FPERIOD_OVERRIDE=FQ","FILING_STATUS=MR","Sort=A","Dates=H","DateFormat=P","Fill=—","Direction=H","UseDPDF=Y")</f>
        <v>24.985299999999999</v>
      </c>
      <c r="AE20" s="21">
        <f>_xll.BDH("CRM US Equity","CASH_FLOW_TO_TOT_LIAB","FQ2 2019","FQ2 2019","Currency=USD","Period=FQ","BEST_FPERIOD_OVERRIDE=FQ","FILING_STATUS=MR","Sort=A","Dates=H","DateFormat=P","Fill=—","Direction=H","UseDPDF=Y")</f>
        <v>25.221599999999999</v>
      </c>
      <c r="AF20" s="21">
        <f>_xll.BDH("CRM US Equity","CASH_FLOW_TO_TOT_LIAB","FQ3 2019","FQ3 2019","Currency=USD","Period=FQ","BEST_FPERIOD_OVERRIDE=FQ","FILING_STATUS=MR","Sort=A","Dates=H","DateFormat=P","Fill=—","Direction=H","UseDPDF=Y")</f>
        <v>26.2211</v>
      </c>
      <c r="AG20" s="21">
        <f>_xll.BDH("CRM US Equity","CASH_FLOW_TO_TOT_LIAB","FQ4 2019","FQ4 2019","Currency=USD","Period=FQ","BEST_FPERIOD_OVERRIDE=FQ","FILING_STATUS=MR","Sort=A","Dates=H","DateFormat=P","Fill=—","Direction=H","UseDPDF=Y")</f>
        <v>22.4557</v>
      </c>
      <c r="AH20" s="21">
        <f>_xll.BDH("CRM US Equity","CASH_FLOW_TO_TOT_LIAB","FQ1 2020","FQ1 2020","Currency=USD","Period=FQ","BEST_FPERIOD_OVERRIDE=FQ","FILING_STATUS=MR","Sort=A","Dates=H","DateFormat=P","Fill=—","Direction=H","UseDPDF=Y")</f>
        <v>23.324200000000001</v>
      </c>
      <c r="AI20" s="21">
        <f>_xll.BDH("CRM US Equity","CASH_FLOW_TO_TOT_LIAB","FQ2 2020","FQ2 2020","Currency=USD","Period=FQ","BEST_FPERIOD_OVERRIDE=FQ","FILING_STATUS=MR","Sort=A","Dates=H","DateFormat=P","Fill=—","Direction=H","UseDPDF=Y")</f>
        <v>23.964099999999998</v>
      </c>
      <c r="AJ20" s="21">
        <f>_xll.BDH("CRM US Equity","CASH_FLOW_TO_TOT_LIAB","FQ3 2020","FQ3 2020","Currency=USD","Period=FQ","BEST_FPERIOD_OVERRIDE=FQ","FILING_STATUS=MR","Sort=A","Dates=H","DateFormat=P","Fill=—","Direction=H","UseDPDF=Y")</f>
        <v>24.185300000000002</v>
      </c>
      <c r="AK20" s="21">
        <f>_xll.BDH("CRM US Equity","CASH_FLOW_TO_TOT_LIAB","FQ4 2020","FQ4 2020","Currency=USD","Period=FQ","BEST_FPERIOD_OVERRIDE=FQ","FILING_STATUS=MR","Sort=A","Dates=H","DateFormat=P","Fill=—","Direction=H","UseDPDF=Y")</f>
        <v>20.389800000000001</v>
      </c>
      <c r="AL20" s="21">
        <f>_xll.BDH("CRM US Equity","CASH_FLOW_TO_TOT_LIAB","FQ1 2021","FQ1 2021","Currency=USD","Period=FQ","BEST_FPERIOD_OVERRIDE=FQ","FILING_STATUS=MR","Sort=A","Dates=H","DateFormat=P","Fill=—","Direction=H","UseDPDF=Y")</f>
        <v>22.1692</v>
      </c>
      <c r="AM20" s="21">
        <f>_xll.BDH("CRM US Equity","CASH_FLOW_TO_TOT_LIAB","FQ2 2021","FQ2 2021","Currency=USD","Period=FQ","BEST_FPERIOD_OVERRIDE=FQ","FILING_STATUS=MR","Sort=A","Dates=H","DateFormat=P","Fill=—","Direction=H","UseDPDF=Y")</f>
        <v>21.809699999999999</v>
      </c>
      <c r="AN20" s="21">
        <f>_xll.BDH("CRM US Equity","CASH_FLOW_TO_TOT_LIAB","FQ3 2021","FQ3 2021","Currency=USD","Period=FQ","BEST_FPERIOD_OVERRIDE=FQ","FILING_STATUS=MR","Sort=A","Dates=H","DateFormat=P","Fill=—","Direction=H","UseDPDF=Y")</f>
        <v>22.623000000000001</v>
      </c>
      <c r="AO20" s="21">
        <f>_xll.BDH("CRM US Equity","CASH_FLOW_TO_TOT_LIAB","FQ4 2021","FQ4 2021","Currency=USD","Period=FQ","BEST_FPERIOD_OVERRIDE=FQ","FILING_STATUS=MR","Sort=A","Dates=H","DateFormat=P","Fill=—","Direction=H","UseDPDF=Y")</f>
        <v>19.352599999999999</v>
      </c>
      <c r="AP20" s="21">
        <f>_xll.BDH("CRM US Equity","CASH_FLOW_TO_TOT_LIAB","FQ1 2022","FQ1 2022","Currency=USD","Period=FQ","BEST_FPERIOD_OVERRIDE=FQ","FILING_STATUS=MR","Sort=A","Dates=H","DateFormat=P","Fill=—","Direction=H","UseDPDF=Y")</f>
        <v>27.645800000000001</v>
      </c>
    </row>
    <row r="21" spans="1:42" x14ac:dyDescent="0.25">
      <c r="A21" s="8" t="s">
        <v>169</v>
      </c>
      <c r="B21" s="8" t="s">
        <v>168</v>
      </c>
      <c r="C21" s="21">
        <f>_xll.BDH("CRM US Equity","CAP_EXPEND_RATIO","FQ2 2012","FQ2 2012","Currency=USD","Period=FQ","BEST_FPERIOD_OVERRIDE=FQ","FILING_STATUS=MR","Sort=A","Dates=H","DateFormat=P","Fill=—","Direction=H","UseDPDF=Y")</f>
        <v>1.6431</v>
      </c>
      <c r="D21" s="21">
        <f>_xll.BDH("CRM US Equity","CAP_EXPEND_RATIO","FQ3 2012","FQ3 2012","Currency=USD","Period=FQ","BEST_FPERIOD_OVERRIDE=FQ","FILING_STATUS=MR","Sort=A","Dates=H","DateFormat=P","Fill=—","Direction=H","UseDPDF=Y")</f>
        <v>3.1139999999999999</v>
      </c>
      <c r="E21" s="21">
        <f>_xll.BDH("CRM US Equity","CAP_EXPEND_RATIO","FQ4 2012","FQ4 2012","Currency=USD","Period=FQ","BEST_FPERIOD_OVERRIDE=FQ","FILING_STATUS=MR","Sort=A","Dates=H","DateFormat=P","Fill=—","Direction=H","UseDPDF=Y")</f>
        <v>4.6973000000000003</v>
      </c>
      <c r="F21" s="21">
        <f>_xll.BDH("CRM US Equity","CAP_EXPEND_RATIO","FQ1 2013","FQ1 2013","Currency=USD","Period=FQ","BEST_FPERIOD_OVERRIDE=FQ","FILING_STATUS=MR","Sort=A","Dates=H","DateFormat=P","Fill=—","Direction=H","UseDPDF=Y")</f>
        <v>4.3666999999999998</v>
      </c>
      <c r="G21" s="21">
        <f>_xll.BDH("CRM US Equity","CAP_EXPEND_RATIO","FQ2 2013","FQ2 2013","Currency=USD","Period=FQ","BEST_FPERIOD_OVERRIDE=FQ","FILING_STATUS=MR","Sort=A","Dates=H","DateFormat=P","Fill=—","Direction=H","UseDPDF=Y")</f>
        <v>4.6477000000000004</v>
      </c>
      <c r="H21" s="21">
        <f>_xll.BDH("CRM US Equity","CAP_EXPEND_RATIO","FQ3 2013","FQ3 2013","Currency=USD","Period=FQ","BEST_FPERIOD_OVERRIDE=FQ","FILING_STATUS=MR","Sort=A","Dates=H","DateFormat=P","Fill=—","Direction=H","UseDPDF=Y")</f>
        <v>2.0746000000000002</v>
      </c>
      <c r="I21" s="21">
        <f>_xll.BDH("CRM US Equity","CAP_EXPEND_RATIO","FQ4 2013","FQ4 2013","Currency=USD","Period=FQ","BEST_FPERIOD_OVERRIDE=FQ","FILING_STATUS=MR","Sort=A","Dates=H","DateFormat=P","Fill=—","Direction=H","UseDPDF=Y")</f>
        <v>5.5732999999999997</v>
      </c>
      <c r="J21" s="21">
        <f>_xll.BDH("CRM US Equity","CAP_EXPEND_RATIO","FQ1 2014","FQ1 2014","Currency=USD","Period=FQ","BEST_FPERIOD_OVERRIDE=FQ","FILING_STATUS=MR","Sort=A","Dates=H","DateFormat=P","Fill=—","Direction=H","UseDPDF=Y")</f>
        <v>5.2432999999999996</v>
      </c>
      <c r="K21" s="21">
        <f>_xll.BDH("CRM US Equity","CAP_EXPEND_RATIO","FQ2 2014","FQ2 2014","Currency=USD","Period=FQ","BEST_FPERIOD_OVERRIDE=FQ","FILING_STATUS=MR","Sort=A","Dates=H","DateFormat=P","Fill=—","Direction=H","UseDPDF=Y")</f>
        <v>1.7863</v>
      </c>
      <c r="L21" s="21">
        <f>_xll.BDH("CRM US Equity","CAP_EXPEND_RATIO","FQ3 2014","FQ3 2014","Currency=USD","Period=FQ","BEST_FPERIOD_OVERRIDE=FQ","FILING_STATUS=MR","Sort=A","Dates=H","DateFormat=P","Fill=—","Direction=H","UseDPDF=Y")</f>
        <v>1.8961999999999999</v>
      </c>
      <c r="M21" s="21">
        <f>_xll.BDH("CRM US Equity","CAP_EXPEND_RATIO","FQ4 2014","FQ4 2014","Currency=USD","Period=FQ","BEST_FPERIOD_OVERRIDE=FQ","FILING_STATUS=MR","Sort=A","Dates=H","DateFormat=P","Fill=—","Direction=H","UseDPDF=Y")</f>
        <v>3.8832</v>
      </c>
      <c r="N21" s="21">
        <f>_xll.BDH("CRM US Equity","CAP_EXPEND_RATIO","FQ1 2015","FQ1 2015","Currency=USD","Period=FQ","BEST_FPERIOD_OVERRIDE=FQ","FILING_STATUS=MR","Sort=A","Dates=H","DateFormat=P","Fill=—","Direction=H","UseDPDF=Y")</f>
        <v>7.8719000000000001</v>
      </c>
      <c r="O21" s="21">
        <f>_xll.BDH("CRM US Equity","CAP_EXPEND_RATIO","FQ2 2015","FQ2 2015","Currency=USD","Period=FQ","BEST_FPERIOD_OVERRIDE=FQ","FILING_STATUS=MR","Sort=A","Dates=H","DateFormat=P","Fill=—","Direction=H","UseDPDF=Y")</f>
        <v>3.4354</v>
      </c>
      <c r="P21" s="21">
        <f>_xll.BDH("CRM US Equity","CAP_EXPEND_RATIO","FQ3 2015","FQ3 2015","Currency=USD","Period=FQ","BEST_FPERIOD_OVERRIDE=FQ","FILING_STATUS=MR","Sort=A","Dates=H","DateFormat=P","Fill=—","Direction=H","UseDPDF=Y")</f>
        <v>0.65039999999999998</v>
      </c>
      <c r="Q21" s="21">
        <f>_xll.BDH("CRM US Equity","CAP_EXPEND_RATIO","FQ4 2015","FQ4 2015","Currency=USD","Period=FQ","BEST_FPERIOD_OVERRIDE=FQ","FILING_STATUS=MR","Sort=A","Dates=H","DateFormat=P","Fill=—","Direction=H","UseDPDF=Y")</f>
        <v>3.4300999999999999</v>
      </c>
      <c r="R21" s="21">
        <f>_xll.BDH("CRM US Equity","CAP_EXPEND_RATIO","FQ1 2016","FQ1 2016","Currency=USD","Period=FQ","BEST_FPERIOD_OVERRIDE=FQ","FILING_STATUS=MR","Sort=A","Dates=H","DateFormat=P","Fill=—","Direction=H","UseDPDF=Y")</f>
        <v>1.4805999999999999</v>
      </c>
      <c r="S21" s="21">
        <f>_xll.BDH("CRM US Equity","CAP_EXPEND_RATIO","FQ2 2016","FQ2 2016","Currency=USD","Period=FQ","BEST_FPERIOD_OVERRIDE=FQ","FILING_STATUS=MR","Sort=A","Dates=H","DateFormat=P","Fill=—","Direction=H","UseDPDF=Y")</f>
        <v>4.6896000000000004</v>
      </c>
      <c r="T21" s="21">
        <f>_xll.BDH("CRM US Equity","CAP_EXPEND_RATIO","FQ3 2016","FQ3 2016","Currency=USD","Period=FQ","BEST_FPERIOD_OVERRIDE=FQ","FILING_STATUS=MR","Sort=A","Dates=H","DateFormat=P","Fill=—","Direction=H","UseDPDF=Y")</f>
        <v>2.0304000000000002</v>
      </c>
      <c r="U21" s="21">
        <f>_xll.BDH("CRM US Equity","CAP_EXPEND_RATIO","FQ4 2016","FQ4 2016","Currency=USD","Period=FQ","BEST_FPERIOD_OVERRIDE=FQ","FILING_STATUS=MR","Sort=A","Dates=H","DateFormat=P","Fill=—","Direction=H","UseDPDF=Y")</f>
        <v>6.8678999999999997</v>
      </c>
      <c r="V21" s="21">
        <f>_xll.BDH("CRM US Equity","CAP_EXPEND_RATIO","FQ1 2017","FQ1 2017","Currency=USD","Period=FQ","BEST_FPERIOD_OVERRIDE=FQ","FILING_STATUS=MR","Sort=A","Dates=H","DateFormat=P","Fill=—","Direction=H","UseDPDF=Y")</f>
        <v>12.617599999999999</v>
      </c>
      <c r="W21" s="21">
        <f>_xll.BDH("CRM US Equity","CAP_EXPEND_RATIO","FQ2 2017","FQ2 2017","Currency=USD","Period=FQ","BEST_FPERIOD_OVERRIDE=FQ","FILING_STATUS=MR","Sort=A","Dates=H","DateFormat=P","Fill=—","Direction=H","UseDPDF=Y")</f>
        <v>2.6104000000000003</v>
      </c>
      <c r="X21" s="21">
        <f>_xll.BDH("CRM US Equity","CAP_EXPEND_RATIO","FQ3 2017","FQ3 2017","Currency=USD","Period=FQ","BEST_FPERIOD_OVERRIDE=FQ","FILING_STATUS=MR","Sort=A","Dates=H","DateFormat=P","Fill=—","Direction=H","UseDPDF=Y")</f>
        <v>1.0971</v>
      </c>
      <c r="Y21" s="21">
        <f>_xll.BDH("CRM US Equity","CAP_EXPEND_RATIO","FQ4 2017","FQ4 2017","Currency=USD","Period=FQ","BEST_FPERIOD_OVERRIDE=FQ","FILING_STATUS=MR","Sort=A","Dates=H","DateFormat=P","Fill=—","Direction=H","UseDPDF=Y")</f>
        <v>4.9019000000000004</v>
      </c>
      <c r="Z21" s="21">
        <f>_xll.BDH("CRM US Equity","CAP_EXPEND_RATIO","FQ1 2018","FQ1 2018","Currency=USD","Period=FQ","BEST_FPERIOD_OVERRIDE=FQ","FILING_STATUS=MR","Sort=A","Dates=H","DateFormat=P","Fill=—","Direction=H","UseDPDF=Y")</f>
        <v>7.8344000000000005</v>
      </c>
      <c r="AA21" s="21">
        <f>_xll.BDH("CRM US Equity","CAP_EXPEND_RATIO","FQ2 2018","FQ2 2018","Currency=USD","Period=FQ","BEST_FPERIOD_OVERRIDE=FQ","FILING_STATUS=MR","Sort=A","Dates=H","DateFormat=P","Fill=—","Direction=H","UseDPDF=Y")</f>
        <v>2.5859000000000001</v>
      </c>
      <c r="AB21" s="21">
        <f>_xll.BDH("CRM US Equity","CAP_EXPEND_RATIO","FQ3 2018","FQ3 2018","Currency=USD","Period=FQ","BEST_FPERIOD_OVERRIDE=FQ","FILING_STATUS=MR","Sort=A","Dates=H","DateFormat=P","Fill=—","Direction=H","UseDPDF=Y")</f>
        <v>1.1261000000000001</v>
      </c>
      <c r="AC21" s="21">
        <f>_xll.BDH("CRM US Equity","CAP_EXPEND_RATIO","FQ4 2018","FQ4 2018","Currency=USD","Period=FQ","BEST_FPERIOD_OVERRIDE=FQ","FILING_STATUS=MR","Sort=A","Dates=H","DateFormat=P","Fill=—","Direction=H","UseDPDF=Y")</f>
        <v>7.6231999999999998</v>
      </c>
      <c r="AD21" s="21">
        <f>_xll.BDH("CRM US Equity","CAP_EXPEND_RATIO","FQ1 2019","FQ1 2019","Currency=USD","Period=FQ","BEST_FPERIOD_OVERRIDE=FQ","FILING_STATUS=MR","Sort=A","Dates=H","DateFormat=P","Fill=—","Direction=H","UseDPDF=Y")</f>
        <v>12.016400000000001</v>
      </c>
      <c r="AE21" s="21">
        <f>_xll.BDH("CRM US Equity","CAP_EXPEND_RATIO","FQ2 2019","FQ2 2019","Currency=USD","Period=FQ","BEST_FPERIOD_OVERRIDE=FQ","FILING_STATUS=MR","Sort=A","Dates=H","DateFormat=P","Fill=—","Direction=H","UseDPDF=Y")</f>
        <v>2.6941000000000002</v>
      </c>
      <c r="AF21" s="21">
        <f>_xll.BDH("CRM US Equity","CAP_EXPEND_RATIO","FQ3 2019","FQ3 2019","Currency=USD","Period=FQ","BEST_FPERIOD_OVERRIDE=FQ","FILING_STATUS=MR","Sort=A","Dates=H","DateFormat=P","Fill=—","Direction=H","UseDPDF=Y")</f>
        <v>1.0515000000000001</v>
      </c>
      <c r="AG21" s="21">
        <f>_xll.BDH("CRM US Equity","CAP_EXPEND_RATIO","FQ4 2019","FQ4 2019","Currency=USD","Period=FQ","BEST_FPERIOD_OVERRIDE=FQ","FILING_STATUS=MR","Sort=A","Dates=H","DateFormat=P","Fill=—","Direction=H","UseDPDF=Y")</f>
        <v>7.9701000000000004</v>
      </c>
      <c r="AH21" s="21">
        <f>_xll.BDH("CRM US Equity","CAP_EXPEND_RATIO","FQ1 2020","FQ1 2020","Currency=USD","Period=FQ","BEST_FPERIOD_OVERRIDE=FQ","FILING_STATUS=MR","Sort=A","Dates=H","DateFormat=P","Fill=—","Direction=H","UseDPDF=Y")</f>
        <v>12.358499999999999</v>
      </c>
      <c r="AI21" s="21">
        <f>_xll.BDH("CRM US Equity","CAP_EXPEND_RATIO","FQ2 2020","FQ2 2020","Currency=USD","Period=FQ","BEST_FPERIOD_OVERRIDE=FQ","FILING_STATUS=MR","Sort=A","Dates=H","DateFormat=P","Fill=—","Direction=H","UseDPDF=Y")</f>
        <v>2.4493999999999998</v>
      </c>
      <c r="AJ21" s="21">
        <f>_xll.BDH("CRM US Equity","CAP_EXPEND_RATIO","FQ3 2020","FQ3 2020","Currency=USD","Period=FQ","BEST_FPERIOD_OVERRIDE=FQ","FILING_STATUS=MR","Sort=A","Dates=H","DateFormat=P","Fill=—","Direction=H","UseDPDF=Y")</f>
        <v>1.7528999999999999</v>
      </c>
      <c r="AK21" s="21">
        <f>_xll.BDH("CRM US Equity","CAP_EXPEND_RATIO","FQ4 2020","FQ4 2020","Currency=USD","Period=FQ","BEST_FPERIOD_OVERRIDE=FQ","FILING_STATUS=MR","Sort=A","Dates=H","DateFormat=P","Fill=—","Direction=H","UseDPDF=Y")</f>
        <v>12</v>
      </c>
      <c r="AL21" s="21">
        <f>_xll.BDH("CRM US Equity","CAP_EXPEND_RATIO","FQ1 2021","FQ1 2021","Currency=USD","Period=FQ","BEST_FPERIOD_OVERRIDE=FQ","FILING_STATUS=MR","Sort=A","Dates=H","DateFormat=P","Fill=—","Direction=H","UseDPDF=Y")</f>
        <v>5.7553999999999998</v>
      </c>
      <c r="AM21" s="21">
        <f>_xll.BDH("CRM US Equity","CAP_EXPEND_RATIO","FQ2 2021","FQ2 2021","Currency=USD","Period=FQ","BEST_FPERIOD_OVERRIDE=FQ","FILING_STATUS=MR","Sort=A","Dates=H","DateFormat=P","Fill=—","Direction=H","UseDPDF=Y")</f>
        <v>3.7631999999999999</v>
      </c>
      <c r="AN21" s="21">
        <f>_xll.BDH("CRM US Equity","CAP_EXPEND_RATIO","FQ3 2021","FQ3 2021","Currency=USD","Period=FQ","BEST_FPERIOD_OVERRIDE=FQ","FILING_STATUS=MR","Sort=A","Dates=H","DateFormat=P","Fill=—","Direction=H","UseDPDF=Y")</f>
        <v>2.7339000000000002</v>
      </c>
      <c r="AO21" s="21">
        <f>_xll.BDH("CRM US Equity","CAP_EXPEND_RATIO","FQ4 2021","FQ4 2021","Currency=USD","Period=FQ","BEST_FPERIOD_OVERRIDE=FQ","FILING_STATUS=MR","Sort=A","Dates=H","DateFormat=P","Fill=—","Direction=H","UseDPDF=Y")</f>
        <v>14.5906</v>
      </c>
      <c r="AP21" s="21">
        <f>_xll.BDH("CRM US Equity","CAP_EXPEND_RATIO","FQ1 2022","FQ1 2022","Currency=USD","Period=FQ","BEST_FPERIOD_OVERRIDE=FQ","FILING_STATUS=MR","Sort=A","Dates=H","DateFormat=P","Fill=—","Direction=H","UseDPDF=Y")</f>
        <v>18.877199999999998</v>
      </c>
    </row>
    <row r="22" spans="1:42" x14ac:dyDescent="0.25">
      <c r="A22" s="8" t="s">
        <v>167</v>
      </c>
      <c r="B22" s="8" t="s">
        <v>166</v>
      </c>
      <c r="C22" s="21">
        <f>_xll.BDH("CRM US Equity","ALTMAN_Z_SCORE","FQ2 2012","FQ2 2012","Currency=USD","Period=FQ","BEST_FPERIOD_OVERRIDE=FQ","FILING_STATUS=MR","Sort=A","Dates=H","DateFormat=P","Fill=—","Direction=H","UseDPDF=Y")</f>
        <v>6.6352000000000002</v>
      </c>
      <c r="D22" s="21">
        <f>_xll.BDH("CRM US Equity","ALTMAN_Z_SCORE","FQ3 2012","FQ3 2012","Currency=USD","Period=FQ","BEST_FPERIOD_OVERRIDE=FQ","FILING_STATUS=MR","Sort=A","Dates=H","DateFormat=P","Fill=—","Direction=H","UseDPDF=Y")</f>
        <v>6.1718999999999999</v>
      </c>
      <c r="E22" s="21">
        <f>_xll.BDH("CRM US Equity","ALTMAN_Z_SCORE","FQ4 2012","FQ4 2012","Currency=USD","Period=FQ","BEST_FPERIOD_OVERRIDE=FQ","FILING_STATUS=MR","Sort=A","Dates=H","DateFormat=P","Fill=—","Direction=H","UseDPDF=Y")</f>
        <v>4.3331999999999997</v>
      </c>
      <c r="F22" s="21">
        <f>_xll.BDH("CRM US Equity","ALTMAN_Z_SCORE","FQ1 2013","FQ1 2013","Currency=USD","Period=FQ","BEST_FPERIOD_OVERRIDE=FQ","FILING_STATUS=MR","Sort=A","Dates=H","DateFormat=P","Fill=—","Direction=H","UseDPDF=Y")</f>
        <v>6.0842999999999998</v>
      </c>
      <c r="G22" s="21">
        <f>_xll.BDH("CRM US Equity","ALTMAN_Z_SCORE","FQ2 2013","FQ2 2013","Currency=USD","Period=FQ","BEST_FPERIOD_OVERRIDE=FQ","FILING_STATUS=MR","Sort=A","Dates=H","DateFormat=P","Fill=—","Direction=H","UseDPDF=Y")</f>
        <v>4.7643000000000004</v>
      </c>
      <c r="H22" s="21">
        <f>_xll.BDH("CRM US Equity","ALTMAN_Z_SCORE","FQ3 2013","FQ3 2013","Currency=USD","Period=FQ","BEST_FPERIOD_OVERRIDE=FQ","FILING_STATUS=MR","Sort=A","Dates=H","DateFormat=P","Fill=—","Direction=H","UseDPDF=Y")</f>
        <v>5.2606000000000002</v>
      </c>
      <c r="I22" s="21">
        <f>_xll.BDH("CRM US Equity","ALTMAN_Z_SCORE","FQ4 2013","FQ4 2013","Currency=USD","Period=FQ","BEST_FPERIOD_OVERRIDE=FQ","FILING_STATUS=MR","Sort=A","Dates=H","DateFormat=P","Fill=—","Direction=H","UseDPDF=Y")</f>
        <v>5.0324999999999998</v>
      </c>
      <c r="J22" s="21">
        <f>_xll.BDH("CRM US Equity","ALTMAN_Z_SCORE","FQ1 2014","FQ1 2014","Currency=USD","Period=FQ","BEST_FPERIOD_OVERRIDE=FQ","FILING_STATUS=MR","Sort=A","Dates=H","DateFormat=P","Fill=—","Direction=H","UseDPDF=Y")</f>
        <v>4.1890000000000001</v>
      </c>
      <c r="K22" s="21">
        <f>_xll.BDH("CRM US Equity","ALTMAN_Z_SCORE","FQ2 2014","FQ2 2014","Currency=USD","Period=FQ","BEST_FPERIOD_OVERRIDE=FQ","FILING_STATUS=MR","Sort=A","Dates=H","DateFormat=P","Fill=—","Direction=H","UseDPDF=Y")</f>
        <v>3.3662999999999998</v>
      </c>
      <c r="L22" s="21">
        <f>_xll.BDH("CRM US Equity","ALTMAN_Z_SCORE","FQ3 2014","FQ3 2014","Currency=USD","Period=FQ","BEST_FPERIOD_OVERRIDE=FQ","FILING_STATUS=MR","Sort=A","Dates=H","DateFormat=P","Fill=—","Direction=H","UseDPDF=Y")</f>
        <v>4.0810000000000004</v>
      </c>
      <c r="M22" s="21">
        <f>_xll.BDH("CRM US Equity","ALTMAN_Z_SCORE","FQ4 2014","FQ4 2014","Currency=USD","Period=FQ","BEST_FPERIOD_OVERRIDE=FQ","FILING_STATUS=MR","Sort=A","Dates=H","DateFormat=P","Fill=—","Direction=H","UseDPDF=Y")</f>
        <v>3.8265000000000002</v>
      </c>
      <c r="N22" s="21">
        <f>_xll.BDH("CRM US Equity","ALTMAN_Z_SCORE","FQ1 2015","FQ1 2015","Currency=USD","Period=FQ","BEST_FPERIOD_OVERRIDE=FQ","FILING_STATUS=MR","Sort=A","Dates=H","DateFormat=P","Fill=—","Direction=H","UseDPDF=Y")</f>
        <v>3.7246000000000001</v>
      </c>
      <c r="O22" s="21">
        <f>_xll.BDH("CRM US Equity","ALTMAN_Z_SCORE","FQ2 2015","FQ2 2015","Currency=USD","Period=FQ","BEST_FPERIOD_OVERRIDE=FQ","FILING_STATUS=MR","Sort=A","Dates=H","DateFormat=P","Fill=—","Direction=H","UseDPDF=Y")</f>
        <v>3.8616999999999999</v>
      </c>
      <c r="P22" s="21">
        <f>_xll.BDH("CRM US Equity","ALTMAN_Z_SCORE","FQ3 2015","FQ3 2015","Currency=USD","Period=FQ","BEST_FPERIOD_OVERRIDE=FQ","FILING_STATUS=MR","Sort=A","Dates=H","DateFormat=P","Fill=—","Direction=H","UseDPDF=Y")</f>
        <v>4.7610999999999999</v>
      </c>
      <c r="Q22" s="21">
        <f>_xll.BDH("CRM US Equity","ALTMAN_Z_SCORE","FQ4 2015","FQ4 2015","Currency=USD","Period=FQ","BEST_FPERIOD_OVERRIDE=FQ","FILING_STATUS=MR","Sort=A","Dates=H","DateFormat=P","Fill=—","Direction=H","UseDPDF=Y")</f>
        <v>3.7099000000000002</v>
      </c>
      <c r="R22" s="21">
        <f>_xll.BDH("CRM US Equity","ALTMAN_Z_SCORE","FQ1 2016","FQ1 2016","Currency=USD","Period=FQ","BEST_FPERIOD_OVERRIDE=FQ","FILING_STATUS=MR","Sort=A","Dates=H","DateFormat=P","Fill=—","Direction=H","UseDPDF=Y")</f>
        <v>5.1864999999999997</v>
      </c>
      <c r="S22" s="21">
        <f>_xll.BDH("CRM US Equity","ALTMAN_Z_SCORE","FQ2 2016","FQ2 2016","Currency=USD","Period=FQ","BEST_FPERIOD_OVERRIDE=FQ","FILING_STATUS=MR","Sort=A","Dates=H","DateFormat=P","Fill=—","Direction=H","UseDPDF=Y")</f>
        <v>5.1967999999999996</v>
      </c>
      <c r="T22" s="21">
        <f>_xll.BDH("CRM US Equity","ALTMAN_Z_SCORE","FQ3 2016","FQ3 2016","Currency=USD","Period=FQ","BEST_FPERIOD_OVERRIDE=FQ","FILING_STATUS=MR","Sort=A","Dates=H","DateFormat=P","Fill=—","Direction=H","UseDPDF=Y")</f>
        <v>5.6801000000000004</v>
      </c>
      <c r="U22" s="21">
        <f>_xll.BDH("CRM US Equity","ALTMAN_Z_SCORE","FQ4 2016","FQ4 2016","Currency=USD","Period=FQ","BEST_FPERIOD_OVERRIDE=FQ","FILING_STATUS=MR","Sort=A","Dates=H","DateFormat=P","Fill=—","Direction=H","UseDPDF=Y")</f>
        <v>4.2495000000000003</v>
      </c>
      <c r="V22" s="21">
        <f>_xll.BDH("CRM US Equity","ALTMAN_Z_SCORE","FQ1 2017","FQ1 2017","Currency=USD","Period=FQ","BEST_FPERIOD_OVERRIDE=FQ","FILING_STATUS=MR","Sort=A","Dates=H","DateFormat=P","Fill=—","Direction=H","UseDPDF=Y")</f>
        <v>4.9032</v>
      </c>
      <c r="W22" s="21">
        <f>_xll.BDH("CRM US Equity","ALTMAN_Z_SCORE","FQ2 2017","FQ2 2017","Currency=USD","Period=FQ","BEST_FPERIOD_OVERRIDE=FQ","FILING_STATUS=MR","Sort=A","Dates=H","DateFormat=P","Fill=—","Direction=H","UseDPDF=Y")</f>
        <v>4.7430000000000003</v>
      </c>
      <c r="X22" s="21">
        <f>_xll.BDH("CRM US Equity","ALTMAN_Z_SCORE","FQ3 2017","FQ3 2017","Currency=USD","Period=FQ","BEST_FPERIOD_OVERRIDE=FQ","FILING_STATUS=MR","Sort=A","Dates=H","DateFormat=P","Fill=—","Direction=H","UseDPDF=Y")</f>
        <v>4.8925000000000001</v>
      </c>
      <c r="Y22" s="21">
        <f>_xll.BDH("CRM US Equity","ALTMAN_Z_SCORE","FQ4 2017","FQ4 2017","Currency=USD","Period=FQ","BEST_FPERIOD_OVERRIDE=FQ","FILING_STATUS=MR","Sort=A","Dates=H","DateFormat=P","Fill=—","Direction=H","UseDPDF=Y")</f>
        <v>3.9840999999999998</v>
      </c>
      <c r="Z22" s="21">
        <f>_xll.BDH("CRM US Equity","ALTMAN_Z_SCORE","FQ1 2018","FQ1 2018","Currency=USD","Period=FQ","BEST_FPERIOD_OVERRIDE=FQ","FILING_STATUS=MR","Sort=A","Dates=H","DateFormat=P","Fill=—","Direction=H","UseDPDF=Y")</f>
        <v>4.6802000000000001</v>
      </c>
      <c r="AA22" s="21">
        <f>_xll.BDH("CRM US Equity","ALTMAN_Z_SCORE","FQ2 2018","FQ2 2018","Currency=USD","Period=FQ","BEST_FPERIOD_OVERRIDE=FQ","FILING_STATUS=MR","Sort=A","Dates=H","DateFormat=P","Fill=—","Direction=H","UseDPDF=Y")</f>
        <v>5.0907999999999998</v>
      </c>
      <c r="AB22" s="21">
        <f>_xll.BDH("CRM US Equity","ALTMAN_Z_SCORE","FQ3 2018","FQ3 2018","Currency=USD","Period=FQ","BEST_FPERIOD_OVERRIDE=FQ","FILING_STATUS=MR","Sort=A","Dates=H","DateFormat=P","Fill=—","Direction=H","UseDPDF=Y")</f>
        <v>6.0048000000000004</v>
      </c>
      <c r="AC22" s="21">
        <f>_xll.BDH("CRM US Equity","ALTMAN_Z_SCORE","FQ4 2018","FQ4 2018","Currency=USD","Period=FQ","BEST_FPERIOD_OVERRIDE=FQ","FILING_STATUS=MR","Sort=A","Dates=H","DateFormat=P","Fill=—","Direction=H","UseDPDF=Y")</f>
        <v>5.0164999999999997</v>
      </c>
      <c r="AD22" s="21">
        <f>_xll.BDH("CRM US Equity","ALTMAN_Z_SCORE","FQ1 2019","FQ1 2019","Currency=USD","Period=FQ","BEST_FPERIOD_OVERRIDE=FQ","FILING_STATUS=MR","Sort=A","Dates=H","DateFormat=P","Fill=—","Direction=H","UseDPDF=Y")</f>
        <v>5.6132</v>
      </c>
      <c r="AE22" s="21">
        <f>_xll.BDH("CRM US Equity","ALTMAN_Z_SCORE","FQ2 2019","FQ2 2019","Currency=USD","Period=FQ","BEST_FPERIOD_OVERRIDE=FQ","FILING_STATUS=MR","Sort=A","Dates=H","DateFormat=P","Fill=—","Direction=H","UseDPDF=Y")</f>
        <v>6.1814999999999998</v>
      </c>
      <c r="AF22" s="21">
        <f>_xll.BDH("CRM US Equity","ALTMAN_Z_SCORE","FQ3 2019","FQ3 2019","Currency=USD","Period=FQ","BEST_FPERIOD_OVERRIDE=FQ","FILING_STATUS=MR","Sort=A","Dates=H","DateFormat=P","Fill=—","Direction=H","UseDPDF=Y")</f>
        <v>6.5465</v>
      </c>
      <c r="AG22" s="21">
        <f>_xll.BDH("CRM US Equity","ALTMAN_Z_SCORE","FQ4 2019","FQ4 2019","Currency=USD","Period=FQ","BEST_FPERIOD_OVERRIDE=FQ","FILING_STATUS=MR","Sort=A","Dates=H","DateFormat=P","Fill=—","Direction=H","UseDPDF=Y")</f>
        <v>5.7092000000000001</v>
      </c>
      <c r="AH22" s="21">
        <f>_xll.BDH("CRM US Equity","ALTMAN_Z_SCORE","FQ1 2020","FQ1 2020","Currency=USD","Period=FQ","BEST_FPERIOD_OVERRIDE=FQ","FILING_STATUS=MR","Sort=A","Dates=H","DateFormat=P","Fill=—","Direction=H","UseDPDF=Y")</f>
        <v>5.6253000000000002</v>
      </c>
      <c r="AI22" s="21">
        <f>_xll.BDH("CRM US Equity","ALTMAN_Z_SCORE","FQ2 2020","FQ2 2020","Currency=USD","Period=FQ","BEST_FPERIOD_OVERRIDE=FQ","FILING_STATUS=MR","Sort=A","Dates=H","DateFormat=P","Fill=—","Direction=H","UseDPDF=Y")</f>
        <v>5.5387000000000004</v>
      </c>
      <c r="AJ22" s="21">
        <f>_xll.BDH("CRM US Equity","ALTMAN_Z_SCORE","FQ3 2020","FQ3 2020","Currency=USD","Period=FQ","BEST_FPERIOD_OVERRIDE=FQ","FILING_STATUS=MR","Sort=A","Dates=H","DateFormat=P","Fill=—","Direction=H","UseDPDF=Y")</f>
        <v>6.0247000000000002</v>
      </c>
      <c r="AK22" s="21">
        <f>_xll.BDH("CRM US Equity","ALTMAN_Z_SCORE","FQ4 2020","FQ4 2020","Currency=USD","Period=FQ","BEST_FPERIOD_OVERRIDE=FQ","FILING_STATUS=MR","Sort=A","Dates=H","DateFormat=P","Fill=—","Direction=H","UseDPDF=Y")</f>
        <v>5.4596999999999998</v>
      </c>
      <c r="AL22" s="21">
        <f>_xll.BDH("CRM US Equity","ALTMAN_Z_SCORE","FQ1 2021","FQ1 2021","Currency=USD","Period=FQ","BEST_FPERIOD_OVERRIDE=FQ","FILING_STATUS=MR","Sort=A","Dates=H","DateFormat=P","Fill=—","Direction=H","UseDPDF=Y")</f>
        <v>5.5524000000000004</v>
      </c>
      <c r="AM22" s="21">
        <f>_xll.BDH("CRM US Equity","ALTMAN_Z_SCORE","FQ2 2021","FQ2 2021","Currency=USD","Period=FQ","BEST_FPERIOD_OVERRIDE=FQ","FILING_STATUS=MR","Sort=A","Dates=H","DateFormat=P","Fill=—","Direction=H","UseDPDF=Y")</f>
        <v>6.6139000000000001</v>
      </c>
      <c r="AN22" s="21">
        <f>_xll.BDH("CRM US Equity","ALTMAN_Z_SCORE","FQ3 2021","FQ3 2021","Currency=USD","Period=FQ","BEST_FPERIOD_OVERRIDE=FQ","FILING_STATUS=MR","Sort=A","Dates=H","DateFormat=P","Fill=—","Direction=H","UseDPDF=Y")</f>
        <v>7.9821999999999997</v>
      </c>
      <c r="AO22" s="21">
        <f>_xll.BDH("CRM US Equity","ALTMAN_Z_SCORE","FQ4 2021","FQ4 2021","Currency=USD","Period=FQ","BEST_FPERIOD_OVERRIDE=FQ","FILING_STATUS=MR","Sort=A","Dates=H","DateFormat=P","Fill=—","Direction=H","UseDPDF=Y")</f>
        <v>6.0930999999999997</v>
      </c>
      <c r="AP22" s="21">
        <f>_xll.BDH("CRM US Equity","ALTMAN_Z_SCORE","FQ1 2022","FQ1 2022","Currency=USD","Period=FQ","BEST_FPERIOD_OVERRIDE=FQ","FILING_STATUS=MR","Sort=A","Dates=H","DateFormat=P","Fill=—","Direction=H","UseDPDF=Y")</f>
        <v>6.9916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165</v>
      </c>
      <c r="B24" s="8" t="s">
        <v>164</v>
      </c>
      <c r="C24" s="1" t="str">
        <f>_xll.BDH("CRM US Equity","BS_TOTAL_LINE_OF_CREDIT","FQ2 2012","FQ2 2012","Currency=USD","Period=FQ","BEST_FPERIOD_OVERRIDE=FQ","FILING_STATUS=MR","SCALING_FORMAT=MLN","Sort=A","Dates=H","DateFormat=P","Fill=—","Direction=H","UseDPDF=Y")</f>
        <v>—</v>
      </c>
      <c r="D24" s="1" t="str">
        <f>_xll.BDH("CRM US Equity","BS_TOTAL_LINE_OF_CREDIT","FQ3 2012","FQ3 2012","Currency=USD","Period=FQ","BEST_FPERIOD_OVERRIDE=FQ","FILING_STATUS=MR","SCALING_FORMAT=MLN","Sort=A","Dates=H","DateFormat=P","Fill=—","Direction=H","UseDPDF=Y")</f>
        <v>—</v>
      </c>
      <c r="E24" s="1" t="str">
        <f>_xll.BDH("CRM US Equity","BS_TOTAL_LINE_OF_CREDIT","FQ4 2012","FQ4 2012","Currency=USD","Period=FQ","BEST_FPERIOD_OVERRIDE=FQ","FILING_STATUS=MR","SCALING_FORMAT=MLN","Sort=A","Dates=H","DateFormat=P","Fill=—","Direction=H","UseDPDF=Y")</f>
        <v>—</v>
      </c>
      <c r="F24" s="1" t="str">
        <f>_xll.BDH("CRM US Equity","BS_TOTAL_LINE_OF_CREDIT","FQ1 2013","FQ1 2013","Currency=USD","Period=FQ","BEST_FPERIOD_OVERRIDE=FQ","FILING_STATUS=MR","SCALING_FORMAT=MLN","Sort=A","Dates=H","DateFormat=P","Fill=—","Direction=H","UseDPDF=Y")</f>
        <v>—</v>
      </c>
      <c r="G24" s="1" t="str">
        <f>_xll.BDH("CRM US Equity","BS_TOTAL_LINE_OF_CREDIT","FQ2 2013","FQ2 2013","Currency=USD","Period=FQ","BEST_FPERIOD_OVERRIDE=FQ","FILING_STATUS=MR","SCALING_FORMAT=MLN","Sort=A","Dates=H","DateFormat=P","Fill=—","Direction=H","UseDPDF=Y")</f>
        <v>—</v>
      </c>
      <c r="H24" s="1" t="str">
        <f>_xll.BDH("CRM US Equity","BS_TOTAL_LINE_OF_CREDIT","FQ3 2013","FQ3 2013","Currency=USD","Period=FQ","BEST_FPERIOD_OVERRIDE=FQ","FILING_STATUS=MR","SCALING_FORMAT=MLN","Sort=A","Dates=H","DateFormat=P","Fill=—","Direction=H","UseDPDF=Y")</f>
        <v>—</v>
      </c>
      <c r="I24" s="1" t="str">
        <f>_xll.BDH("CRM US Equity","BS_TOTAL_LINE_OF_CREDIT","FQ4 2013","FQ4 2013","Currency=USD","Period=FQ","BEST_FPERIOD_OVERRIDE=FQ","FILING_STATUS=MR","SCALING_FORMAT=MLN","Sort=A","Dates=H","DateFormat=P","Fill=—","Direction=H","UseDPDF=Y")</f>
        <v>—</v>
      </c>
      <c r="J24" s="1" t="str">
        <f>_xll.BDH("CRM US Equity","BS_TOTAL_LINE_OF_CREDIT","FQ1 2014","FQ1 2014","Currency=USD","Period=FQ","BEST_FPERIOD_OVERRIDE=FQ","FILING_STATUS=MR","SCALING_FORMAT=MLN","Sort=A","Dates=H","DateFormat=P","Fill=—","Direction=H","UseDPDF=Y")</f>
        <v>—</v>
      </c>
      <c r="K24" s="1" t="str">
        <f>_xll.BDH("CRM US Equity","BS_TOTAL_LINE_OF_CREDIT","FQ2 2014","FQ2 2014","Currency=USD","Period=FQ","BEST_FPERIOD_OVERRIDE=FQ","FILING_STATUS=MR","SCALING_FORMAT=MLN","Sort=A","Dates=H","DateFormat=P","Fill=—","Direction=H","UseDPDF=Y")</f>
        <v>—</v>
      </c>
      <c r="L24" s="1" t="str">
        <f>_xll.BDH("CRM US Equity","BS_TOTAL_LINE_OF_CREDIT","FQ3 2014","FQ3 2014","Currency=USD","Period=FQ","BEST_FPERIOD_OVERRIDE=FQ","FILING_STATUS=MR","SCALING_FORMAT=MLN","Sort=A","Dates=H","DateFormat=P","Fill=—","Direction=H","UseDPDF=Y")</f>
        <v>—</v>
      </c>
      <c r="M24" s="1" t="str">
        <f>_xll.BDH("CRM US Equity","BS_TOTAL_LINE_OF_CREDIT","FQ4 2014","FQ4 2014","Currency=USD","Period=FQ","BEST_FPERIOD_OVERRIDE=FQ","FILING_STATUS=MR","SCALING_FORMAT=MLN","Sort=A","Dates=H","DateFormat=P","Fill=—","Direction=H","UseDPDF=Y")</f>
        <v>—</v>
      </c>
      <c r="N24" s="1" t="str">
        <f>_xll.BDH("CRM US Equity","BS_TOTAL_LINE_OF_CREDIT","FQ1 2015","FQ1 2015","Currency=USD","Period=FQ","BEST_FPERIOD_OVERRIDE=FQ","FILING_STATUS=MR","SCALING_FORMAT=MLN","Sort=A","Dates=H","DateFormat=P","Fill=—","Direction=H","UseDPDF=Y")</f>
        <v>—</v>
      </c>
      <c r="O24" s="1" t="str">
        <f>_xll.BDH("CRM US Equity","BS_TOTAL_LINE_OF_CREDIT","FQ2 2015","FQ2 2015","Currency=USD","Period=FQ","BEST_FPERIOD_OVERRIDE=FQ","FILING_STATUS=MR","SCALING_FORMAT=MLN","Sort=A","Dates=H","DateFormat=P","Fill=—","Direction=H","UseDPDF=Y")</f>
        <v>—</v>
      </c>
      <c r="P24" s="1">
        <f>_xll.BDH("CRM US Equity","BS_TOTAL_LINE_OF_CREDIT","FQ3 2015","FQ3 2015","Currency=USD","Period=FQ","BEST_FPERIOD_OVERRIDE=FQ","FILING_STATUS=MR","SCALING_FORMAT=MLN","Sort=A","Dates=H","DateFormat=P","Fill=—","Direction=H","UseDPDF=Y")</f>
        <v>650</v>
      </c>
      <c r="Q24" s="1">
        <f>_xll.BDH("CRM US Equity","BS_TOTAL_LINE_OF_CREDIT","FQ4 2015","FQ4 2015","Currency=USD","Period=FQ","BEST_FPERIOD_OVERRIDE=FQ","FILING_STATUS=MR","SCALING_FORMAT=MLN","Sort=A","Dates=H","DateFormat=P","Fill=—","Direction=H","UseDPDF=Y")</f>
        <v>650</v>
      </c>
      <c r="R24" s="1">
        <f>_xll.BDH("CRM US Equity","BS_TOTAL_LINE_OF_CREDIT","FQ1 2016","FQ1 2016","Currency=USD","Period=FQ","BEST_FPERIOD_OVERRIDE=FQ","FILING_STATUS=MR","SCALING_FORMAT=MLN","Sort=A","Dates=H","DateFormat=P","Fill=—","Direction=H","UseDPDF=Y")</f>
        <v>650</v>
      </c>
      <c r="S24" s="1">
        <f>_xll.BDH("CRM US Equity","BS_TOTAL_LINE_OF_CREDIT","FQ2 2016","FQ2 2016","Currency=USD","Period=FQ","BEST_FPERIOD_OVERRIDE=FQ","FILING_STATUS=MR","SCALING_FORMAT=MLN","Sort=A","Dates=H","DateFormat=P","Fill=—","Direction=H","UseDPDF=Y")</f>
        <v>650</v>
      </c>
      <c r="T24" s="1">
        <f>_xll.BDH("CRM US Equity","BS_TOTAL_LINE_OF_CREDIT","FQ3 2016","FQ3 2016","Currency=USD","Period=FQ","BEST_FPERIOD_OVERRIDE=FQ","FILING_STATUS=MR","SCALING_FORMAT=MLN","Sort=A","Dates=H","DateFormat=P","Fill=—","Direction=H","UseDPDF=Y")</f>
        <v>650</v>
      </c>
      <c r="U24" s="1">
        <f>_xll.BDH("CRM US Equity","BS_TOTAL_LINE_OF_CREDIT","FQ4 2016","FQ4 2016","Currency=USD","Period=FQ","BEST_FPERIOD_OVERRIDE=FQ","FILING_STATUS=MR","SCALING_FORMAT=MLN","Sort=A","Dates=H","DateFormat=P","Fill=—","Direction=H","UseDPDF=Y")</f>
        <v>650</v>
      </c>
      <c r="V24" s="1">
        <f>_xll.BDH("CRM US Equity","BS_TOTAL_LINE_OF_CREDIT","FQ1 2017","FQ1 2017","Currency=USD","Period=FQ","BEST_FPERIOD_OVERRIDE=FQ","FILING_STATUS=MR","SCALING_FORMAT=MLN","Sort=A","Dates=H","DateFormat=P","Fill=—","Direction=H","UseDPDF=Y")</f>
        <v>650</v>
      </c>
      <c r="W24" s="1">
        <f>_xll.BDH("CRM US Equity","BS_TOTAL_LINE_OF_CREDIT","FQ2 2017","FQ2 2017","Currency=USD","Period=FQ","BEST_FPERIOD_OVERRIDE=FQ","FILING_STATUS=MR","SCALING_FORMAT=MLN","Sort=A","Dates=H","DateFormat=P","Fill=—","Direction=H","UseDPDF=Y")</f>
        <v>1000</v>
      </c>
      <c r="X24" s="1">
        <f>_xll.BDH("CRM US Equity","BS_TOTAL_LINE_OF_CREDIT","FQ3 2017","FQ3 2017","Currency=USD","Period=FQ","BEST_FPERIOD_OVERRIDE=FQ","FILING_STATUS=MR","SCALING_FORMAT=MLN","Sort=A","Dates=H","DateFormat=P","Fill=—","Direction=H","UseDPDF=Y")</f>
        <v>1000</v>
      </c>
      <c r="Y24" s="1">
        <f>_xll.BDH("CRM US Equity","BS_TOTAL_LINE_OF_CREDIT","FQ4 2017","FQ4 2017","Currency=USD","Period=FQ","BEST_FPERIOD_OVERRIDE=FQ","FILING_STATUS=MR","SCALING_FORMAT=MLN","Sort=A","Dates=H","DateFormat=P","Fill=—","Direction=H","UseDPDF=Y")</f>
        <v>1000</v>
      </c>
      <c r="Z24" s="1">
        <f>_xll.BDH("CRM US Equity","BS_TOTAL_LINE_OF_CREDIT","FQ1 2018","FQ1 2018","Currency=USD","Period=FQ","BEST_FPERIOD_OVERRIDE=FQ","FILING_STATUS=MR","SCALING_FORMAT=MLN","Sort=A","Dates=H","DateFormat=P","Fill=—","Direction=H","UseDPDF=Y")</f>
        <v>1000</v>
      </c>
      <c r="AA24" s="1">
        <f>_xll.BDH("CRM US Equity","BS_TOTAL_LINE_OF_CREDIT","FQ2 2018","FQ2 2018","Currency=USD","Period=FQ","BEST_FPERIOD_OVERRIDE=FQ","FILING_STATUS=MR","SCALING_FORMAT=MLN","Sort=A","Dates=H","DateFormat=P","Fill=—","Direction=H","UseDPDF=Y")</f>
        <v>1000</v>
      </c>
      <c r="AB24" s="1">
        <f>_xll.BDH("CRM US Equity","BS_TOTAL_LINE_OF_CREDIT","FQ3 2018","FQ3 2018","Currency=USD","Period=FQ","BEST_FPERIOD_OVERRIDE=FQ","FILING_STATUS=MR","SCALING_FORMAT=MLN","Sort=A","Dates=H","DateFormat=P","Fill=—","Direction=H","UseDPDF=Y")</f>
        <v>1000</v>
      </c>
      <c r="AC24" s="1">
        <f>_xll.BDH("CRM US Equity","BS_TOTAL_LINE_OF_CREDIT","FQ4 2018","FQ4 2018","Currency=USD","Period=FQ","BEST_FPERIOD_OVERRIDE=FQ","FILING_STATUS=MR","SCALING_FORMAT=MLN","Sort=A","Dates=H","DateFormat=P","Fill=—","Direction=H","UseDPDF=Y")</f>
        <v>1000</v>
      </c>
      <c r="AD24" s="1">
        <f>_xll.BDH("CRM US Equity","BS_TOTAL_LINE_OF_CREDIT","FQ1 2019","FQ1 2019","Currency=USD","Period=FQ","BEST_FPERIOD_OVERRIDE=FQ","FILING_STATUS=MR","SCALING_FORMAT=MLN","Sort=A","Dates=H","DateFormat=P","Fill=—","Direction=H","UseDPDF=Y")</f>
        <v>1000</v>
      </c>
      <c r="AE24" s="1">
        <f>_xll.BDH("CRM US Equity","BS_TOTAL_LINE_OF_CREDIT","FQ2 2019","FQ2 2019","Currency=USD","Period=FQ","BEST_FPERIOD_OVERRIDE=FQ","FILING_STATUS=MR","SCALING_FORMAT=MLN","Sort=A","Dates=H","DateFormat=P","Fill=—","Direction=H","UseDPDF=Y")</f>
        <v>1000</v>
      </c>
      <c r="AF24" s="1">
        <f>_xll.BDH("CRM US Equity","BS_TOTAL_LINE_OF_CREDIT","FQ3 2019","FQ3 2019","Currency=USD","Period=FQ","BEST_FPERIOD_OVERRIDE=FQ","FILING_STATUS=MR","SCALING_FORMAT=MLN","Sort=A","Dates=H","DateFormat=P","Fill=—","Direction=H","UseDPDF=Y")</f>
        <v>1000</v>
      </c>
      <c r="AG24" s="1">
        <f>_xll.BDH("CRM US Equity","BS_TOTAL_LINE_OF_CREDIT","FQ4 2019","FQ4 2019","Currency=USD","Period=FQ","BEST_FPERIOD_OVERRIDE=FQ","FILING_STATUS=MR","SCALING_FORMAT=MLN","Sort=A","Dates=H","DateFormat=P","Fill=—","Direction=H","UseDPDF=Y")</f>
        <v>1000</v>
      </c>
      <c r="AH24" s="1">
        <f>_xll.BDH("CRM US Equity","BS_TOTAL_LINE_OF_CREDIT","FQ1 2020","FQ1 2020","Currency=USD","Period=FQ","BEST_FPERIOD_OVERRIDE=FQ","FILING_STATUS=MR","SCALING_FORMAT=MLN","Sort=A","Dates=H","DateFormat=P","Fill=—","Direction=H","UseDPDF=Y")</f>
        <v>1000</v>
      </c>
      <c r="AI24" s="1">
        <f>_xll.BDH("CRM US Equity","BS_TOTAL_LINE_OF_CREDIT","FQ2 2020","FQ2 2020","Currency=USD","Period=FQ","BEST_FPERIOD_OVERRIDE=FQ","FILING_STATUS=MR","SCALING_FORMAT=MLN","Sort=A","Dates=H","DateFormat=P","Fill=—","Direction=H","UseDPDF=Y")</f>
        <v>1000</v>
      </c>
      <c r="AJ24" s="1">
        <f>_xll.BDH("CRM US Equity","BS_TOTAL_LINE_OF_CREDIT","FQ3 2020","FQ3 2020","Currency=USD","Period=FQ","BEST_FPERIOD_OVERRIDE=FQ","FILING_STATUS=MR","SCALING_FORMAT=MLN","Sort=A","Dates=H","DateFormat=P","Fill=—","Direction=H","UseDPDF=Y")</f>
        <v>1000</v>
      </c>
      <c r="AK24" s="1">
        <f>_xll.BDH("CRM US Equity","BS_TOTAL_LINE_OF_CREDIT","FQ4 2020","FQ4 2020","Currency=USD","Period=FQ","BEST_FPERIOD_OVERRIDE=FQ","FILING_STATUS=MR","SCALING_FORMAT=MLN","Sort=A","Dates=H","DateFormat=P","Fill=—","Direction=H","UseDPDF=Y")</f>
        <v>1000</v>
      </c>
      <c r="AL24" s="1">
        <f>_xll.BDH("CRM US Equity","BS_TOTAL_LINE_OF_CREDIT","FQ1 2021","FQ1 2021","Currency=USD","Period=FQ","BEST_FPERIOD_OVERRIDE=FQ","FILING_STATUS=MR","SCALING_FORMAT=MLN","Sort=A","Dates=H","DateFormat=P","Fill=—","Direction=H","UseDPDF=Y")</f>
        <v>1000</v>
      </c>
      <c r="AM24" s="1">
        <f>_xll.BDH("CRM US Equity","BS_TOTAL_LINE_OF_CREDIT","FQ2 2021","FQ2 2021","Currency=USD","Period=FQ","BEST_FPERIOD_OVERRIDE=FQ","FILING_STATUS=MR","SCALING_FORMAT=MLN","Sort=A","Dates=H","DateFormat=P","Fill=—","Direction=H","UseDPDF=Y")</f>
        <v>1000</v>
      </c>
      <c r="AN24" s="1">
        <f>_xll.BDH("CRM US Equity","BS_TOTAL_LINE_OF_CREDIT","FQ3 2021","FQ3 2021","Currency=USD","Period=FQ","BEST_FPERIOD_OVERRIDE=FQ","FILING_STATUS=MR","SCALING_FORMAT=MLN","Sort=A","Dates=H","DateFormat=P","Fill=—","Direction=H","UseDPDF=Y")</f>
        <v>1000</v>
      </c>
      <c r="AO24" s="1">
        <f>_xll.BDH("CRM US Equity","BS_TOTAL_LINE_OF_CREDIT","FQ4 2021","FQ4 2021","Currency=USD","Period=FQ","BEST_FPERIOD_OVERRIDE=FQ","FILING_STATUS=MR","SCALING_FORMAT=MLN","Sort=A","Dates=H","DateFormat=P","Fill=—","Direction=H","UseDPDF=Y")</f>
        <v>3000</v>
      </c>
      <c r="AP24" s="1">
        <f>_xll.BDH("CRM US Equity","BS_TOTAL_LINE_OF_CREDIT","FQ1 2022","FQ1 2022","Currency=USD","Period=FQ","BEST_FPERIOD_OVERRIDE=FQ","FILING_STATUS=MR","SCALING_FORMAT=MLN","Sort=A","Dates=H","DateFormat=P","Fill=—","Direction=H","UseDPDF=Y")</f>
        <v>3000</v>
      </c>
    </row>
    <row r="25" spans="1:42" x14ac:dyDescent="0.25">
      <c r="A25" s="8" t="s">
        <v>163</v>
      </c>
      <c r="B25" s="8" t="s">
        <v>162</v>
      </c>
      <c r="C25" s="1" t="str">
        <f>_xll.BDH("CRM US Equity","BS_TOTAL_AVAIL_LINE_OF_CREDIT","FQ2 2012","FQ2 2012","Currency=USD","Period=FQ","BEST_FPERIOD_OVERRIDE=FQ","FILING_STATUS=MR","SCALING_FORMAT=MLN","Sort=A","Dates=H","DateFormat=P","Fill=—","Direction=H","UseDPDF=Y")</f>
        <v>—</v>
      </c>
      <c r="D25" s="1" t="str">
        <f>_xll.BDH("CRM US Equity","BS_TOTAL_AVAIL_LINE_OF_CREDIT","FQ3 2012","FQ3 2012","Currency=USD","Period=FQ","BEST_FPERIOD_OVERRIDE=FQ","FILING_STATUS=MR","SCALING_FORMAT=MLN","Sort=A","Dates=H","DateFormat=P","Fill=—","Direction=H","UseDPDF=Y")</f>
        <v>—</v>
      </c>
      <c r="E25" s="1" t="str">
        <f>_xll.BDH("CRM US Equity","BS_TOTAL_AVAIL_LINE_OF_CREDIT","FQ4 2012","FQ4 2012","Currency=USD","Period=FQ","BEST_FPERIOD_OVERRIDE=FQ","FILING_STATUS=MR","SCALING_FORMAT=MLN","Sort=A","Dates=H","DateFormat=P","Fill=—","Direction=H","UseDPDF=Y")</f>
        <v>—</v>
      </c>
      <c r="F25" s="1" t="str">
        <f>_xll.BDH("CRM US Equity","BS_TOTAL_AVAIL_LINE_OF_CREDIT","FQ1 2013","FQ1 2013","Currency=USD","Period=FQ","BEST_FPERIOD_OVERRIDE=FQ","FILING_STATUS=MR","SCALING_FORMAT=MLN","Sort=A","Dates=H","DateFormat=P","Fill=—","Direction=H","UseDPDF=Y")</f>
        <v>—</v>
      </c>
      <c r="G25" s="1" t="str">
        <f>_xll.BDH("CRM US Equity","BS_TOTAL_AVAIL_LINE_OF_CREDIT","FQ2 2013","FQ2 2013","Currency=USD","Period=FQ","BEST_FPERIOD_OVERRIDE=FQ","FILING_STATUS=MR","SCALING_FORMAT=MLN","Sort=A","Dates=H","DateFormat=P","Fill=—","Direction=H","UseDPDF=Y")</f>
        <v>—</v>
      </c>
      <c r="H25" s="1" t="str">
        <f>_xll.BDH("CRM US Equity","BS_TOTAL_AVAIL_LINE_OF_CREDIT","FQ3 2013","FQ3 2013","Currency=USD","Period=FQ","BEST_FPERIOD_OVERRIDE=FQ","FILING_STATUS=MR","SCALING_FORMAT=MLN","Sort=A","Dates=H","DateFormat=P","Fill=—","Direction=H","UseDPDF=Y")</f>
        <v>—</v>
      </c>
      <c r="I25" s="1" t="str">
        <f>_xll.BDH("CRM US Equity","BS_TOTAL_AVAIL_LINE_OF_CREDIT","FQ4 2013","FQ4 2013","Currency=USD","Period=FQ","BEST_FPERIOD_OVERRIDE=FQ","FILING_STATUS=MR","SCALING_FORMAT=MLN","Sort=A","Dates=H","DateFormat=P","Fill=—","Direction=H","UseDPDF=Y")</f>
        <v>—</v>
      </c>
      <c r="J25" s="1" t="str">
        <f>_xll.BDH("CRM US Equity","BS_TOTAL_AVAIL_LINE_OF_CREDIT","FQ1 2014","FQ1 2014","Currency=USD","Period=FQ","BEST_FPERIOD_OVERRIDE=FQ","FILING_STATUS=MR","SCALING_FORMAT=MLN","Sort=A","Dates=H","DateFormat=P","Fill=—","Direction=H","UseDPDF=Y")</f>
        <v>—</v>
      </c>
      <c r="K25" s="1" t="str">
        <f>_xll.BDH("CRM US Equity","BS_TOTAL_AVAIL_LINE_OF_CREDIT","FQ2 2014","FQ2 2014","Currency=USD","Period=FQ","BEST_FPERIOD_OVERRIDE=FQ","FILING_STATUS=MR","SCALING_FORMAT=MLN","Sort=A","Dates=H","DateFormat=P","Fill=—","Direction=H","UseDPDF=Y")</f>
        <v>—</v>
      </c>
      <c r="L25" s="1" t="str">
        <f>_xll.BDH("CRM US Equity","BS_TOTAL_AVAIL_LINE_OF_CREDIT","FQ3 2014","FQ3 2014","Currency=USD","Period=FQ","BEST_FPERIOD_OVERRIDE=FQ","FILING_STATUS=MR","SCALING_FORMAT=MLN","Sort=A","Dates=H","DateFormat=P","Fill=—","Direction=H","UseDPDF=Y")</f>
        <v>—</v>
      </c>
      <c r="M25" s="1" t="str">
        <f>_xll.BDH("CRM US Equity","BS_TOTAL_AVAIL_LINE_OF_CREDIT","FQ4 2014","FQ4 2014","Currency=USD","Period=FQ","BEST_FPERIOD_OVERRIDE=FQ","FILING_STATUS=MR","SCALING_FORMAT=MLN","Sort=A","Dates=H","DateFormat=P","Fill=—","Direction=H","UseDPDF=Y")</f>
        <v>—</v>
      </c>
      <c r="N25" s="1" t="str">
        <f>_xll.BDH("CRM US Equity","BS_TOTAL_AVAIL_LINE_OF_CREDIT","FQ1 2015","FQ1 2015","Currency=USD","Period=FQ","BEST_FPERIOD_OVERRIDE=FQ","FILING_STATUS=MR","SCALING_FORMAT=MLN","Sort=A","Dates=H","DateFormat=P","Fill=—","Direction=H","UseDPDF=Y")</f>
        <v>—</v>
      </c>
      <c r="O25" s="1" t="str">
        <f>_xll.BDH("CRM US Equity","BS_TOTAL_AVAIL_LINE_OF_CREDIT","FQ2 2015","FQ2 2015","Currency=USD","Period=FQ","BEST_FPERIOD_OVERRIDE=FQ","FILING_STATUS=MR","SCALING_FORMAT=MLN","Sort=A","Dates=H","DateFormat=P","Fill=—","Direction=H","UseDPDF=Y")</f>
        <v>—</v>
      </c>
      <c r="P25" s="1">
        <f>_xll.BDH("CRM US Equity","BS_TOTAL_AVAIL_LINE_OF_CREDIT","FQ3 2015","FQ3 2015","Currency=USD","Period=FQ","BEST_FPERIOD_OVERRIDE=FQ","FILING_STATUS=MR","SCALING_FORMAT=MLN","Sort=A","Dates=H","DateFormat=P","Fill=—","Direction=H","UseDPDF=Y")</f>
        <v>350</v>
      </c>
      <c r="Q25" s="1">
        <f>_xll.BDH("CRM US Equity","BS_TOTAL_AVAIL_LINE_OF_CREDIT","FQ4 2015","FQ4 2015","Currency=USD","Period=FQ","BEST_FPERIOD_OVERRIDE=FQ","FILING_STATUS=MR","SCALING_FORMAT=MLN","Sort=A","Dates=H","DateFormat=P","Fill=—","Direction=H","UseDPDF=Y")</f>
        <v>350</v>
      </c>
      <c r="R25" s="1">
        <f>_xll.BDH("CRM US Equity","BS_TOTAL_AVAIL_LINE_OF_CREDIT","FQ1 2016","FQ1 2016","Currency=USD","Period=FQ","BEST_FPERIOD_OVERRIDE=FQ","FILING_STATUS=MR","SCALING_FORMAT=MLN","Sort=A","Dates=H","DateFormat=P","Fill=—","Direction=H","UseDPDF=Y")</f>
        <v>282.10000000000002</v>
      </c>
      <c r="S25" s="1">
        <f>_xll.BDH("CRM US Equity","BS_TOTAL_AVAIL_LINE_OF_CREDIT","FQ2 2016","FQ2 2016","Currency=USD","Period=FQ","BEST_FPERIOD_OVERRIDE=FQ","FILING_STATUS=MR","SCALING_FORMAT=MLN","Sort=A","Dates=H","DateFormat=P","Fill=—","Direction=H","UseDPDF=Y")</f>
        <v>280.3</v>
      </c>
      <c r="T25" s="1">
        <f>_xll.BDH("CRM US Equity","BS_TOTAL_AVAIL_LINE_OF_CREDIT","FQ3 2016","FQ3 2016","Currency=USD","Period=FQ","BEST_FPERIOD_OVERRIDE=FQ","FILING_STATUS=MR","SCALING_FORMAT=MLN","Sort=A","Dates=H","DateFormat=P","Fill=—","Direction=H","UseDPDF=Y")</f>
        <v>650</v>
      </c>
      <c r="U25" s="1">
        <f>_xll.BDH("CRM US Equity","BS_TOTAL_AVAIL_LINE_OF_CREDIT","FQ4 2016","FQ4 2016","Currency=USD","Period=FQ","BEST_FPERIOD_OVERRIDE=FQ","FILING_STATUS=MR","SCALING_FORMAT=MLN","Sort=A","Dates=H","DateFormat=P","Fill=—","Direction=H","UseDPDF=Y")</f>
        <v>350</v>
      </c>
      <c r="V25" s="1">
        <f>_xll.BDH("CRM US Equity","BS_TOTAL_AVAIL_LINE_OF_CREDIT","FQ1 2017","FQ1 2017","Currency=USD","Period=FQ","BEST_FPERIOD_OVERRIDE=FQ","FILING_STATUS=MR","SCALING_FORMAT=MLN","Sort=A","Dates=H","DateFormat=P","Fill=—","Direction=H","UseDPDF=Y")</f>
        <v>650</v>
      </c>
      <c r="W25" s="1">
        <f>_xll.BDH("CRM US Equity","BS_TOTAL_AVAIL_LINE_OF_CREDIT","FQ2 2017","FQ2 2017","Currency=USD","Period=FQ","BEST_FPERIOD_OVERRIDE=FQ","FILING_STATUS=MR","SCALING_FORMAT=MLN","Sort=A","Dates=H","DateFormat=P","Fill=—","Direction=H","UseDPDF=Y")</f>
        <v>1000</v>
      </c>
      <c r="X25" s="1">
        <f>_xll.BDH("CRM US Equity","BS_TOTAL_AVAIL_LINE_OF_CREDIT","FQ3 2017","FQ3 2017","Currency=USD","Period=FQ","BEST_FPERIOD_OVERRIDE=FQ","FILING_STATUS=MR","SCALING_FORMAT=MLN","Sort=A","Dates=H","DateFormat=P","Fill=—","Direction=H","UseDPDF=Y")</f>
        <v>1000</v>
      </c>
      <c r="Y25" s="1">
        <f>_xll.BDH("CRM US Equity","BS_TOTAL_AVAIL_LINE_OF_CREDIT","FQ4 2017","FQ4 2017","Currency=USD","Period=FQ","BEST_FPERIOD_OVERRIDE=FQ","FILING_STATUS=MR","SCALING_FORMAT=MLN","Sort=A","Dates=H","DateFormat=P","Fill=—","Direction=H","UseDPDF=Y")</f>
        <v>450</v>
      </c>
      <c r="Z25" s="1">
        <f>_xll.BDH("CRM US Equity","BS_TOTAL_AVAIL_LINE_OF_CREDIT","FQ1 2018","FQ1 2018","Currency=USD","Period=FQ","BEST_FPERIOD_OVERRIDE=FQ","FILING_STATUS=MR","SCALING_FORMAT=MLN","Sort=A","Dates=H","DateFormat=P","Fill=—","Direction=H","UseDPDF=Y")</f>
        <v>800</v>
      </c>
      <c r="AA25" s="1">
        <f>_xll.BDH("CRM US Equity","BS_TOTAL_AVAIL_LINE_OF_CREDIT","FQ2 2018","FQ2 2018","Currency=USD","Period=FQ","BEST_FPERIOD_OVERRIDE=FQ","FILING_STATUS=MR","SCALING_FORMAT=MLN","Sort=A","Dates=H","DateFormat=P","Fill=—","Direction=H","UseDPDF=Y")</f>
        <v>1000</v>
      </c>
      <c r="AB25" s="1">
        <f>_xll.BDH("CRM US Equity","BS_TOTAL_AVAIL_LINE_OF_CREDIT","FQ3 2018","FQ3 2018","Currency=USD","Period=FQ","BEST_FPERIOD_OVERRIDE=FQ","FILING_STATUS=MR","SCALING_FORMAT=MLN","Sort=A","Dates=H","DateFormat=P","Fill=—","Direction=H","UseDPDF=Y")</f>
        <v>1000</v>
      </c>
      <c r="AC25" s="1">
        <f>_xll.BDH("CRM US Equity","BS_TOTAL_AVAIL_LINE_OF_CREDIT","FQ4 2018","FQ4 2018","Currency=USD","Period=FQ","BEST_FPERIOD_OVERRIDE=FQ","FILING_STATUS=MR","SCALING_FORMAT=MLN","Sort=A","Dates=H","DateFormat=P","Fill=—","Direction=H","UseDPDF=Y")</f>
        <v>1000</v>
      </c>
      <c r="AD25" s="1">
        <f>_xll.BDH("CRM US Equity","BS_TOTAL_AVAIL_LINE_OF_CREDIT","FQ1 2019","FQ1 2019","Currency=USD","Period=FQ","BEST_FPERIOD_OVERRIDE=FQ","FILING_STATUS=MR","SCALING_FORMAT=MLN","Sort=A","Dates=H","DateFormat=P","Fill=—","Direction=H","UseDPDF=Y")</f>
        <v>1000</v>
      </c>
      <c r="AE25" s="1">
        <f>_xll.BDH("CRM US Equity","BS_TOTAL_AVAIL_LINE_OF_CREDIT","FQ2 2019","FQ2 2019","Currency=USD","Period=FQ","BEST_FPERIOD_OVERRIDE=FQ","FILING_STATUS=MR","SCALING_FORMAT=MLN","Sort=A","Dates=H","DateFormat=P","Fill=—","Direction=H","UseDPDF=Y")</f>
        <v>1000</v>
      </c>
      <c r="AF25" s="1">
        <f>_xll.BDH("CRM US Equity","BS_TOTAL_AVAIL_LINE_OF_CREDIT","FQ3 2019","FQ3 2019","Currency=USD","Period=FQ","BEST_FPERIOD_OVERRIDE=FQ","FILING_STATUS=MR","SCALING_FORMAT=MLN","Sort=A","Dates=H","DateFormat=P","Fill=—","Direction=H","UseDPDF=Y")</f>
        <v>1000</v>
      </c>
      <c r="AG25" s="1">
        <f>_xll.BDH("CRM US Equity","BS_TOTAL_AVAIL_LINE_OF_CREDIT","FQ4 2019","FQ4 2019","Currency=USD","Period=FQ","BEST_FPERIOD_OVERRIDE=FQ","FILING_STATUS=MR","SCALING_FORMAT=MLN","Sort=A","Dates=H","DateFormat=P","Fill=—","Direction=H","UseDPDF=Y")</f>
        <v>1000</v>
      </c>
      <c r="AH25" s="1">
        <f>_xll.BDH("CRM US Equity","BS_TOTAL_AVAIL_LINE_OF_CREDIT","FQ1 2020","FQ1 2020","Currency=USD","Period=FQ","BEST_FPERIOD_OVERRIDE=FQ","FILING_STATUS=MR","SCALING_FORMAT=MLN","Sort=A","Dates=H","DateFormat=P","Fill=—","Direction=H","UseDPDF=Y")</f>
        <v>1000</v>
      </c>
      <c r="AI25" s="1">
        <f>_xll.BDH("CRM US Equity","BS_TOTAL_AVAIL_LINE_OF_CREDIT","FQ2 2020","FQ2 2020","Currency=USD","Period=FQ","BEST_FPERIOD_OVERRIDE=FQ","FILING_STATUS=MR","SCALING_FORMAT=MLN","Sort=A","Dates=H","DateFormat=P","Fill=—","Direction=H","UseDPDF=Y")</f>
        <v>1000</v>
      </c>
      <c r="AJ25" s="1">
        <f>_xll.BDH("CRM US Equity","BS_TOTAL_AVAIL_LINE_OF_CREDIT","FQ3 2020","FQ3 2020","Currency=USD","Period=FQ","BEST_FPERIOD_OVERRIDE=FQ","FILING_STATUS=MR","SCALING_FORMAT=MLN","Sort=A","Dates=H","DateFormat=P","Fill=—","Direction=H","UseDPDF=Y")</f>
        <v>1000</v>
      </c>
      <c r="AK25" s="1">
        <f>_xll.BDH("CRM US Equity","BS_TOTAL_AVAIL_LINE_OF_CREDIT","FQ4 2020","FQ4 2020","Currency=USD","Period=FQ","BEST_FPERIOD_OVERRIDE=FQ","FILING_STATUS=MR","SCALING_FORMAT=MLN","Sort=A","Dates=H","DateFormat=P","Fill=—","Direction=H","UseDPDF=Y")</f>
        <v>1000</v>
      </c>
      <c r="AL25" s="1">
        <f>_xll.BDH("CRM US Equity","BS_TOTAL_AVAIL_LINE_OF_CREDIT","FQ1 2021","FQ1 2021","Currency=USD","Period=FQ","BEST_FPERIOD_OVERRIDE=FQ","FILING_STATUS=MR","SCALING_FORMAT=MLN","Sort=A","Dates=H","DateFormat=P","Fill=—","Direction=H","UseDPDF=Y")</f>
        <v>1000</v>
      </c>
      <c r="AM25" s="1">
        <f>_xll.BDH("CRM US Equity","BS_TOTAL_AVAIL_LINE_OF_CREDIT","FQ2 2021","FQ2 2021","Currency=USD","Period=FQ","BEST_FPERIOD_OVERRIDE=FQ","FILING_STATUS=MR","SCALING_FORMAT=MLN","Sort=A","Dates=H","DateFormat=P","Fill=—","Direction=H","UseDPDF=Y")</f>
        <v>1000</v>
      </c>
      <c r="AN25" s="1">
        <f>_xll.BDH("CRM US Equity","BS_TOTAL_AVAIL_LINE_OF_CREDIT","FQ3 2021","FQ3 2021","Currency=USD","Period=FQ","BEST_FPERIOD_OVERRIDE=FQ","FILING_STATUS=MR","SCALING_FORMAT=MLN","Sort=A","Dates=H","DateFormat=P","Fill=—","Direction=H","UseDPDF=Y")</f>
        <v>1000</v>
      </c>
      <c r="AO25" s="1">
        <f>_xll.BDH("CRM US Equity","BS_TOTAL_AVAIL_LINE_OF_CREDIT","FQ4 2021","FQ4 2021","Currency=USD","Period=FQ","BEST_FPERIOD_OVERRIDE=FQ","FILING_STATUS=MR","SCALING_FORMAT=MLN","Sort=A","Dates=H","DateFormat=P","Fill=—","Direction=H","UseDPDF=Y")</f>
        <v>3000</v>
      </c>
      <c r="AP25" s="1">
        <f>_xll.BDH("CRM US Equity","BS_TOTAL_AVAIL_LINE_OF_CREDIT","FQ1 2022","FQ1 2022","Currency=USD","Period=FQ","BEST_FPERIOD_OVERRIDE=FQ","FILING_STATUS=MR","SCALING_FORMAT=MLN","Sort=A","Dates=H","DateFormat=P","Fill=—","Direction=H","UseDPDF=Y")</f>
        <v>3000</v>
      </c>
    </row>
    <row r="26" spans="1:42" x14ac:dyDescent="0.25">
      <c r="A26" s="8" t="s">
        <v>161</v>
      </c>
      <c r="B26" s="8" t="s">
        <v>160</v>
      </c>
      <c r="C26" s="1">
        <f>_xll.BDH("CRM US Equity","LINE_OF_CREDIT_UTILIZED_AMOUNT","FQ2 2012","FQ2 2012","Currency=USD","Period=FQ","BEST_FPERIOD_OVERRIDE=FQ","FILING_STATUS=MR","SCALING_FORMAT=MLN","Sort=A","Dates=H","DateFormat=P","Fill=—","Direction=H","UseDPDF=Y")</f>
        <v>0</v>
      </c>
      <c r="D26" s="1">
        <f>_xll.BDH("CRM US Equity","LINE_OF_CREDIT_UTILIZED_AMOUNT","FQ3 2012","FQ3 2012","Currency=USD","Period=FQ","BEST_FPERIOD_OVERRIDE=FQ","FILING_STATUS=MR","SCALING_FORMAT=MLN","Sort=A","Dates=H","DateFormat=P","Fill=—","Direction=H","UseDPDF=Y")</f>
        <v>0</v>
      </c>
      <c r="E26" s="1" t="str">
        <f>_xll.BDH("CRM US Equity","LINE_OF_CREDIT_UTILIZED_AMOUNT","FQ4 2012","FQ4 2012","Currency=USD","Period=FQ","BEST_FPERIOD_OVERRIDE=FQ","FILING_STATUS=MR","SCALING_FORMAT=MLN","Sort=A","Dates=H","DateFormat=P","Fill=—","Direction=H","UseDPDF=Y")</f>
        <v>—</v>
      </c>
      <c r="F26" s="1">
        <f>_xll.BDH("CRM US Equity","LINE_OF_CREDIT_UTILIZED_AMOUNT","FQ1 2013","FQ1 2013","Currency=USD","Period=FQ","BEST_FPERIOD_OVERRIDE=FQ","FILING_STATUS=MR","SCALING_FORMAT=MLN","Sort=A","Dates=H","DateFormat=P","Fill=—","Direction=H","UseDPDF=Y")</f>
        <v>0</v>
      </c>
      <c r="G26" s="1">
        <f>_xll.BDH("CRM US Equity","LINE_OF_CREDIT_UTILIZED_AMOUNT","FQ2 2013","FQ2 2013","Currency=USD","Period=FQ","BEST_FPERIOD_OVERRIDE=FQ","FILING_STATUS=MR","SCALING_FORMAT=MLN","Sort=A","Dates=H","DateFormat=P","Fill=—","Direction=H","UseDPDF=Y")</f>
        <v>0</v>
      </c>
      <c r="H26" s="1">
        <f>_xll.BDH("CRM US Equity","LINE_OF_CREDIT_UTILIZED_AMOUNT","FQ3 2013","FQ3 2013","Currency=USD","Period=FQ","BEST_FPERIOD_OVERRIDE=FQ","FILING_STATUS=MR","SCALING_FORMAT=MLN","Sort=A","Dates=H","DateFormat=P","Fill=—","Direction=H","UseDPDF=Y")</f>
        <v>0</v>
      </c>
      <c r="I26" s="1" t="str">
        <f>_xll.BDH("CRM US Equity","LINE_OF_CREDIT_UTILIZED_AMOUNT","FQ4 2013","FQ4 2013","Currency=USD","Period=FQ","BEST_FPERIOD_OVERRIDE=FQ","FILING_STATUS=MR","SCALING_FORMAT=MLN","Sort=A","Dates=H","DateFormat=P","Fill=—","Direction=H","UseDPDF=Y")</f>
        <v>—</v>
      </c>
      <c r="J26" s="1">
        <f>_xll.BDH("CRM US Equity","LINE_OF_CREDIT_UTILIZED_AMOUNT","FQ1 2014","FQ1 2014","Currency=USD","Period=FQ","BEST_FPERIOD_OVERRIDE=FQ","FILING_STATUS=MR","SCALING_FORMAT=MLN","Sort=A","Dates=H","DateFormat=P","Fill=—","Direction=H","UseDPDF=Y")</f>
        <v>0</v>
      </c>
      <c r="K26" s="1">
        <f>_xll.BDH("CRM US Equity","LINE_OF_CREDIT_UTILIZED_AMOUNT","FQ2 2014","FQ2 2014","Currency=USD","Period=FQ","BEST_FPERIOD_OVERRIDE=FQ","FILING_STATUS=MR","SCALING_FORMAT=MLN","Sort=A","Dates=H","DateFormat=P","Fill=—","Direction=H","UseDPDF=Y")</f>
        <v>0</v>
      </c>
      <c r="L26" s="1" t="str">
        <f>_xll.BDH("CRM US Equity","LINE_OF_CREDIT_UTILIZED_AMOUNT","FQ3 2014","FQ3 2014","Currency=USD","Period=FQ","BEST_FPERIOD_OVERRIDE=FQ","FILING_STATUS=MR","SCALING_FORMAT=MLN","Sort=A","Dates=H","DateFormat=P","Fill=—","Direction=H","UseDPDF=Y")</f>
        <v>—</v>
      </c>
      <c r="M26" s="1" t="str">
        <f>_xll.BDH("CRM US Equity","LINE_OF_CREDIT_UTILIZED_AMOUNT","FQ4 2014","FQ4 2014","Currency=USD","Period=FQ","BEST_FPERIOD_OVERRIDE=FQ","FILING_STATUS=MR","SCALING_FORMAT=MLN","Sort=A","Dates=H","DateFormat=P","Fill=—","Direction=H","UseDPDF=Y")</f>
        <v>—</v>
      </c>
      <c r="N26" s="1">
        <f>_xll.BDH("CRM US Equity","LINE_OF_CREDIT_UTILIZED_AMOUNT","FQ1 2015","FQ1 2015","Currency=USD","Period=FQ","BEST_FPERIOD_OVERRIDE=FQ","FILING_STATUS=MR","SCALING_FORMAT=MLN","Sort=A","Dates=H","DateFormat=P","Fill=—","Direction=H","UseDPDF=Y")</f>
        <v>0</v>
      </c>
      <c r="O26" s="1" t="str">
        <f>_xll.BDH("CRM US Equity","LINE_OF_CREDIT_UTILIZED_AMOUNT","FQ2 2015","FQ2 2015","Currency=USD","Period=FQ","BEST_FPERIOD_OVERRIDE=FQ","FILING_STATUS=MR","SCALING_FORMAT=MLN","Sort=A","Dates=H","DateFormat=P","Fill=—","Direction=H","UseDPDF=Y")</f>
        <v>—</v>
      </c>
      <c r="P26" s="1">
        <f>_xll.BDH("CRM US Equity","LINE_OF_CREDIT_UTILIZED_AMOUNT","FQ3 2015","FQ3 2015","Currency=USD","Period=FQ","BEST_FPERIOD_OVERRIDE=FQ","FILING_STATUS=MR","SCALING_FORMAT=MLN","Sort=A","Dates=H","DateFormat=P","Fill=—","Direction=H","UseDPDF=Y")</f>
        <v>300</v>
      </c>
      <c r="Q26" s="1">
        <f>_xll.BDH("CRM US Equity","LINE_OF_CREDIT_UTILIZED_AMOUNT","FQ4 2015","FQ4 2015","Currency=USD","Period=FQ","BEST_FPERIOD_OVERRIDE=FQ","FILING_STATUS=MR","SCALING_FORMAT=MLN","Sort=A","Dates=H","DateFormat=P","Fill=—","Direction=H","UseDPDF=Y")</f>
        <v>300</v>
      </c>
      <c r="R26" s="1">
        <f>_xll.BDH("CRM US Equity","LINE_OF_CREDIT_UTILIZED_AMOUNT","FQ1 2016","FQ1 2016","Currency=USD","Period=FQ","BEST_FPERIOD_OVERRIDE=FQ","FILING_STATUS=MR","SCALING_FORMAT=MLN","Sort=A","Dates=H","DateFormat=P","Fill=—","Direction=H","UseDPDF=Y")</f>
        <v>367.9</v>
      </c>
      <c r="S26" s="1">
        <f>_xll.BDH("CRM US Equity","LINE_OF_CREDIT_UTILIZED_AMOUNT","FQ2 2016","FQ2 2016","Currency=USD","Period=FQ","BEST_FPERIOD_OVERRIDE=FQ","FILING_STATUS=MR","SCALING_FORMAT=MLN","Sort=A","Dates=H","DateFormat=P","Fill=—","Direction=H","UseDPDF=Y")</f>
        <v>369.7</v>
      </c>
      <c r="T26" s="1">
        <f>_xll.BDH("CRM US Equity","LINE_OF_CREDIT_UTILIZED_AMOUNT","FQ3 2016","FQ3 2016","Currency=USD","Period=FQ","BEST_FPERIOD_OVERRIDE=FQ","FILING_STATUS=MR","SCALING_FORMAT=MLN","Sort=A","Dates=H","DateFormat=P","Fill=—","Direction=H","UseDPDF=Y")</f>
        <v>0</v>
      </c>
      <c r="U26" s="1">
        <f>_xll.BDH("CRM US Equity","LINE_OF_CREDIT_UTILIZED_AMOUNT","FQ4 2016","FQ4 2016","Currency=USD","Period=FQ","BEST_FPERIOD_OVERRIDE=FQ","FILING_STATUS=MR","SCALING_FORMAT=MLN","Sort=A","Dates=H","DateFormat=P","Fill=—","Direction=H","UseDPDF=Y")</f>
        <v>300</v>
      </c>
      <c r="V26" s="1">
        <f>_xll.BDH("CRM US Equity","LINE_OF_CREDIT_UTILIZED_AMOUNT","FQ1 2017","FQ1 2017","Currency=USD","Period=FQ","BEST_FPERIOD_OVERRIDE=FQ","FILING_STATUS=MR","SCALING_FORMAT=MLN","Sort=A","Dates=H","DateFormat=P","Fill=—","Direction=H","UseDPDF=Y")</f>
        <v>0</v>
      </c>
      <c r="W26" s="1">
        <f>_xll.BDH("CRM US Equity","LINE_OF_CREDIT_UTILIZED_AMOUNT","FQ2 2017","FQ2 2017","Currency=USD","Period=FQ","BEST_FPERIOD_OVERRIDE=FQ","FILING_STATUS=MR","SCALING_FORMAT=MLN","Sort=A","Dates=H","DateFormat=P","Fill=—","Direction=H","UseDPDF=Y")</f>
        <v>0</v>
      </c>
      <c r="X26" s="1">
        <f>_xll.BDH("CRM US Equity","LINE_OF_CREDIT_UTILIZED_AMOUNT","FQ3 2017","FQ3 2017","Currency=USD","Period=FQ","BEST_FPERIOD_OVERRIDE=FQ","FILING_STATUS=MR","SCALING_FORMAT=MLN","Sort=A","Dates=H","DateFormat=P","Fill=—","Direction=H","UseDPDF=Y")</f>
        <v>0</v>
      </c>
      <c r="Y26" s="1">
        <f>_xll.BDH("CRM US Equity","LINE_OF_CREDIT_UTILIZED_AMOUNT","FQ4 2017","FQ4 2017","Currency=USD","Period=FQ","BEST_FPERIOD_OVERRIDE=FQ","FILING_STATUS=MR","SCALING_FORMAT=MLN","Sort=A","Dates=H","DateFormat=P","Fill=—","Direction=H","UseDPDF=Y")</f>
        <v>550</v>
      </c>
      <c r="Z26" s="1">
        <f>_xll.BDH("CRM US Equity","LINE_OF_CREDIT_UTILIZED_AMOUNT","FQ1 2018","FQ1 2018","Currency=USD","Period=FQ","BEST_FPERIOD_OVERRIDE=FQ","FILING_STATUS=MR","SCALING_FORMAT=MLN","Sort=A","Dates=H","DateFormat=P","Fill=—","Direction=H","UseDPDF=Y")</f>
        <v>200</v>
      </c>
      <c r="AA26" s="1">
        <f>_xll.BDH("CRM US Equity","LINE_OF_CREDIT_UTILIZED_AMOUNT","FQ2 2018","FQ2 2018","Currency=USD","Period=FQ","BEST_FPERIOD_OVERRIDE=FQ","FILING_STATUS=MR","SCALING_FORMAT=MLN","Sort=A","Dates=H","DateFormat=P","Fill=—","Direction=H","UseDPDF=Y")</f>
        <v>0</v>
      </c>
      <c r="AB26" s="1">
        <f>_xll.BDH("CRM US Equity","LINE_OF_CREDIT_UTILIZED_AMOUNT","FQ3 2018","FQ3 2018","Currency=USD","Period=FQ","BEST_FPERIOD_OVERRIDE=FQ","FILING_STATUS=MR","SCALING_FORMAT=MLN","Sort=A","Dates=H","DateFormat=P","Fill=—","Direction=H","UseDPDF=Y")</f>
        <v>0</v>
      </c>
      <c r="AC26" s="1">
        <f>_xll.BDH("CRM US Equity","LINE_OF_CREDIT_UTILIZED_AMOUNT","FQ4 2018","FQ4 2018","Currency=USD","Period=FQ","BEST_FPERIOD_OVERRIDE=FQ","FILING_STATUS=MR","SCALING_FORMAT=MLN","Sort=A","Dates=H","DateFormat=P","Fill=—","Direction=H","UseDPDF=Y")</f>
        <v>0</v>
      </c>
      <c r="AD26" s="1">
        <f>_xll.BDH("CRM US Equity","LINE_OF_CREDIT_UTILIZED_AMOUNT","FQ1 2019","FQ1 2019","Currency=USD","Period=FQ","BEST_FPERIOD_OVERRIDE=FQ","FILING_STATUS=MR","SCALING_FORMAT=MLN","Sort=A","Dates=H","DateFormat=P","Fill=—","Direction=H","UseDPDF=Y")</f>
        <v>0</v>
      </c>
      <c r="AE26" s="1">
        <f>_xll.BDH("CRM US Equity","LINE_OF_CREDIT_UTILIZED_AMOUNT","FQ2 2019","FQ2 2019","Currency=USD","Period=FQ","BEST_FPERIOD_OVERRIDE=FQ","FILING_STATUS=MR","SCALING_FORMAT=MLN","Sort=A","Dates=H","DateFormat=P","Fill=—","Direction=H","UseDPDF=Y")</f>
        <v>0</v>
      </c>
      <c r="AF26" s="1">
        <f>_xll.BDH("CRM US Equity","LINE_OF_CREDIT_UTILIZED_AMOUNT","FQ3 2019","FQ3 2019","Currency=USD","Period=FQ","BEST_FPERIOD_OVERRIDE=FQ","FILING_STATUS=MR","SCALING_FORMAT=MLN","Sort=A","Dates=H","DateFormat=P","Fill=—","Direction=H","UseDPDF=Y")</f>
        <v>0</v>
      </c>
      <c r="AG26" s="1">
        <f>_xll.BDH("CRM US Equity","LINE_OF_CREDIT_UTILIZED_AMOUNT","FQ4 2019","FQ4 2019","Currency=USD","Period=FQ","BEST_FPERIOD_OVERRIDE=FQ","FILING_STATUS=MR","SCALING_FORMAT=MLN","Sort=A","Dates=H","DateFormat=P","Fill=—","Direction=H","UseDPDF=Y")</f>
        <v>0</v>
      </c>
      <c r="AH26" s="1">
        <f>_xll.BDH("CRM US Equity","LINE_OF_CREDIT_UTILIZED_AMOUNT","FQ1 2020","FQ1 2020","Currency=USD","Period=FQ","BEST_FPERIOD_OVERRIDE=FQ","FILING_STATUS=MR","SCALING_FORMAT=MLN","Sort=A","Dates=H","DateFormat=P","Fill=—","Direction=H","UseDPDF=Y")</f>
        <v>0</v>
      </c>
      <c r="AI26" s="1">
        <f>_xll.BDH("CRM US Equity","LINE_OF_CREDIT_UTILIZED_AMOUNT","FQ2 2020","FQ2 2020","Currency=USD","Period=FQ","BEST_FPERIOD_OVERRIDE=FQ","FILING_STATUS=MR","SCALING_FORMAT=MLN","Sort=A","Dates=H","DateFormat=P","Fill=—","Direction=H","UseDPDF=Y")</f>
        <v>0</v>
      </c>
      <c r="AJ26" s="1">
        <f>_xll.BDH("CRM US Equity","LINE_OF_CREDIT_UTILIZED_AMOUNT","FQ3 2020","FQ3 2020","Currency=USD","Period=FQ","BEST_FPERIOD_OVERRIDE=FQ","FILING_STATUS=MR","SCALING_FORMAT=MLN","Sort=A","Dates=H","DateFormat=P","Fill=—","Direction=H","UseDPDF=Y")</f>
        <v>0</v>
      </c>
      <c r="AK26" s="1">
        <f>_xll.BDH("CRM US Equity","LINE_OF_CREDIT_UTILIZED_AMOUNT","FQ4 2020","FQ4 2020","Currency=USD","Period=FQ","BEST_FPERIOD_OVERRIDE=FQ","FILING_STATUS=MR","SCALING_FORMAT=MLN","Sort=A","Dates=H","DateFormat=P","Fill=—","Direction=H","UseDPDF=Y")</f>
        <v>0</v>
      </c>
      <c r="AL26" s="1">
        <f>_xll.BDH("CRM US Equity","LINE_OF_CREDIT_UTILIZED_AMOUNT","FQ1 2021","FQ1 2021","Currency=USD","Period=FQ","BEST_FPERIOD_OVERRIDE=FQ","FILING_STATUS=MR","SCALING_FORMAT=MLN","Sort=A","Dates=H","DateFormat=P","Fill=—","Direction=H","UseDPDF=Y")</f>
        <v>0</v>
      </c>
      <c r="AM26" s="1">
        <f>_xll.BDH("CRM US Equity","LINE_OF_CREDIT_UTILIZED_AMOUNT","FQ2 2021","FQ2 2021","Currency=USD","Period=FQ","BEST_FPERIOD_OVERRIDE=FQ","FILING_STATUS=MR","SCALING_FORMAT=MLN","Sort=A","Dates=H","DateFormat=P","Fill=—","Direction=H","UseDPDF=Y")</f>
        <v>0</v>
      </c>
      <c r="AN26" s="1">
        <f>_xll.BDH("CRM US Equity","LINE_OF_CREDIT_UTILIZED_AMOUNT","FQ3 2021","FQ3 2021","Currency=USD","Period=FQ","BEST_FPERIOD_OVERRIDE=FQ","FILING_STATUS=MR","SCALING_FORMAT=MLN","Sort=A","Dates=H","DateFormat=P","Fill=—","Direction=H","UseDPDF=Y")</f>
        <v>0</v>
      </c>
      <c r="AO26" s="1">
        <f>_xll.BDH("CRM US Equity","LINE_OF_CREDIT_UTILIZED_AMOUNT","FQ4 2021","FQ4 2021","Currency=USD","Period=FQ","BEST_FPERIOD_OVERRIDE=FQ","FILING_STATUS=MR","SCALING_FORMAT=MLN","Sort=A","Dates=H","DateFormat=P","Fill=—","Direction=H","UseDPDF=Y")</f>
        <v>0</v>
      </c>
      <c r="AP26" s="1">
        <f>_xll.BDH("CRM US Equity","LINE_OF_CREDIT_UTILIZED_AMOUNT","FQ1 2022","FQ1 2022","Currency=USD","Period=FQ","BEST_FPERIOD_OVERRIDE=FQ","FILING_STATUS=MR","SCALING_FORMAT=MLN","Sort=A","Dates=H","DateFormat=P","Fill=—","Direction=H","UseDPDF=Y")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118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Profitability (2)</vt:lpstr>
      <vt:lpstr>Liquidity</vt:lpstr>
      <vt:lpstr>Liquidity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2021-07-07T12:47:12Z</dcterms:modified>
</cp:coreProperties>
</file>