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uhardjo\Desktop\"/>
    </mc:Choice>
  </mc:AlternateContent>
  <bookViews>
    <workbookView xWindow="10395" yWindow="-105" windowWidth="14850" windowHeight="12735" activeTab="2"/>
  </bookViews>
  <sheets>
    <sheet name="Profitability" sheetId="2" r:id="rId1"/>
    <sheet name="Profitability (2)" sheetId="3" r:id="rId2"/>
    <sheet name="Liquidity" sheetId="4" r:id="rId3"/>
  </sheets>
  <calcPr calcId="162913"/>
</workbook>
</file>

<file path=xl/calcChain.xml><?xml version="1.0" encoding="utf-8"?>
<calcChain xmlns="http://schemas.openxmlformats.org/spreadsheetml/2006/main">
  <c r="C6" i="4" l="1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O10" i="2"/>
  <c r="Z8" i="2"/>
  <c r="J14" i="2"/>
  <c r="Y7" i="2"/>
  <c r="E9" i="2"/>
  <c r="Y10" i="2"/>
  <c r="M16" i="2"/>
  <c r="AM10" i="2"/>
  <c r="AG13" i="2"/>
  <c r="Q18" i="2"/>
  <c r="N7" i="2"/>
  <c r="J8" i="2"/>
  <c r="R9" i="2"/>
  <c r="Z10" i="2"/>
  <c r="F14" i="2"/>
  <c r="C7" i="2"/>
  <c r="O7" i="2"/>
  <c r="AA7" i="2"/>
  <c r="W8" i="2"/>
  <c r="AM7" i="2"/>
  <c r="K8" i="2"/>
  <c r="AI8" i="2"/>
  <c r="G9" i="2"/>
  <c r="AE9" i="2"/>
  <c r="C10" i="2"/>
  <c r="S9" i="2"/>
  <c r="AA10" i="2"/>
  <c r="K13" i="2"/>
  <c r="G14" i="2"/>
  <c r="W13" i="2"/>
  <c r="AI13" i="2"/>
  <c r="O24" i="2"/>
  <c r="S14" i="2"/>
  <c r="AE14" i="2"/>
  <c r="C16" i="2"/>
  <c r="O16" i="2"/>
  <c r="AM16" i="2"/>
  <c r="W17" i="2"/>
  <c r="K17" i="2"/>
  <c r="AA16" i="2"/>
  <c r="G18" i="2"/>
  <c r="AI17" i="2"/>
  <c r="AE18" i="2"/>
  <c r="S18" i="2"/>
  <c r="O19" i="2"/>
  <c r="C19" i="2"/>
  <c r="W20" i="2"/>
  <c r="AA19" i="2"/>
  <c r="AM19" i="2"/>
  <c r="K20" i="2"/>
  <c r="S21" i="2"/>
  <c r="G21" i="2"/>
  <c r="AI20" i="2"/>
  <c r="AE21" i="2"/>
  <c r="C24" i="2"/>
  <c r="AM24" i="2"/>
  <c r="AA24" i="2"/>
  <c r="W25" i="2"/>
  <c r="S26" i="2"/>
  <c r="AI25" i="2"/>
  <c r="K25" i="2"/>
  <c r="L8" i="2"/>
  <c r="AE26" i="2"/>
  <c r="G26" i="2"/>
  <c r="M7" i="2"/>
  <c r="AL13" i="2"/>
  <c r="AL8" i="2"/>
  <c r="AG8" i="2"/>
  <c r="U13" i="2"/>
  <c r="AO14" i="2"/>
  <c r="M10" i="2"/>
  <c r="E18" i="2"/>
  <c r="Z7" i="2"/>
  <c r="V8" i="2"/>
  <c r="AP9" i="2"/>
  <c r="V13" i="2"/>
  <c r="P7" i="2"/>
  <c r="D7" i="2"/>
  <c r="AB7" i="2"/>
  <c r="AN7" i="2"/>
  <c r="AJ8" i="2"/>
  <c r="X8" i="2"/>
  <c r="H9" i="2"/>
  <c r="T9" i="2"/>
  <c r="AF9" i="2"/>
  <c r="P10" i="2"/>
  <c r="D10" i="2"/>
  <c r="AB10" i="2"/>
  <c r="AN10" i="2"/>
  <c r="X13" i="2"/>
  <c r="H14" i="2"/>
  <c r="L13" i="2"/>
  <c r="AJ13" i="2"/>
  <c r="AF14" i="2"/>
  <c r="D16" i="2"/>
  <c r="T14" i="2"/>
  <c r="P16" i="2"/>
  <c r="AB16" i="2"/>
  <c r="AN16" i="2"/>
  <c r="AJ17" i="2"/>
  <c r="H18" i="2"/>
  <c r="L17" i="2"/>
  <c r="X17" i="2"/>
  <c r="AF18" i="2"/>
  <c r="D19" i="2"/>
  <c r="T18" i="2"/>
  <c r="P19" i="2"/>
  <c r="X20" i="2"/>
  <c r="AJ20" i="2"/>
  <c r="AB19" i="2"/>
  <c r="L20" i="2"/>
  <c r="H21" i="2"/>
  <c r="AN19" i="2"/>
  <c r="T21" i="2"/>
  <c r="D24" i="2"/>
  <c r="AF21" i="2"/>
  <c r="AN24" i="2"/>
  <c r="P24" i="2"/>
  <c r="AB24" i="2"/>
  <c r="L25" i="2"/>
  <c r="X25" i="2"/>
  <c r="AJ25" i="2"/>
  <c r="H26" i="2"/>
  <c r="T26" i="2"/>
  <c r="Z13" i="2"/>
  <c r="AF26" i="2"/>
  <c r="AP7" i="2"/>
  <c r="U8" i="2"/>
  <c r="AO9" i="2"/>
  <c r="Y16" i="2"/>
  <c r="E14" i="2"/>
  <c r="AJ7" i="2"/>
  <c r="U17" i="2"/>
  <c r="M19" i="2"/>
  <c r="AH8" i="2"/>
  <c r="AD9" i="2"/>
  <c r="Q10" i="2"/>
  <c r="AL10" i="2"/>
  <c r="E7" i="2"/>
  <c r="AC7" i="2"/>
  <c r="Q7" i="2"/>
  <c r="AO7" i="2"/>
  <c r="M8" i="2"/>
  <c r="I9" i="2"/>
  <c r="AK8" i="2"/>
  <c r="Y8" i="2"/>
  <c r="AG9" i="2"/>
  <c r="AO16" i="2"/>
  <c r="U9" i="2"/>
  <c r="E10" i="2"/>
  <c r="AC10" i="2"/>
  <c r="AO10" i="2"/>
  <c r="M13" i="2"/>
  <c r="Y13" i="2"/>
  <c r="AK13" i="2"/>
  <c r="I14" i="2"/>
  <c r="AG14" i="2"/>
  <c r="E16" i="2"/>
  <c r="U14" i="2"/>
  <c r="Q16" i="2"/>
  <c r="AC16" i="2"/>
  <c r="E19" i="2"/>
  <c r="M17" i="2"/>
  <c r="Y17" i="2"/>
  <c r="I18" i="2"/>
  <c r="AK17" i="2"/>
  <c r="U18" i="2"/>
  <c r="AG18" i="2"/>
  <c r="Q19" i="2"/>
  <c r="AC24" i="2"/>
  <c r="AC19" i="2"/>
  <c r="M20" i="2"/>
  <c r="Y20" i="2"/>
  <c r="AO19" i="2"/>
  <c r="AK20" i="2"/>
  <c r="U21" i="2"/>
  <c r="I21" i="2"/>
  <c r="AG21" i="2"/>
  <c r="U26" i="2"/>
  <c r="E24" i="2"/>
  <c r="AO24" i="2"/>
  <c r="Y25" i="2"/>
  <c r="Q24" i="2"/>
  <c r="M25" i="2"/>
  <c r="AK25" i="2"/>
  <c r="I26" i="2"/>
  <c r="AG26" i="2"/>
  <c r="R7" i="2"/>
  <c r="N17" i="2"/>
  <c r="V14" i="2"/>
  <c r="AH9" i="2"/>
  <c r="AL17" i="2"/>
  <c r="V18" i="2"/>
  <c r="F19" i="2"/>
  <c r="AD19" i="2"/>
  <c r="N20" i="2"/>
  <c r="AD24" i="2"/>
  <c r="N25" i="2"/>
  <c r="AH21" i="2"/>
  <c r="AM8" i="2"/>
  <c r="V21" i="2"/>
  <c r="AL20" i="2"/>
  <c r="AL25" i="2"/>
  <c r="V26" i="2"/>
  <c r="G7" i="2"/>
  <c r="AE7" i="2"/>
  <c r="S7" i="2"/>
  <c r="O8" i="2"/>
  <c r="C8" i="2"/>
  <c r="AA8" i="2"/>
  <c r="K9" i="2"/>
  <c r="W9" i="2"/>
  <c r="AI9" i="2"/>
  <c r="S10" i="2"/>
  <c r="AE10" i="2"/>
  <c r="G10" i="2"/>
  <c r="O13" i="2"/>
  <c r="C13" i="2"/>
  <c r="AA13" i="2"/>
  <c r="AM13" i="2"/>
  <c r="K14" i="2"/>
  <c r="W14" i="2"/>
  <c r="G16" i="2"/>
  <c r="S16" i="2"/>
  <c r="AI14" i="2"/>
  <c r="AE16" i="2"/>
  <c r="C17" i="2"/>
  <c r="W18" i="2"/>
  <c r="O17" i="2"/>
  <c r="AA17" i="2"/>
  <c r="AM17" i="2"/>
  <c r="G19" i="2"/>
  <c r="K18" i="2"/>
  <c r="AI18" i="2"/>
  <c r="AE19" i="2"/>
  <c r="S19" i="2"/>
  <c r="C20" i="2"/>
  <c r="O20" i="2"/>
  <c r="AA20" i="2"/>
  <c r="W21" i="2"/>
  <c r="AI21" i="2"/>
  <c r="K21" i="2"/>
  <c r="AM20" i="2"/>
  <c r="G24" i="2"/>
  <c r="S24" i="2"/>
  <c r="AE24" i="2"/>
  <c r="C25" i="2"/>
  <c r="O25" i="2"/>
  <c r="AM25" i="2"/>
  <c r="W26" i="2"/>
  <c r="AA25" i="2"/>
  <c r="K26" i="2"/>
  <c r="AI26" i="2"/>
  <c r="N8" i="2"/>
  <c r="AD10" i="2"/>
  <c r="F16" i="2"/>
  <c r="Z17" i="2"/>
  <c r="J18" i="2"/>
  <c r="AP19" i="2"/>
  <c r="R19" i="2"/>
  <c r="AH18" i="2"/>
  <c r="Z20" i="2"/>
  <c r="F24" i="2"/>
  <c r="J21" i="2"/>
  <c r="R24" i="2"/>
  <c r="J26" i="2"/>
  <c r="AP24" i="2"/>
  <c r="Z25" i="2"/>
  <c r="H7" i="2"/>
  <c r="AH26" i="2"/>
  <c r="T7" i="2"/>
  <c r="AF7" i="2"/>
  <c r="D8" i="2"/>
  <c r="P8" i="2"/>
  <c r="AB8" i="2"/>
  <c r="X9" i="2"/>
  <c r="L9" i="2"/>
  <c r="AN8" i="2"/>
  <c r="AJ9" i="2"/>
  <c r="AF10" i="2"/>
  <c r="T10" i="2"/>
  <c r="H10" i="2"/>
  <c r="D13" i="2"/>
  <c r="P13" i="2"/>
  <c r="AN13" i="2"/>
  <c r="AB13" i="2"/>
  <c r="X14" i="2"/>
  <c r="L14" i="2"/>
  <c r="AJ14" i="2"/>
  <c r="H16" i="2"/>
  <c r="X18" i="2"/>
  <c r="T16" i="2"/>
  <c r="AF16" i="2"/>
  <c r="AB17" i="2"/>
  <c r="P17" i="2"/>
  <c r="D17" i="2"/>
  <c r="AN17" i="2"/>
  <c r="L18" i="2"/>
  <c r="AJ18" i="2"/>
  <c r="H19" i="2"/>
  <c r="T19" i="2"/>
  <c r="AF19" i="2"/>
  <c r="D20" i="2"/>
  <c r="P20" i="2"/>
  <c r="AJ21" i="2"/>
  <c r="AB20" i="2"/>
  <c r="AN20" i="2"/>
  <c r="L21" i="2"/>
  <c r="X21" i="2"/>
  <c r="H24" i="2"/>
  <c r="AF24" i="2"/>
  <c r="T24" i="2"/>
  <c r="D25" i="2"/>
  <c r="P25" i="2"/>
  <c r="AN25" i="2"/>
  <c r="AB25" i="2"/>
  <c r="L26" i="2"/>
  <c r="X26" i="2"/>
  <c r="AJ26" i="2"/>
  <c r="R10" i="2"/>
  <c r="AD7" i="2"/>
  <c r="AD16" i="2"/>
  <c r="AG7" i="2"/>
  <c r="AC8" i="2"/>
  <c r="Y9" i="2"/>
  <c r="U10" i="2"/>
  <c r="Q13" i="2"/>
  <c r="M14" i="2"/>
  <c r="AO17" i="2"/>
  <c r="I16" i="2"/>
  <c r="E17" i="2"/>
  <c r="Y18" i="2"/>
  <c r="U19" i="2"/>
  <c r="AG19" i="2"/>
  <c r="E20" i="2"/>
  <c r="AC25" i="2"/>
  <c r="AO20" i="2"/>
  <c r="M21" i="2"/>
  <c r="AK21" i="2"/>
  <c r="Y21" i="2"/>
  <c r="I24" i="2"/>
  <c r="U24" i="2"/>
  <c r="AG24" i="2"/>
  <c r="E25" i="2"/>
  <c r="M26" i="2"/>
  <c r="Q25" i="2"/>
  <c r="AO25" i="2"/>
  <c r="Y26" i="2"/>
  <c r="AK26" i="2"/>
  <c r="F10" i="2"/>
  <c r="AP16" i="2"/>
  <c r="U7" i="2"/>
  <c r="Q8" i="2"/>
  <c r="M9" i="2"/>
  <c r="I10" i="2"/>
  <c r="AC13" i="2"/>
  <c r="AG10" i="2"/>
  <c r="Y14" i="2"/>
  <c r="U16" i="2"/>
  <c r="Q17" i="2"/>
  <c r="M18" i="2"/>
  <c r="AC20" i="2"/>
  <c r="I19" i="2"/>
  <c r="V7" i="2"/>
  <c r="J7" i="2"/>
  <c r="AH7" i="2"/>
  <c r="F8" i="2"/>
  <c r="R8" i="2"/>
  <c r="AD8" i="2"/>
  <c r="AP8" i="2"/>
  <c r="N9" i="2"/>
  <c r="Z9" i="2"/>
  <c r="AL9" i="2"/>
  <c r="J10" i="2"/>
  <c r="AH10" i="2"/>
  <c r="V10" i="2"/>
  <c r="F13" i="2"/>
  <c r="R13" i="2"/>
  <c r="AD13" i="2"/>
  <c r="N14" i="2"/>
  <c r="AP13" i="2"/>
  <c r="Z14" i="2"/>
  <c r="AL14" i="2"/>
  <c r="V16" i="2"/>
  <c r="J16" i="2"/>
  <c r="AH16" i="2"/>
  <c r="F17" i="2"/>
  <c r="N18" i="2"/>
  <c r="R17" i="2"/>
  <c r="AD17" i="2"/>
  <c r="AP17" i="2"/>
  <c r="AL18" i="2"/>
  <c r="J19" i="2"/>
  <c r="Z18" i="2"/>
  <c r="AH19" i="2"/>
  <c r="V19" i="2"/>
  <c r="F20" i="2"/>
  <c r="AD20" i="2"/>
  <c r="R20" i="2"/>
  <c r="AP20" i="2"/>
  <c r="N21" i="2"/>
  <c r="AL21" i="2"/>
  <c r="Z21" i="2"/>
  <c r="J24" i="2"/>
  <c r="V24" i="2"/>
  <c r="F25" i="2"/>
  <c r="AH24" i="2"/>
  <c r="R25" i="2"/>
  <c r="AD25" i="2"/>
  <c r="AP25" i="2"/>
  <c r="N26" i="2"/>
  <c r="Z26" i="2"/>
  <c r="V9" i="2"/>
  <c r="AL26" i="2"/>
  <c r="I7" i="2"/>
  <c r="R16" i="2"/>
  <c r="E8" i="2"/>
  <c r="AO8" i="2"/>
  <c r="E13" i="2"/>
  <c r="AK9" i="2"/>
  <c r="AO13" i="2"/>
  <c r="AK14" i="2"/>
  <c r="AG16" i="2"/>
  <c r="AC17" i="2"/>
  <c r="AK18" i="2"/>
  <c r="Q20" i="2"/>
  <c r="K7" i="2"/>
  <c r="W7" i="2"/>
  <c r="AI7" i="2"/>
  <c r="G8" i="2"/>
  <c r="S8" i="2"/>
  <c r="AE8" i="2"/>
  <c r="C9" i="2"/>
  <c r="O9" i="2"/>
  <c r="AA9" i="2"/>
  <c r="AM9" i="2"/>
  <c r="K10" i="2"/>
  <c r="W10" i="2"/>
  <c r="AI10" i="2"/>
  <c r="G13" i="2"/>
  <c r="S13" i="2"/>
  <c r="C14" i="2"/>
  <c r="AE13" i="2"/>
  <c r="O14" i="2"/>
  <c r="AA14" i="2"/>
  <c r="AM14" i="2"/>
  <c r="K16" i="2"/>
  <c r="W16" i="2"/>
  <c r="AI16" i="2"/>
  <c r="G17" i="2"/>
  <c r="S17" i="2"/>
  <c r="AI19" i="2"/>
  <c r="AE17" i="2"/>
  <c r="C18" i="2"/>
  <c r="O18" i="2"/>
  <c r="AA18" i="2"/>
  <c r="AM18" i="2"/>
  <c r="K19" i="2"/>
  <c r="W19" i="2"/>
  <c r="G20" i="2"/>
  <c r="S20" i="2"/>
  <c r="AE20" i="2"/>
  <c r="C21" i="2"/>
  <c r="S25" i="2"/>
  <c r="O21" i="2"/>
  <c r="AA21" i="2"/>
  <c r="AM21" i="2"/>
  <c r="K24" i="2"/>
  <c r="W24" i="2"/>
  <c r="AI24" i="2"/>
  <c r="AE25" i="2"/>
  <c r="G25" i="2"/>
  <c r="C26" i="2"/>
  <c r="O26" i="2"/>
  <c r="AM26" i="2"/>
  <c r="AA26" i="2"/>
  <c r="F7" i="2"/>
  <c r="X7" i="2"/>
  <c r="N13" i="2"/>
  <c r="H8" i="2"/>
  <c r="T8" i="2"/>
  <c r="AF8" i="2"/>
  <c r="D9" i="2"/>
  <c r="AB9" i="2"/>
  <c r="P9" i="2"/>
  <c r="AN9" i="2"/>
  <c r="L10" i="2"/>
  <c r="X10" i="2"/>
  <c r="AJ10" i="2"/>
  <c r="H13" i="2"/>
  <c r="T13" i="2"/>
  <c r="AF13" i="2"/>
  <c r="D14" i="2"/>
  <c r="P14" i="2"/>
  <c r="AB14" i="2"/>
  <c r="L16" i="2"/>
  <c r="AN14" i="2"/>
  <c r="X16" i="2"/>
  <c r="H17" i="2"/>
  <c r="AJ16" i="2"/>
  <c r="T17" i="2"/>
  <c r="AF17" i="2"/>
  <c r="D18" i="2"/>
  <c r="P18" i="2"/>
  <c r="L19" i="2"/>
  <c r="AB18" i="2"/>
  <c r="AJ19" i="2"/>
  <c r="X19" i="2"/>
  <c r="AN18" i="2"/>
  <c r="H20" i="2"/>
  <c r="T20" i="2"/>
  <c r="AF20" i="2"/>
  <c r="D21" i="2"/>
  <c r="P21" i="2"/>
  <c r="AN21" i="2"/>
  <c r="AB21" i="2"/>
  <c r="L24" i="2"/>
  <c r="X24" i="2"/>
  <c r="AJ24" i="2"/>
  <c r="H25" i="2"/>
  <c r="T25" i="2"/>
  <c r="AF25" i="2"/>
  <c r="P26" i="2"/>
  <c r="D26" i="2"/>
  <c r="AB26" i="2"/>
  <c r="AP10" i="2"/>
  <c r="AN26" i="2"/>
  <c r="L7" i="2"/>
  <c r="I8" i="2"/>
  <c r="AC9" i="2"/>
  <c r="I13" i="2"/>
  <c r="AC14" i="2"/>
  <c r="I17" i="2"/>
  <c r="AG17" i="2"/>
  <c r="AO18" i="2"/>
  <c r="AK19" i="2"/>
  <c r="Y19" i="2"/>
  <c r="U20" i="2"/>
  <c r="I20" i="2"/>
  <c r="Q21" i="2"/>
  <c r="AO21" i="2"/>
  <c r="E21" i="2"/>
  <c r="AG20" i="2"/>
  <c r="M24" i="2"/>
  <c r="AC21" i="2"/>
  <c r="Y24" i="2"/>
  <c r="AK24" i="2"/>
  <c r="I25" i="2"/>
  <c r="Q26" i="2"/>
  <c r="AG25" i="2"/>
  <c r="AO26" i="2"/>
  <c r="U25" i="2"/>
  <c r="E26" i="2"/>
  <c r="AC26" i="2"/>
  <c r="J9" i="2"/>
  <c r="AH14" i="2"/>
  <c r="AK7" i="2"/>
  <c r="Q14" i="2"/>
  <c r="AC18" i="2"/>
  <c r="AL7" i="2"/>
  <c r="Q9" i="2"/>
  <c r="AK10" i="2"/>
  <c r="AK16" i="2"/>
  <c r="F9" i="2"/>
  <c r="N10" i="2"/>
  <c r="AH13" i="2"/>
  <c r="R14" i="2"/>
  <c r="J13" i="2"/>
  <c r="AP14" i="2"/>
  <c r="AL16" i="2"/>
  <c r="AD14" i="2"/>
  <c r="N16" i="2"/>
  <c r="Z16" i="2"/>
  <c r="AH17" i="2"/>
  <c r="V17" i="2"/>
  <c r="J17" i="2"/>
  <c r="R18" i="2"/>
  <c r="AD18" i="2"/>
  <c r="N19" i="2"/>
  <c r="Z19" i="2"/>
  <c r="F18" i="2"/>
  <c r="AP18" i="2"/>
  <c r="AL19" i="2"/>
  <c r="V20" i="2"/>
  <c r="J20" i="2"/>
  <c r="R21" i="2"/>
  <c r="AH20" i="2"/>
  <c r="F21" i="2"/>
  <c r="N24" i="2"/>
  <c r="AD21" i="2"/>
  <c r="AP21" i="2"/>
  <c r="V25" i="2"/>
  <c r="R26" i="2"/>
  <c r="AD26" i="2"/>
  <c r="Z24" i="2"/>
  <c r="F26" i="2"/>
  <c r="AH25" i="2"/>
  <c r="AP26" i="2"/>
  <c r="AL24" i="2"/>
  <c r="J25" i="2"/>
</calcChain>
</file>

<file path=xl/sharedStrings.xml><?xml version="1.0" encoding="utf-8"?>
<sst xmlns="http://schemas.openxmlformats.org/spreadsheetml/2006/main" count="341" uniqueCount="195">
  <si>
    <t>Right click to show data transparency (not supported for all values)</t>
  </si>
  <si>
    <t>Netflix Inc (NFLX US) - Profitability</t>
  </si>
  <si>
    <t>In Millions of USD except Per Share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</si>
  <si>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</si>
  <si>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</si>
  <si>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</si>
  <si>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</si>
  <si>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</si>
  <si>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</si>
  <si>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</si>
  <si>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</si>
  <si>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</si>
  <si>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</si>
  <si>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</si>
  <si>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</si>
  <si>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</si>
  <si>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</si>
  <si>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</si>
  <si>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</si>
  <si>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</si>
  <si>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</si>
  <si>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</si>
  <si>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</si>
  <si>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</si>
  <si>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</si>
  <si>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</si>
  <si>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</si>
  <si>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</si>
  <si>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</si>
  <si>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</si>
  <si>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</si>
  <si>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</si>
  <si>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</si>
  <si>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</si>
  <si>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</si>
  <si>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</si>
  <si>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</si>
  <si>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</si>
  <si>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</si>
  <si>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</si>
  <si>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</si>
  <si>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</si>
  <si>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</si>
  <si>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3 Months Ending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</si>
  <si>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</si>
  <si>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</si>
  <si>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</si>
  <si>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</si>
  <si>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</si>
  <si>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</si>
  <si>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</si>
  <si>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</si>
  <si>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</si>
  <si>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</si>
  <si>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</si>
  <si>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</si>
  <si>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</si>
  <si>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</si>
  <si>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</si>
  <si>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</si>
  <si>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</si>
  <si>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</si>
  <si>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</si>
  <si>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</si>
  <si>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</si>
  <si>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</si>
  <si>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</si>
  <si>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</si>
  <si>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</si>
  <si>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</si>
  <si>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</si>
  <si>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</si>
  <si>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</si>
  <si>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</si>
  <si>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</si>
  <si>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</si>
  <si>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</si>
  <si>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</si>
  <si>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</si>
  <si>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</si>
  <si>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</si>
  <si>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</si>
  <si>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</si>
  <si>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</si>
  <si>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</si>
  <si>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</si>
  <si>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</si>
  <si>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</si>
  <si>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</si>
  <si>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</si>
  <si>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</si>
  <si>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</si>
  <si>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</si>
  <si>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</si>
  <si>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</si>
  <si>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GROSS_MARGIN</t>
  </si>
  <si>
    <t>EBITDA Margin</t>
  </si>
  <si>
    <t>EBITDA_TO_REVENUE</t>
  </si>
  <si>
    <t xml:space="preserve">    Growth (YoY)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</si>
  <si>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</si>
  <si>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</si>
  <si>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</si>
  <si>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</si>
  <si>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</si>
  <si>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</si>
  <si>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</si>
  <si>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</si>
  <si>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</si>
  <si>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</si>
  <si>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</si>
  <si>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</si>
  <si>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</si>
  <si>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</si>
  <si>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</si>
  <si>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</si>
  <si>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</si>
  <si>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</si>
  <si>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</si>
  <si>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</si>
  <si>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Period ending</t>
  </si>
  <si>
    <t>CQ1 2021</t>
  </si>
  <si>
    <t>CQ4 2020</t>
  </si>
  <si>
    <t>CQ3 2020</t>
  </si>
  <si>
    <t>CQ2 2020</t>
  </si>
  <si>
    <t>CQ1 2020</t>
  </si>
  <si>
    <t>CQ4 2019</t>
  </si>
  <si>
    <t>CQ3 2019</t>
  </si>
  <si>
    <t>CQ2 2019</t>
  </si>
  <si>
    <t>CQ1 2019</t>
  </si>
  <si>
    <t>CQ4 2018</t>
  </si>
  <si>
    <t>CQ3 2018</t>
  </si>
  <si>
    <t>CQ2 2018</t>
  </si>
  <si>
    <t>CQ1 2018</t>
  </si>
  <si>
    <t>CQ4 2017</t>
  </si>
  <si>
    <t>CQ3 2017</t>
  </si>
  <si>
    <t>CQ2 2017</t>
  </si>
  <si>
    <t>CQ1 2017</t>
  </si>
  <si>
    <t>CQ4 2016</t>
  </si>
  <si>
    <t>CQ3 2016</t>
  </si>
  <si>
    <t>CQ2 2016</t>
  </si>
  <si>
    <t>CQ1 2016</t>
  </si>
  <si>
    <t>CQ4 2015</t>
  </si>
  <si>
    <t>CQ3 2015</t>
  </si>
  <si>
    <t>CQ2 2015</t>
  </si>
  <si>
    <t>CQ1 2015</t>
  </si>
  <si>
    <t>CQ4 2014</t>
  </si>
  <si>
    <t>CQ3 2014</t>
  </si>
  <si>
    <t>CQ2 2014</t>
  </si>
  <si>
    <t>CQ1 2014</t>
  </si>
  <si>
    <t>CQ4 2013</t>
  </si>
  <si>
    <t>CQ3 2013</t>
  </si>
  <si>
    <t>CQ2 2013</t>
  </si>
  <si>
    <t>CQ1 2013</t>
  </si>
  <si>
    <t>CQ4 2012</t>
  </si>
  <si>
    <t>CQ3 2012</t>
  </si>
  <si>
    <t>CQ2 2012</t>
  </si>
  <si>
    <t>CQ1 2012</t>
  </si>
  <si>
    <t>CQ4 2011</t>
  </si>
  <si>
    <t>CQ3 2011</t>
  </si>
  <si>
    <t>CQ2 2011</t>
  </si>
  <si>
    <t>LINE_OF_CREDIT_UTILIZED_AMOUNT</t>
  </si>
  <si>
    <t xml:space="preserve">  Total Credit Lines Drawn</t>
  </si>
  <si>
    <t>BS_TOTAL_AVAIL_LINE_OF_CREDIT</t>
  </si>
  <si>
    <t xml:space="preserve">  Total Available Line Of Credit</t>
  </si>
  <si>
    <t>BS_TOTAL_LINE_OF_CREDIT</t>
  </si>
  <si>
    <t>Total Line of Credit</t>
  </si>
  <si>
    <t>ALTMAN_Z_SCORE</t>
  </si>
  <si>
    <t>Altman's Z-Score</t>
  </si>
  <si>
    <t>CAP_EXPEND_RATIO</t>
  </si>
  <si>
    <t>CFO/CapEx</t>
  </si>
  <si>
    <t>CASH_FLOW_TO_TOT_LIAB</t>
  </si>
  <si>
    <t>CFO/Total Liabilities</t>
  </si>
  <si>
    <t>TOT_DEBT_TO_TOT_ASSET</t>
  </si>
  <si>
    <t>Total Debt/Total Assets</t>
  </si>
  <si>
    <t>TOT_DEBT_TO_TOT_CAP</t>
  </si>
  <si>
    <t>Total Debt/Capital</t>
  </si>
  <si>
    <t>TOT_DEBT_TO_TOT_EQY</t>
  </si>
  <si>
    <t>Total Debt/Equity</t>
  </si>
  <si>
    <t>LT_DEBT_TO_TOT_ASSET</t>
  </si>
  <si>
    <t>Long-Term Debt/Total Assets</t>
  </si>
  <si>
    <t>LT_DEBT_TO_TOT_CAP</t>
  </si>
  <si>
    <t>Long-Term Debt/Capital</t>
  </si>
  <si>
    <t>LT_DEBT_TO_TOT_EQY</t>
  </si>
  <si>
    <t>Long-Term Debt/Equity</t>
  </si>
  <si>
    <t>COM_EQY_TO_TOT_ASSET</t>
  </si>
  <si>
    <t>Common Equity/Total Assets</t>
  </si>
  <si>
    <t>CFO_TO_AVG_CURRENT_LIABILITIES</t>
  </si>
  <si>
    <t>CFO/Avg Current Liab</t>
  </si>
  <si>
    <t>QUICK_RATIO</t>
  </si>
  <si>
    <t>Quick Ratio</t>
  </si>
  <si>
    <t>CUR_RATIO</t>
  </si>
  <si>
    <t>Current Ratio</t>
  </si>
  <si>
    <t>CASH_RATIO</t>
  </si>
  <si>
    <t>Cash Ratio</t>
  </si>
  <si>
    <t>Netflix Inc (NFLX US) - 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</si>
</sst>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5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11" fillId="34" borderId="2">
      <alignment horizontal="right"/>
    </xf>
    <xf numFmtId="171" fontId="1" fillId="34" borderId="2">
      <alignment horizontal="right"/>
    </xf>
    <xf numFmtId="0" fontId="7" fillId="33" borderId="16">
      <alignment horizontal="left"/>
    </xf>
    <xf numFmtId="0" fontId="7" fillId="33" borderId="16">
      <alignment horizontal="right"/>
    </xf>
    <xf numFmtId="0" fontId="7" fillId="33" borderId="17">
      <alignment horizontal="left"/>
    </xf>
    <xf numFmtId="0" fontId="7" fillId="33" borderId="17">
      <alignment horizontal="right"/>
    </xf>
    <xf numFmtId="0" fontId="4" fillId="34" borderId="18"/>
    <xf numFmtId="0" fontId="8" fillId="34" borderId="18"/>
    <xf numFmtId="0" fontId="3" fillId="34" borderId="18"/>
  </cellStyleXfs>
  <cellXfs count="24">
    <xf numFmtId="0" fontId="0" fillId="0" borderId="0" xfId="0"/>
    <xf numFmtId="171" fontId="1" fillId="34" borderId="2" xfId="57" applyNumberFormat="1" applyFont="1" applyFill="1" applyBorder="1" applyAlignment="1" applyProtection="1">
      <alignment horizontal="right"/>
    </xf>
    <xf numFmtId="0" fontId="7" fillId="33" borderId="16" xfId="58" applyNumberFormat="1" applyFont="1" applyFill="1" applyBorder="1" applyAlignment="1" applyProtection="1">
      <alignment horizontal="left"/>
    </xf>
    <xf numFmtId="0" fontId="7" fillId="33" borderId="16" xfId="59" applyNumberFormat="1" applyFont="1" applyFill="1" applyBorder="1" applyAlignment="1" applyProtection="1">
      <alignment horizontal="right"/>
    </xf>
    <xf numFmtId="0" fontId="7" fillId="33" borderId="17" xfId="60">
      <alignment horizontal="left"/>
    </xf>
    <xf numFmtId="0" fontId="7" fillId="33" borderId="17" xfId="61" applyNumberFormat="1" applyFont="1" applyFill="1" applyBorder="1" applyAlignment="1" applyProtection="1">
      <alignment horizontal="right"/>
    </xf>
    <xf numFmtId="0" fontId="4" fillId="34" borderId="18" xfId="62" applyNumberFormat="1" applyFont="1" applyFill="1" applyBorder="1" applyAlignment="1" applyProtection="1"/>
    <xf numFmtId="0" fontId="8" fillId="34" borderId="18" xfId="63" applyNumberFormat="1" applyFont="1" applyFill="1" applyBorder="1" applyAlignment="1" applyProtection="1"/>
    <xf numFmtId="0" fontId="3" fillId="34" borderId="18" xfId="64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4" fontId="1" fillId="34" borderId="2" xfId="54" applyNumberFormat="1" applyFont="1" applyFill="1" applyBorder="1" applyAlignment="1" applyProtection="1">
      <alignment horizontal="right"/>
    </xf>
    <xf numFmtId="3" fontId="8" fillId="34" borderId="2" xfId="55" applyNumberFormat="1" applyFont="1" applyFill="1" applyBorder="1" applyAlignment="1" applyProtection="1">
      <alignment horizontal="right"/>
    </xf>
    <xf numFmtId="171" fontId="11" fillId="34" borderId="2" xfId="56" applyNumberFormat="1" applyFont="1" applyFill="1" applyBorder="1" applyAlignment="1" applyProtection="1">
      <alignment horizontal="right"/>
    </xf>
  </cellXfs>
  <cellStyles count="6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 2" xfId="61"/>
    <cellStyle name="fa_column_header_bottom_left" xfId="52"/>
    <cellStyle name="fa_column_header_bottom_left 2" xfId="60"/>
    <cellStyle name="fa_column_header_empty" xfId="31"/>
    <cellStyle name="fa_column_header_top" xfId="32"/>
    <cellStyle name="fa_column_header_top 2" xfId="59"/>
    <cellStyle name="fa_column_header_top_left" xfId="33"/>
    <cellStyle name="fa_column_header_top_left 2" xfId="58"/>
    <cellStyle name="fa_data_bold_0_grouped" xfId="55"/>
    <cellStyle name="fa_data_italic_1_grouped" xfId="56"/>
    <cellStyle name="fa_data_standard_0_grouped" xfId="53"/>
    <cellStyle name="fa_data_standard_1_grouped" xfId="57"/>
    <cellStyle name="fa_data_standard_2_grouped" xfId="54"/>
    <cellStyle name="fa_footer_italic" xfId="34"/>
    <cellStyle name="fa_row_header_bold" xfId="35"/>
    <cellStyle name="fa_row_header_bold 2" xfId="63"/>
    <cellStyle name="fa_row_header_italic" xfId="36"/>
    <cellStyle name="fa_row_header_italic 2" xfId="62"/>
    <cellStyle name="fa_row_header_standard" xfId="37"/>
    <cellStyle name="fa_row_header_standard 2" xfId="64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BDP|18431295653732632712</stp>
        <tr r="O12" s="3"/>
      </tp>
      <tp t="s">
        <v>#N/A N/A</v>
        <stp/>
        <stp>BDP|14286061786281441772</stp>
        <tr r="U10" s="3"/>
      </tp>
      <tp t="s">
        <v>#N/A N/A</v>
        <stp/>
        <stp>BDP|16261031488323930715</stp>
        <tr r="AG12" s="3"/>
      </tp>
      <tp t="s">
        <v>#N/A N/A</v>
        <stp/>
        <stp>BDP|10510061891662863197</stp>
        <tr r="U12" s="3"/>
      </tp>
      <tp t="s">
        <v>#N/A N/A</v>
        <stp/>
        <stp>BDP|15246367802005229960</stp>
        <tr r="AB16" s="3"/>
      </tp>
      <tp t="s">
        <v>#N/A N/A</v>
        <stp/>
        <stp>BDP|16463812339841967602</stp>
        <tr r="P13" s="3"/>
      </tp>
      <tp t="s">
        <v>#N/A N/A</v>
        <stp/>
        <stp>BDP|11794756253738765113</stp>
        <tr r="AP10" s="3"/>
      </tp>
      <tp t="s">
        <v>#N/A N/A</v>
        <stp/>
        <stp>BDP|14552585048878061739</stp>
        <tr r="AA17" s="3"/>
      </tp>
      <tp t="s">
        <v>#N/A N/A</v>
        <stp/>
        <stp>BDH|17152897408374095112</stp>
        <tr r="K13" s="4"/>
      </tp>
      <tp t="s">
        <v>#N/A N/A</v>
        <stp/>
        <stp>BDH|16634819746272227227</stp>
        <tr r="H24" s="2"/>
      </tp>
      <tp t="s">
        <v>#N/A N/A</v>
        <stp/>
        <stp>BDH|12492849532554753743</stp>
        <tr r="V12" s="4"/>
      </tp>
      <tp t="s">
        <v>#N/A N/A</v>
        <stp/>
        <stp>BDH|13407251590111518353</stp>
        <tr r="AH25" s="4"/>
      </tp>
      <tp t="s">
        <v>#N/A N/A</v>
        <stp/>
        <stp>BDH|15973684490369475947</stp>
        <tr r="H8" s="2"/>
      </tp>
      <tp t="s">
        <v>#N/A N/A</v>
        <stp/>
        <stp>BDH|14028705081102308331</stp>
        <tr r="Y14" s="2"/>
      </tp>
      <tp t="s">
        <v>#N/A N/A</v>
        <stp/>
        <stp>BDH|18064083235622535386</stp>
        <tr r="X10" s="4"/>
      </tp>
      <tp t="s">
        <v>#N/A N/A</v>
        <stp/>
        <stp>BDH|15728102844678507260</stp>
        <tr r="M9" s="4"/>
      </tp>
      <tp t="s">
        <v>#N/A N/A</v>
        <stp/>
        <stp>BDH|11219724487772316646</stp>
        <tr r="L9" s="2"/>
      </tp>
      <tp t="s">
        <v>#N/A N/A</v>
        <stp/>
        <stp>BDH|10534809146445515354</stp>
        <tr r="W18" s="2"/>
      </tp>
      <tp t="s">
        <v>#N/A N/A</v>
        <stp/>
        <stp>BDH|13485457790423524774</stp>
        <tr r="F13" s="4"/>
      </tp>
      <tp t="s">
        <v>#N/A N/A</v>
        <stp/>
        <stp>BDH|10966311753889860505</stp>
        <tr r="Y20" s="2"/>
      </tp>
      <tp t="s">
        <v>#N/A N/A</v>
        <stp/>
        <stp>BDH|18342352264657455054</stp>
        <tr r="AE7" s="4"/>
      </tp>
      <tp t="s">
        <v>#N/A N/A</v>
        <stp/>
        <stp>BDH|17319939115905819080</stp>
        <tr r="AI24" s="2"/>
      </tp>
      <tp t="s">
        <v>#N/A N/A</v>
        <stp/>
        <stp>BDH|15964364228068403679</stp>
        <tr r="U26" s="2"/>
      </tp>
      <tp t="s">
        <v>#N/A N/A</v>
        <stp/>
        <stp>BDH|16418703757888739607</stp>
        <tr r="AG7" s="4"/>
      </tp>
      <tp t="s">
        <v>#N/A N/A</v>
        <stp/>
        <stp>BDH|10846162188413181037</stp>
        <tr r="T14" s="4"/>
      </tp>
      <tp t="s">
        <v>#N/A N/A</v>
        <stp/>
        <stp>BDH|18395305570800116661</stp>
        <tr r="L19" s="2"/>
      </tp>
      <tp t="s">
        <v>#N/A N/A</v>
        <stp/>
        <stp>BDH|10934767208005871889</stp>
        <tr r="D25" s="4"/>
      </tp>
      <tp t="s">
        <v>#N/A N/A</v>
        <stp/>
        <stp>BDH|11125766884932278667</stp>
        <tr r="C12" s="4"/>
      </tp>
      <tp t="s">
        <v>#N/A N/A</v>
        <stp/>
        <stp>BDH|14827596916798559257</stp>
        <tr r="AG12" s="4"/>
      </tp>
      <tp t="s">
        <v>#N/A N/A</v>
        <stp/>
        <stp>BDH|14879226280463861754</stp>
        <tr r="S21" s="4"/>
      </tp>
      <tp t="s">
        <v>#N/A N/A</v>
        <stp/>
        <stp>BDH|11700703334639776637</stp>
        <tr r="E20" s="4"/>
      </tp>
      <tp t="s">
        <v>#N/A N/A</v>
        <stp/>
        <stp>BDH|10220466292427331032</stp>
        <tr r="AB13" s="4"/>
      </tp>
      <tp t="s">
        <v>#N/A N/A</v>
        <stp/>
        <stp>BDH|10028370286463047282</stp>
        <tr r="O10" s="4"/>
      </tp>
      <tp t="s">
        <v>#N/A N/A</v>
        <stp/>
        <stp>BDH|16459922065265215684</stp>
        <tr r="T25" s="2"/>
      </tp>
      <tp t="s">
        <v>#N/A N/A</v>
        <stp/>
        <stp>BDH|12032345893324858679</stp>
        <tr r="V17" s="4"/>
      </tp>
      <tp t="s">
        <v>#N/A N/A</v>
        <stp/>
        <stp>BDH|11688711447680057882</stp>
        <tr r="Y10" s="4"/>
      </tp>
      <tp t="s">
        <v>#N/A N/A</v>
        <stp/>
        <stp>BDH|16544215008908588610</stp>
        <tr r="U10" s="4"/>
      </tp>
      <tp t="s">
        <v>#N/A N/A</v>
        <stp/>
        <stp>BDH|12660846733331801216</stp>
        <tr r="W16" s="2"/>
      </tp>
      <tp t="s">
        <v>#N/A N/A</v>
        <stp/>
        <stp>BDH|14801709127948468316</stp>
        <tr r="O13" s="4"/>
      </tp>
      <tp t="s">
        <v>#N/A N/A</v>
        <stp/>
        <stp>BDH|16949630967694522827</stp>
        <tr r="T12" s="4"/>
      </tp>
      <tp t="s">
        <v>#N/A N/A</v>
        <stp/>
        <stp>BDH|11068894174205225154</stp>
        <tr r="AI21" s="4"/>
      </tp>
      <tp t="s">
        <v>#N/A N/A</v>
        <stp/>
        <stp>BDH|14036842110096613184</stp>
        <tr r="AI17" s="4"/>
      </tp>
      <tp t="s">
        <v>#N/A N/A</v>
        <stp/>
        <stp>BDH|12959099894065800417</stp>
        <tr r="D9" s="4"/>
      </tp>
      <tp t="s">
        <v>#N/A N/A</v>
        <stp/>
        <stp>BDH|17243208936689113586</stp>
        <tr r="AN26" s="2"/>
      </tp>
      <tp t="s">
        <v>#N/A N/A</v>
        <stp/>
        <stp>BDH|10743101770345350992</stp>
        <tr r="AE9" s="4"/>
      </tp>
      <tp t="s">
        <v>#N/A N/A</v>
        <stp/>
        <stp>BDH|18369005231462959371</stp>
        <tr r="E8" s="4"/>
      </tp>
      <tp t="s">
        <v>#N/A N/A</v>
        <stp/>
        <stp>BDH|14455489983710783242</stp>
        <tr r="V20" s="4"/>
      </tp>
      <tp t="s">
        <v>#N/A N/A</v>
        <stp/>
        <stp>BDH|12881219847976145806</stp>
        <tr r="K25" s="2"/>
      </tp>
      <tp t="s">
        <v>#N/A N/A</v>
        <stp/>
        <stp>BDH|18324264718815353416</stp>
        <tr r="T14" s="2"/>
      </tp>
      <tp t="s">
        <v>#N/A N/A</v>
        <stp/>
        <stp>BDH|13687484777539213349</stp>
        <tr r="W17" s="4"/>
      </tp>
      <tp t="s">
        <v>#N/A N/A</v>
        <stp/>
        <stp>BDH|17281606598654488608</stp>
        <tr r="Z16" s="2"/>
      </tp>
      <tp t="s">
        <v>#N/A N/A</v>
        <stp/>
        <stp>BDH|16466900299148012432</stp>
        <tr r="S22" s="4"/>
      </tp>
      <tp t="s">
        <v>#N/A N/A</v>
        <stp/>
        <stp>BDP|12117584129037438916</stp>
        <tr r="C17" s="3"/>
      </tp>
      <tp t="s">
        <v>#N/A N/A</v>
        <stp/>
        <stp>BDP|16561447336218238216</stp>
        <tr r="AJ13" s="3"/>
      </tp>
      <tp t="s">
        <v>#N/A N/A</v>
        <stp/>
        <stp>BDH|12866260928739073078</stp>
        <tr r="R7" s="2"/>
      </tp>
      <tp t="s">
        <v>#N/A N/A</v>
        <stp/>
        <stp>BDH|15503795113481885973</stp>
        <tr r="AI16" s="4"/>
      </tp>
      <tp t="s">
        <v>#N/A N/A</v>
        <stp/>
        <stp>BDH|13818904017799743989</stp>
        <tr r="O18" s="2"/>
      </tp>
      <tp t="s">
        <v>#N/A N/A</v>
        <stp/>
        <stp>BDH|16750886629202033563</stp>
        <tr r="L24" s="4"/>
      </tp>
      <tp t="s">
        <v>#N/A N/A</v>
        <stp/>
        <stp>BDH|16138783519803313811</stp>
        <tr r="C9" s="4"/>
      </tp>
      <tp t="s">
        <v>#N/A N/A</v>
        <stp/>
        <stp>BDH|17270897107140815462</stp>
        <tr r="AN24" s="2"/>
      </tp>
      <tp t="s">
        <v>#N/A N/A</v>
        <stp/>
        <stp>BDH|15542676580392392238</stp>
        <tr r="AK12" s="4"/>
      </tp>
      <tp t="s">
        <v>#N/A N/A</v>
        <stp/>
        <stp>BDH|15943982791557001955</stp>
        <tr r="AK9" s="2"/>
      </tp>
      <tp t="s">
        <v>#N/A N/A</v>
        <stp/>
        <stp>BDH|12585219745318589708</stp>
        <tr r="AJ21" s="2"/>
      </tp>
      <tp t="s">
        <v>#N/A N/A</v>
        <stp/>
        <stp>BDH|10138830966550215523</stp>
        <tr r="Q26" s="4"/>
      </tp>
      <tp t="s">
        <v>#N/A N/A</v>
        <stp/>
        <stp>BDH|13098899679936628110</stp>
        <tr r="AB16" s="2"/>
      </tp>
      <tp t="s">
        <v>#N/A N/A</v>
        <stp/>
        <stp>BDH|15297627967007984995</stp>
        <tr r="AG14" s="4"/>
      </tp>
      <tp t="s">
        <v>#N/A N/A</v>
        <stp/>
        <stp>BDH|13018849589350311873</stp>
        <tr r="S9" s="2"/>
      </tp>
      <tp t="s">
        <v>#N/A N/A</v>
        <stp/>
        <stp>BDH|12056346148697458917</stp>
        <tr r="AN19" s="2"/>
      </tp>
      <tp t="s">
        <v>#N/A N/A</v>
        <stp/>
        <stp>BDH|11773476843572392883</stp>
        <tr r="V13" s="4"/>
      </tp>
      <tp t="s">
        <v>#N/A N/A</v>
        <stp/>
        <stp>BDH|17411434792038966970</stp>
        <tr r="AP18" s="4"/>
      </tp>
      <tp t="s">
        <v>#N/A N/A</v>
        <stp/>
        <stp>BDH|10019926719274761766</stp>
        <tr r="AK10" s="2"/>
      </tp>
      <tp t="s">
        <v>#N/A N/A</v>
        <stp/>
        <stp>BDH|11120795283343275659</stp>
        <tr r="AJ7" s="2"/>
      </tp>
      <tp t="s">
        <v>#N/A N/A</v>
        <stp/>
        <stp>BDH|15383584154457487979</stp>
        <tr r="I25" s="4"/>
      </tp>
      <tp t="s">
        <v>#N/A N/A</v>
        <stp/>
        <stp>BDH|16045987977634424778</stp>
        <tr r="AD26" s="2"/>
      </tp>
      <tp t="s">
        <v>#N/A N/A</v>
        <stp/>
        <stp>BDH|15715332188003600652</stp>
        <tr r="AC8" s="4"/>
      </tp>
      <tp t="s">
        <v>#N/A N/A</v>
        <stp/>
        <stp>BDH|11355531598164350252</stp>
        <tr r="AF14" s="2"/>
      </tp>
      <tp t="s">
        <v>#N/A N/A</v>
        <stp/>
        <stp>BDP|16398478582324907656</stp>
        <tr r="AN13" s="3"/>
      </tp>
      <tp t="s">
        <v>#N/A N/A</v>
        <stp/>
        <stp>BDP|12827869945164308277</stp>
        <tr r="AO17" s="3"/>
      </tp>
      <tp t="s">
        <v>#N/A N/A</v>
        <stp/>
        <stp>BDP|15922764681362577088</stp>
        <tr r="Y10" s="3"/>
      </tp>
      <tp t="s">
        <v>#N/A N/A</v>
        <stp/>
        <stp>BDP|16155913271333127331</stp>
        <tr r="H9" s="3"/>
      </tp>
      <tp t="s">
        <v>#N/A N/A</v>
        <stp/>
        <stp>BDP|18154038412208177971</stp>
        <tr r="AM9" s="3"/>
      </tp>
      <tp t="s">
        <v>#N/A N/A</v>
        <stp/>
        <stp>BDP|13585261221859352276</stp>
        <tr r="I12" s="3"/>
      </tp>
      <tp t="s">
        <v>#N/A N/A</v>
        <stp/>
        <stp>BDH|14834690727779731101</stp>
        <tr r="AL17" s="2"/>
      </tp>
      <tp t="s">
        <v>#N/A N/A</v>
        <stp/>
        <stp>BDH|18011457007184568077</stp>
        <tr r="AD19" s="2"/>
      </tp>
      <tp t="s">
        <v>#N/A N/A</v>
        <stp/>
        <stp>BDH|15660887229603186448</stp>
        <tr r="C20" s="4"/>
      </tp>
      <tp t="s">
        <v>#N/A N/A</v>
        <stp/>
        <stp>BDH|18140910477688248670</stp>
        <tr r="Y7" s="2"/>
      </tp>
      <tp t="s">
        <v>#N/A N/A</v>
        <stp/>
        <stp>BDH|14481739694532568047</stp>
        <tr r="L17" s="2"/>
      </tp>
      <tp t="s">
        <v>#N/A N/A</v>
        <stp/>
        <stp>BDH|13005754352911154832</stp>
        <tr r="AJ20" s="4"/>
      </tp>
      <tp t="s">
        <v>#N/A N/A</v>
        <stp/>
        <stp>BDH|18284416824790619647</stp>
        <tr r="AN20" s="4"/>
      </tp>
      <tp t="s">
        <v>#N/A N/A</v>
        <stp/>
        <stp>BDH|12414878861475771107</stp>
        <tr r="N21" s="2"/>
      </tp>
      <tp t="s">
        <v>#N/A N/A</v>
        <stp/>
        <stp>BDH|14529483543264305881</stp>
        <tr r="AM19" s="2"/>
      </tp>
      <tp t="s">
        <v>#N/A N/A</v>
        <stp/>
        <stp>BDH|14357759173509710579</stp>
        <tr r="P9" s="2"/>
      </tp>
      <tp t="s">
        <v>#N/A N/A</v>
        <stp/>
        <stp>BDH|15168568690301356004</stp>
        <tr r="Q21" s="4"/>
      </tp>
      <tp t="s">
        <v>#N/A N/A</v>
        <stp/>
        <stp>BDH|10338884496918179185</stp>
        <tr r="AF8" s="4"/>
      </tp>
      <tp t="s">
        <v>#N/A N/A</v>
        <stp/>
        <stp>BDH|18096048465692254473</stp>
        <tr r="C16" s="2"/>
      </tp>
      <tp t="s">
        <v>#N/A N/A</v>
        <stp/>
        <stp>BDH|15097535851974642906</stp>
        <tr r="L14" s="4"/>
      </tp>
      <tp t="s">
        <v>#N/A N/A</v>
        <stp/>
        <stp>BDH|15390482553024935860</stp>
        <tr r="V6" s="4"/>
      </tp>
      <tp t="s">
        <v>#N/A N/A</v>
        <stp/>
        <stp>BDH|10360351726151601819</stp>
        <tr r="P21" s="4"/>
      </tp>
      <tp t="s">
        <v>#N/A N/A</v>
        <stp/>
        <stp>BDH|14356679126821722920</stp>
        <tr r="T8" s="2"/>
      </tp>
      <tp t="s">
        <v>#N/A N/A</v>
        <stp/>
        <stp>BDH|12132693440339678178</stp>
        <tr r="F14" s="4"/>
      </tp>
      <tp t="s">
        <v>#N/A N/A</v>
        <stp/>
        <stp>BDH|13923539007377531919</stp>
        <tr r="U17" s="4"/>
      </tp>
      <tp t="s">
        <v>#N/A N/A</v>
        <stp/>
        <stp>BDH|12581651635938983743</stp>
        <tr r="N8" s="4"/>
      </tp>
      <tp t="s">
        <v>#N/A N/A</v>
        <stp/>
        <stp>BDH|12821095404072592882</stp>
        <tr r="AI10" s="2"/>
      </tp>
      <tp t="s">
        <v>#N/A N/A</v>
        <stp/>
        <stp>BDH|12302129187241904278</stp>
        <tr r="Q24" s="2"/>
      </tp>
      <tp t="s">
        <v>#N/A N/A</v>
        <stp/>
        <stp>BDH|12080194458159218788</stp>
        <tr r="Y9" s="2"/>
      </tp>
      <tp t="s">
        <v>#N/A N/A</v>
        <stp/>
        <stp>BDH|10646276959316116944</stp>
        <tr r="P18" s="2"/>
      </tp>
      <tp t="s">
        <v>#N/A N/A</v>
        <stp/>
        <stp>BDH|10809867081680542871</stp>
        <tr r="M10" s="4"/>
      </tp>
      <tp t="s">
        <v>#N/A N/A</v>
        <stp/>
        <stp>BDH|16947314003244419938</stp>
        <tr r="F13" s="2"/>
      </tp>
      <tp t="s">
        <v>#N/A N/A</v>
        <stp/>
        <stp>BDH|11821150394770341168</stp>
        <tr r="AE26" s="4"/>
      </tp>
      <tp t="s">
        <v>#N/A N/A</v>
        <stp/>
        <stp>BDH|10080822775533893433</stp>
        <tr r="E25" s="2"/>
      </tp>
      <tp t="s">
        <v>#N/A N/A</v>
        <stp/>
        <stp>BDH|15763340306819833724</stp>
        <tr r="AD26" s="4"/>
      </tp>
      <tp t="s">
        <v>#N/A N/A</v>
        <stp/>
        <stp>BDH|15083887370622076071</stp>
        <tr r="W13" s="2"/>
      </tp>
      <tp t="s">
        <v>#N/A N/A</v>
        <stp/>
        <stp>BDH|15550782594895205643</stp>
        <tr r="L26" s="4"/>
      </tp>
      <tp t="s">
        <v>#N/A N/A</v>
        <stp/>
        <stp>BDH|14840698982025858752</stp>
        <tr r="N7" s="4"/>
      </tp>
      <tp t="s">
        <v>#N/A N/A</v>
        <stp/>
        <stp>BDH|16061916767819187899</stp>
        <tr r="I6" s="4"/>
      </tp>
      <tp t="s">
        <v>#N/A N/A</v>
        <stp/>
        <stp>BDH|12478784809135894839</stp>
        <tr r="AE10" s="2"/>
      </tp>
      <tp t="s">
        <v>#N/A N/A</v>
        <stp/>
        <stp>BDP|10033101989325009505</stp>
        <tr r="AK12" s="3"/>
      </tp>
      <tp t="s">
        <v>#N/A N/A</v>
        <stp/>
        <stp>BDP|17333319769099637200</stp>
        <tr r="AG17" s="3"/>
      </tp>
      <tp t="s">
        <v>#N/A N/A</v>
        <stp/>
        <stp>BDP|13906625869673995964</stp>
        <tr r="AG9" s="3"/>
      </tp>
      <tp t="s">
        <v>#N/A N/A</v>
        <stp/>
        <stp>BDP|14332112642818915089</stp>
        <tr r="S10" s="3"/>
      </tp>
      <tp t="s">
        <v>#N/A N/A</v>
        <stp/>
        <stp>BDP|12440950534316456710</stp>
        <tr r="AB12" s="3"/>
      </tp>
      <tp t="s">
        <v>#N/A N/A</v>
        <stp/>
        <stp>BDP|11807892395578775109</stp>
        <tr r="O9" s="3"/>
      </tp>
      <tp t="s">
        <v>#N/A N/A</v>
        <stp/>
        <stp>BDP|13571013938741863862</stp>
        <tr r="Y17" s="3"/>
      </tp>
      <tp t="s">
        <v>#N/A N/A</v>
        <stp/>
        <stp>BDP|14725419891444373437</stp>
        <tr r="AO9" s="3"/>
      </tp>
      <tp t="s">
        <v>#N/A N/A</v>
        <stp/>
        <stp>BDP|11605141584630644165</stp>
        <tr r="R9" s="3"/>
      </tp>
      <tp t="s">
        <v>#N/A N/A</v>
        <stp/>
        <stp>BDH|12391451164730742940</stp>
        <tr r="AO24" s="2"/>
      </tp>
      <tp t="s">
        <v>#N/A N/A</v>
        <stp/>
        <stp>BDH|11339396963548847508</stp>
        <tr r="K24" s="4"/>
      </tp>
      <tp t="s">
        <v>#N/A N/A</v>
        <stp/>
        <stp>BDH|12492557135739691424</stp>
        <tr r="AF9" s="2"/>
      </tp>
      <tp t="s">
        <v>#N/A N/A</v>
        <stp/>
        <stp>BDH|18025178821394478615</stp>
        <tr r="E24" s="2"/>
      </tp>
      <tp t="s">
        <v>#N/A N/A</v>
        <stp/>
        <stp>BDH|16882910440516844422</stp>
        <tr r="AH16" s="4"/>
      </tp>
      <tp t="s">
        <v>#N/A N/A</v>
        <stp/>
        <stp>BDH|17711454056769756605</stp>
        <tr r="AA10" s="4"/>
      </tp>
      <tp t="s">
        <v>#N/A N/A</v>
        <stp/>
        <stp>BDH|15746010262548281240</stp>
        <tr r="H13" s="2"/>
      </tp>
      <tp t="s">
        <v>#N/A N/A</v>
        <stp/>
        <stp>BDH|18006829226643062865</stp>
        <tr r="R9" s="4"/>
      </tp>
      <tp t="s">
        <v>#N/A N/A</v>
        <stp/>
        <stp>BDH|15406944260767768429</stp>
        <tr r="AF17" s="2"/>
      </tp>
      <tp t="s">
        <v>#N/A N/A</v>
        <stp/>
        <stp>BDH|18282839093119608917</stp>
        <tr r="W21" s="4"/>
      </tp>
      <tp t="s">
        <v>#N/A N/A</v>
        <stp/>
        <stp>BDH|13789048609022807868</stp>
        <tr r="AM20" s="4"/>
      </tp>
      <tp t="s">
        <v>#N/A N/A</v>
        <stp/>
        <stp>BDH|11703084386818486892</stp>
        <tr r="T13" s="2"/>
      </tp>
      <tp t="s">
        <v>#N/A N/A</v>
        <stp/>
        <stp>BDH|16118659772548550646</stp>
        <tr r="J19" s="2"/>
      </tp>
      <tp t="s">
        <v>#N/A N/A</v>
        <stp/>
        <stp>BDH|14526967964597145519</stp>
        <tr r="AL6" s="4"/>
      </tp>
      <tp t="s">
        <v>#N/A N/A</v>
        <stp/>
        <stp>BDH|15173511473088415606</stp>
        <tr r="C14" s="4"/>
      </tp>
      <tp t="s">
        <v>#N/A N/A</v>
        <stp/>
        <stp>BDH|16094427665588116501</stp>
        <tr r="M13" s="4"/>
      </tp>
      <tp t="s">
        <v>#N/A N/A</v>
        <stp/>
        <stp>BDH|15669369141232056979</stp>
        <tr r="S13" s="2"/>
      </tp>
      <tp t="s">
        <v>#N/A N/A</v>
        <stp/>
        <stp>BDH|17163102507108497748</stp>
        <tr r="AN7" s="4"/>
      </tp>
      <tp t="s">
        <v>#N/A N/A</v>
        <stp/>
        <stp>BDH|14508082334557244928</stp>
        <tr r="M24" s="4"/>
      </tp>
      <tp t="s">
        <v>#N/A N/A</v>
        <stp/>
        <stp>BDH|16179935219825669240</stp>
        <tr r="E24" s="4"/>
      </tp>
      <tp t="s">
        <v>#N/A N/A</v>
        <stp/>
        <stp>BDH|15181682933778035112</stp>
        <tr r="V25" s="2"/>
      </tp>
      <tp t="s">
        <v>#N/A N/A</v>
        <stp/>
        <stp>BDH|15722594197715380501</stp>
        <tr r="H20" s="2"/>
      </tp>
      <tp t="s">
        <v>#N/A N/A</v>
        <stp/>
        <stp>BDH|14377826608451016437</stp>
        <tr r="S20" s="4"/>
      </tp>
      <tp t="s">
        <v>#N/A N/A</v>
        <stp/>
        <stp>BDH|14523519268748736664</stp>
        <tr r="C7" s="2"/>
      </tp>
      <tp t="s">
        <v>#N/A N/A</v>
        <stp/>
        <stp>BDH|10519408024699911643</stp>
        <tr r="AC13" s="4"/>
      </tp>
      <tp t="s">
        <v>#N/A N/A</v>
        <stp/>
        <stp>BDH|16727863578017418712</stp>
        <tr r="I9" s="2"/>
      </tp>
      <tp t="s">
        <v>#N/A N/A</v>
        <stp/>
        <stp>BDH|15432270549229280376</stp>
        <tr r="AB17" s="2"/>
      </tp>
      <tp t="s">
        <v>#N/A N/A</v>
        <stp/>
        <stp>BDH|12784606095841993543</stp>
        <tr r="O8" s="2"/>
      </tp>
      <tp t="s">
        <v>#N/A N/A</v>
        <stp/>
        <stp>BDH|14814108895205205011</stp>
        <tr r="G24" s="2"/>
      </tp>
      <tp t="s">
        <v>#N/A N/A</v>
        <stp/>
        <stp>BDH|16464502826968907055</stp>
        <tr r="AB24" s="2"/>
      </tp>
      <tp t="s">
        <v>#N/A N/A</v>
        <stp/>
        <stp>BDH|15007466450228810503</stp>
        <tr r="AC25" s="4"/>
      </tp>
      <tp t="s">
        <v>#N/A N/A</v>
        <stp/>
        <stp>BDP|18020324398714126828</stp>
        <tr r="AC16" s="3"/>
      </tp>
      <tp t="s">
        <v>#N/A N/A</v>
        <stp/>
        <stp>BDP|11282249303045756888</stp>
        <tr r="O10" s="3"/>
      </tp>
      <tp t="s">
        <v>#N/A N/A</v>
        <stp/>
        <stp>BDP|15933798242140744886</stp>
        <tr r="M10" s="3"/>
      </tp>
      <tp t="s">
        <v>#N/A N/A</v>
        <stp/>
        <stp>BDP|11562232738866213804</stp>
        <tr r="K17" s="3"/>
      </tp>
      <tp t="s">
        <v>#N/A N/A</v>
        <stp/>
        <stp>BDP|16445086748159268570</stp>
        <tr r="F16" s="3"/>
      </tp>
      <tp t="s">
        <v>#N/A N/A</v>
        <stp/>
        <stp>BDP|12516760375264487825</stp>
        <tr r="AC10" s="3"/>
      </tp>
      <tp t="s">
        <v>#N/A N/A</v>
        <stp/>
        <stp>BDP|16606791472259937163</stp>
        <tr r="N13" s="3"/>
      </tp>
      <tp t="s">
        <v>#N/A N/A</v>
        <stp/>
        <stp>BDP|11198860914846448023</stp>
        <tr r="P10" s="3"/>
      </tp>
      <tp t="s">
        <v>#N/A N/A</v>
        <stp/>
        <stp>BDP|15689807182579136222</stp>
        <tr r="H13" s="3"/>
      </tp>
      <tp t="s">
        <v>#N/A N/A</v>
        <stp/>
        <stp>BDP|15113234083684648508</stp>
        <tr r="V9" s="3"/>
      </tp>
      <tp t="s">
        <v>#N/A N/A</v>
        <stp/>
        <stp>BDP|11139748752604957999</stp>
        <tr r="AB9" s="3"/>
      </tp>
      <tp t="s">
        <v>#N/A N/A</v>
        <stp/>
        <stp>BDH|15206931831703359233</stp>
        <tr r="AF22" s="4"/>
      </tp>
      <tp t="s">
        <v>#N/A N/A</v>
        <stp/>
        <stp>BDH|15537811662082246741</stp>
        <tr r="AH20" s="2"/>
      </tp>
      <tp t="s">
        <v>#N/A N/A</v>
        <stp/>
        <stp>BDH|12342915459111981118</stp>
        <tr r="D18" s="4"/>
      </tp>
      <tp t="s">
        <v>#N/A N/A</v>
        <stp/>
        <stp>BDH|13820765339311466813</stp>
        <tr r="P14" s="4"/>
      </tp>
      <tp t="s">
        <v>#N/A N/A</v>
        <stp/>
        <stp>BDH|14611700991704021053</stp>
        <tr r="U21" s="2"/>
      </tp>
      <tp t="s">
        <v>#N/A N/A</v>
        <stp/>
        <stp>BDH|12487188680301711494</stp>
        <tr r="AK25" s="4"/>
      </tp>
      <tp t="s">
        <v>#N/A N/A</v>
        <stp/>
        <stp>BDH|12419612822631444963</stp>
        <tr r="U16" s="2"/>
      </tp>
      <tp t="s">
        <v>#N/A N/A</v>
        <stp/>
        <stp>BDH|18208201047341912193</stp>
        <tr r="AO25" s="2"/>
      </tp>
      <tp t="s">
        <v>#N/A N/A</v>
        <stp/>
        <stp>BDH|17387751483841135701</stp>
        <tr r="AE20" s="4"/>
      </tp>
      <tp t="s">
        <v>#N/A N/A</v>
        <stp/>
        <stp>BDH|14152956357232761400</stp>
        <tr r="F26" s="2"/>
      </tp>
      <tp t="s">
        <v>#N/A N/A</v>
        <stp/>
        <stp>BDH|16223825860990635614</stp>
        <tr r="M24" s="2"/>
      </tp>
      <tp t="s">
        <v>#N/A N/A</v>
        <stp/>
        <stp>BDH|11769928843265295737</stp>
        <tr r="AM10" s="4"/>
      </tp>
      <tp t="s">
        <v>#N/A N/A</v>
        <stp/>
        <stp>BDH|13219790195030063396</stp>
        <tr r="Y24" s="4"/>
      </tp>
      <tp t="s">
        <v>#N/A N/A</v>
        <stp/>
        <stp>BDH|15085107258949527646</stp>
        <tr r="L12" s="4"/>
      </tp>
      <tp t="s">
        <v>#N/A N/A</v>
        <stp/>
        <stp>BDH|17027235141088995728</stp>
        <tr r="Z13" s="4"/>
      </tp>
      <tp t="s">
        <v>#N/A N/A</v>
        <stp/>
        <stp>BDH|12468448585884447499</stp>
        <tr r="G18" s="4"/>
      </tp>
      <tp t="s">
        <v>#N/A N/A</v>
        <stp/>
        <stp>BDH|14468893290553189845</stp>
        <tr r="G21" s="4"/>
      </tp>
      <tp t="s">
        <v>#N/A N/A</v>
        <stp/>
        <stp>BDH|13191658992555968773</stp>
        <tr r="G9" s="4"/>
      </tp>
      <tp t="s">
        <v>#N/A N/A</v>
        <stp/>
        <stp>BDH|13843240495723718567</stp>
        <tr r="X26" s="4"/>
      </tp>
      <tp t="s">
        <v>#N/A N/A</v>
        <stp/>
        <stp>BDH|16316185893472398207</stp>
        <tr r="AD22" s="4"/>
      </tp>
      <tp t="s">
        <v>#N/A N/A</v>
        <stp/>
        <stp>BDH|17547694387814498343</stp>
        <tr r="AF26" s="2"/>
      </tp>
      <tp t="s">
        <v>#N/A N/A</v>
        <stp/>
        <stp>BDH|14232607359230459945</stp>
        <tr r="I7" s="4"/>
      </tp>
      <tp t="s">
        <v>#N/A N/A</v>
        <stp/>
        <stp>BDH|17269086237279296351</stp>
        <tr r="I7" s="2"/>
      </tp>
      <tp t="s">
        <v>#N/A N/A</v>
        <stp/>
        <stp>BDH|18041809323715741991</stp>
        <tr r="AP14" s="4"/>
      </tp>
      <tp t="s">
        <v>#N/A N/A</v>
        <stp/>
        <stp>BDH|13319304618286001965</stp>
        <tr r="AG9" s="4"/>
      </tp>
      <tp t="s">
        <v>#N/A N/A</v>
        <stp/>
        <stp>BDH|18114555812475132784</stp>
        <tr r="T6" s="4"/>
      </tp>
      <tp t="s">
        <v>#N/A N/A</v>
        <stp/>
        <stp>BDH|15354977350465332291</stp>
        <tr r="D21" s="2"/>
      </tp>
    </main>
    <main first="bofaddin.rtdserver">
      <tp t="s">
        <v>#N/A N/A</v>
        <stp/>
        <stp>BDP|15845021753897761838</stp>
        <tr r="F13" s="3"/>
      </tp>
      <tp t="s">
        <v>#N/A N/A</v>
        <stp/>
        <stp>BDP|15215904689129122240</stp>
        <tr r="Z16" s="3"/>
      </tp>
      <tp t="s">
        <v>#N/A N/A</v>
        <stp/>
        <stp>BDP|16044540380451190540</stp>
        <tr r="Y12" s="3"/>
      </tp>
      <tp t="s">
        <v>#N/A N/A</v>
        <stp/>
        <stp>BDP|14763455530799457553</stp>
        <tr r="X13" s="3"/>
      </tp>
      <tp t="s">
        <v>#N/A N/A</v>
        <stp/>
        <stp>BDP|11237055085650202649</stp>
        <tr r="L10" s="3"/>
      </tp>
      <tp t="s">
        <v>#N/A N/A</v>
        <stp/>
        <stp>BDH|16934016389406091704</stp>
        <tr r="J24" s="2"/>
      </tp>
      <tp t="s">
        <v>#N/A N/A</v>
        <stp/>
        <stp>BDH|15461553983841149635</stp>
        <tr r="P25" s="2"/>
      </tp>
      <tp t="s">
        <v>#N/A N/A</v>
        <stp/>
        <stp>BDH|10319866617702801499</stp>
        <tr r="C21" s="4"/>
      </tp>
      <tp t="s">
        <v>#N/A N/A</v>
        <stp/>
        <stp>BDH|17266054387297246719</stp>
        <tr r="AO21" s="4"/>
      </tp>
      <tp t="s">
        <v>#N/A N/A</v>
        <stp/>
        <stp>BDH|11404873709481907713</stp>
        <tr r="AB12" s="4"/>
      </tp>
      <tp t="s">
        <v>#N/A N/A</v>
        <stp/>
        <stp>BDH|15525021683117090512</stp>
        <tr r="O21" s="2"/>
      </tp>
      <tp t="s">
        <v>#N/A N/A</v>
        <stp/>
        <stp>BDH|13712865063837681519</stp>
        <tr r="AF20" s="4"/>
      </tp>
    </main>
    <main first="bofaddin.rtdserver">
      <tp t="s">
        <v>#N/A N/A</v>
        <stp/>
        <stp>BDH|12905232434979385593</stp>
        <tr r="AK14" s="4"/>
      </tp>
      <tp t="s">
        <v>#N/A N/A</v>
        <stp/>
        <stp>BDH|15565912636653705312</stp>
        <tr r="X7" s="4"/>
      </tp>
      <tp t="s">
        <v>#N/A N/A</v>
        <stp/>
        <stp>BDH|16023359432020994992</stp>
        <tr r="AC7" s="4"/>
      </tp>
      <tp t="s">
        <v>#N/A N/A</v>
        <stp/>
        <stp>BDH|15378695605815174998</stp>
        <tr r="Y18" s="2"/>
      </tp>
      <tp t="s">
        <v>#N/A N/A</v>
        <stp/>
        <stp>BDH|12452950969831746390</stp>
        <tr r="Y25" s="4"/>
      </tp>
      <tp t="s">
        <v>#N/A N/A</v>
        <stp/>
        <stp>BDH|10903940972026922701</stp>
        <tr r="D24" s="4"/>
      </tp>
      <tp t="s">
        <v>#N/A N/A</v>
        <stp/>
        <stp>BDH|18227934805738636646</stp>
        <tr r="AA19" s="2"/>
      </tp>
      <tp t="s">
        <v>#N/A N/A</v>
        <stp/>
        <stp>BDH|16651108500559600180</stp>
        <tr r="D8" s="4"/>
      </tp>
      <tp t="s">
        <v>#N/A N/A</v>
        <stp/>
        <stp>BDH|15141165577525185998</stp>
        <tr r="AE21" s="4"/>
      </tp>
      <tp t="s">
        <v>#N/A N/A</v>
        <stp/>
        <stp>BDH|16048236284594489787</stp>
        <tr r="G13" s="4"/>
      </tp>
      <tp t="s">
        <v>#N/A N/A</v>
        <stp/>
        <stp>BDH|14820807677905380178</stp>
        <tr r="AA9" s="2"/>
      </tp>
      <tp t="s">
        <v>#N/A N/A</v>
        <stp/>
        <stp>BDH|17350870509920060079</stp>
        <tr r="AA17" s="2"/>
      </tp>
      <tp t="s">
        <v>#N/A N/A</v>
        <stp/>
        <stp>BDH|10272587879295160887</stp>
        <tr r="W22" s="4"/>
      </tp>
      <tp t="s">
        <v>#N/A N/A</v>
        <stp/>
        <stp>BDH|15551573883481353687</stp>
        <tr r="U14" s="4"/>
      </tp>
      <tp t="s">
        <v>#N/A N/A</v>
        <stp/>
        <stp>BDH|11955855004713711528</stp>
        <tr r="L8" s="4"/>
      </tp>
      <tp t="s">
        <v>#N/A N/A</v>
        <stp/>
        <stp>BDH|12956311625224891891</stp>
        <tr r="AD17" s="2"/>
      </tp>
      <tp t="s">
        <v>#N/A N/A</v>
        <stp/>
        <stp>BDH|17780235411619935204</stp>
        <tr r="X10" s="2"/>
      </tp>
      <tp t="s">
        <v>#N/A N/A</v>
        <stp/>
        <stp>BDH|18115387983349799536</stp>
        <tr r="S14" s="2"/>
      </tp>
      <tp t="s">
        <v>#N/A N/A</v>
        <stp/>
        <stp>BDP|10603703872528673490</stp>
        <tr r="G9" s="3"/>
      </tp>
      <tp t="s">
        <v>#N/A N/A</v>
        <stp/>
        <stp>BDP|15875296692082575091</stp>
        <tr r="AL13" s="3"/>
      </tp>
      <tp t="s">
        <v>#N/A N/A</v>
        <stp/>
        <stp>BDP|13121997505325718349</stp>
        <tr r="Z10" s="3"/>
      </tp>
      <tp t="s">
        <v>#N/A N/A</v>
        <stp/>
        <stp>BDP|13394336269823830907</stp>
        <tr r="Y16" s="3"/>
      </tp>
      <tp t="s">
        <v>#N/A N/A</v>
        <stp/>
        <stp>BDP|12479009610646432944</stp>
        <tr r="AM17" s="3"/>
      </tp>
      <tp t="s">
        <v>#N/A N/A</v>
        <stp/>
        <stp>BDH|14025801090528315129</stp>
        <tr r="AF21" s="4"/>
      </tp>
      <tp t="s">
        <v>#N/A N/A</v>
        <stp/>
        <stp>BDH|14992420909474563867</stp>
        <tr r="E26" s="2"/>
      </tp>
      <tp t="s">
        <v>#N/A N/A</v>
        <stp/>
        <stp>BDH|16684429496524117327</stp>
        <tr r="AJ18" s="2"/>
      </tp>
      <tp t="s">
        <v>#N/A N/A</v>
        <stp/>
        <stp>BDH|10978220632969899406</stp>
        <tr r="AN13" s="2"/>
      </tp>
      <tp t="s">
        <v>#N/A N/A</v>
        <stp/>
        <stp>BDH|10389597790584247483</stp>
        <tr r="AC21" s="2"/>
      </tp>
      <tp t="s">
        <v>#N/A N/A</v>
        <stp/>
        <stp>BDH|10543035412434539910</stp>
        <tr r="AP17" s="4"/>
      </tp>
      <tp t="s">
        <v>#N/A N/A</v>
        <stp/>
        <stp>BDH|12439062451383947892</stp>
        <tr r="J9" s="2"/>
      </tp>
      <tp t="s">
        <v>#N/A N/A</v>
        <stp/>
        <stp>BDH|16530210386613863389</stp>
        <tr r="E10" s="4"/>
      </tp>
      <tp t="s">
        <v>#N/A N/A</v>
        <stp/>
        <stp>BDH|11852342035565935821</stp>
        <tr r="T10" s="2"/>
      </tp>
      <tp t="s">
        <v>#N/A N/A</v>
        <stp/>
        <stp>BDH|13504700290296546721</stp>
        <tr r="AL14" s="4"/>
      </tp>
      <tp t="s">
        <v>#N/A N/A</v>
        <stp/>
        <stp>BDH|16903976333495706587</stp>
        <tr r="D16" s="2"/>
      </tp>
      <tp t="s">
        <v>#N/A N/A</v>
        <stp/>
        <stp>BDH|18444345750845608730</stp>
        <tr r="S16" s="4"/>
      </tp>
      <tp t="s">
        <v>#N/A N/A</v>
        <stp/>
        <stp>BDH|10119175583847570252</stp>
        <tr r="AM9" s="4"/>
      </tp>
      <tp t="s">
        <v>#N/A N/A</v>
        <stp/>
        <stp>BDH|14540777298180982664</stp>
        <tr r="AH24" s="2"/>
      </tp>
      <tp t="s">
        <v>#N/A N/A</v>
        <stp/>
        <stp>BDH|14567645085884220222</stp>
        <tr r="T20" s="4"/>
      </tp>
      <tp t="s">
        <v>#N/A N/A</v>
        <stp/>
        <stp>BDH|13674459283850651329</stp>
        <tr r="AK20" s="2"/>
      </tp>
      <tp t="s">
        <v>#N/A N/A</v>
        <stp/>
        <stp>BDH|16421664020846069857</stp>
        <tr r="F17" s="4"/>
      </tp>
      <tp t="s">
        <v>#N/A N/A</v>
        <stp/>
        <stp>BDH|13177050224564371949</stp>
        <tr r="G16" s="2"/>
      </tp>
      <tp t="s">
        <v>#N/A N/A</v>
        <stp/>
        <stp>BDH|13343952044043508100</stp>
        <tr r="AG25" s="4"/>
      </tp>
      <tp t="s">
        <v>#N/A N/A</v>
        <stp/>
        <stp>BDH|18058147707641583407</stp>
        <tr r="AF25" s="2"/>
      </tp>
      <tp t="s">
        <v>#N/A N/A</v>
        <stp/>
        <stp>BDH|17672912331793583257</stp>
        <tr r="AP17" s="2"/>
      </tp>
      <tp t="s">
        <v>#N/A N/A</v>
        <stp/>
        <stp>BDH|10857505861607494844</stp>
        <tr r="V7" s="4"/>
      </tp>
      <tp t="s">
        <v>#N/A N/A</v>
        <stp/>
        <stp>BDH|11004241889535037246</stp>
        <tr r="P10" s="4"/>
      </tp>
      <tp t="s">
        <v>#N/A N/A</v>
        <stp/>
        <stp>BDH|11434283752168786218</stp>
        <tr r="AA12" s="4"/>
      </tp>
      <tp t="s">
        <v>#N/A N/A</v>
        <stp/>
        <stp>BDH|10622103541290949963</stp>
        <tr r="O12" s="4"/>
      </tp>
      <tp t="s">
        <v>#N/A N/A</v>
        <stp/>
        <stp>BDH|14088374826689815037</stp>
        <tr r="AC9" s="4"/>
      </tp>
      <tp t="s">
        <v>#N/A N/A</v>
        <stp/>
        <stp>BDH|14730155385464994549</stp>
        <tr r="AI18" s="4"/>
      </tp>
      <tp t="s">
        <v>#N/A N/A</v>
        <stp/>
        <stp>BDH|12030110327389330499</stp>
        <tr r="AF18" s="4"/>
      </tp>
      <tp t="s">
        <v>#N/A N/A</v>
        <stp/>
        <stp>BDH|11590037992286838202</stp>
        <tr r="E26" s="4"/>
      </tp>
      <tp t="s">
        <v>#N/A N/A</v>
        <stp/>
        <stp>BDH|17525485084373073450</stp>
        <tr r="P12" s="4"/>
      </tp>
      <tp t="s">
        <v>#N/A N/A</v>
        <stp/>
        <stp>BDH|13185796429969740390</stp>
        <tr r="AO13" s="2"/>
      </tp>
      <tp t="s">
        <v>#N/A N/A</v>
        <stp/>
        <stp>BDH|12469807885688897668</stp>
        <tr r="S13" s="4"/>
      </tp>
      <tp t="s">
        <v>#N/A N/A</v>
        <stp/>
        <stp>BDH|15592529871223117896</stp>
        <tr r="M19" s="2"/>
      </tp>
      <tp t="s">
        <v>#N/A N/A</v>
        <stp/>
        <stp>BDH|18076314715767936133</stp>
        <tr r="AO16" s="2"/>
      </tp>
      <tp t="s">
        <v>#N/A N/A</v>
        <stp/>
        <stp>BDP|15384994322065410654</stp>
        <tr r="K16" s="3"/>
      </tp>
      <tp t="s">
        <v>#N/A N/A</v>
        <stp/>
        <stp>BDP|13824790996536783690</stp>
        <tr r="W13" s="3"/>
      </tp>
      <tp t="s">
        <v>#N/A N/A</v>
        <stp/>
        <stp>BDP|15675826220327524508</stp>
        <tr r="R10" s="3"/>
      </tp>
      <tp t="s">
        <v>#N/A N/A</v>
        <stp/>
        <stp>BDP|15424297392110869360</stp>
        <tr r="X17" s="3"/>
      </tp>
      <tp t="s">
        <v>#N/A N/A</v>
        <stp/>
        <stp>BDP|12902515594520732384</stp>
        <tr r="AO12" s="3"/>
      </tp>
      <tp t="s">
        <v>#N/A N/A</v>
        <stp/>
        <stp>BDP|14285012786797626611</stp>
        <tr r="W9" s="3"/>
      </tp>
      <tp t="s">
        <v>#N/A N/A</v>
        <stp/>
        <stp>BDP|14391728446662764868</stp>
        <tr r="W12" s="3"/>
      </tp>
      <tp t="s">
        <v>#N/A N/A</v>
        <stp/>
        <stp>BDP|10077844416091050544</stp>
        <tr r="AI12" s="3"/>
      </tp>
      <tp t="s">
        <v>#N/A N/A</v>
        <stp/>
        <stp>BDH|15794784831465862972</stp>
        <tr r="AE25" s="4"/>
      </tp>
      <tp t="s">
        <v>#N/A N/A</v>
        <stp/>
        <stp>BDH|16056979489078611291</stp>
        <tr r="D14" s="2"/>
      </tp>
      <tp t="s">
        <v>#N/A N/A</v>
        <stp/>
        <stp>BDH|13648866561815668571</stp>
        <tr r="AF13" s="4"/>
      </tp>
      <tp t="s">
        <v>#N/A N/A</v>
        <stp/>
        <stp>BDH|17518793678869473336</stp>
        <tr r="T18" s="2"/>
      </tp>
      <tp t="s">
        <v>#N/A N/A</v>
        <stp/>
        <stp>BDH|16097207802340599942</stp>
        <tr r="H20" s="4"/>
      </tp>
      <tp t="s">
        <v>#N/A N/A</v>
        <stp/>
        <stp>BDH|15238194589758524958</stp>
        <tr r="J17" s="2"/>
      </tp>
      <tp t="s">
        <v>#N/A N/A</v>
        <stp/>
        <stp>BDH|12539073437805579927</stp>
        <tr r="AM10" s="2"/>
      </tp>
      <tp t="s">
        <v>#N/A N/A</v>
        <stp/>
        <stp>BDH|15488827233716115568</stp>
        <tr r="AO14" s="2"/>
      </tp>
      <tp t="s">
        <v>#N/A N/A</v>
        <stp/>
        <stp>BDH|13505163157668685273</stp>
        <tr r="G10" s="4"/>
      </tp>
      <tp t="s">
        <v>#N/A N/A</v>
        <stp/>
        <stp>BDH|12863282913165166974</stp>
        <tr r="AD16" s="4"/>
      </tp>
      <tp t="s">
        <v>#N/A N/A</v>
        <stp/>
        <stp>BDH|14358622055493211934</stp>
        <tr r="V18" s="2"/>
      </tp>
      <tp t="s">
        <v>#N/A N/A</v>
        <stp/>
        <stp>BDH|16967258969817938890</stp>
        <tr r="T20" s="2"/>
      </tp>
      <tp t="s">
        <v>#N/A N/A</v>
        <stp/>
        <stp>BDH|11147574394065163563</stp>
        <tr r="AO26" s="4"/>
      </tp>
      <tp t="s">
        <v>#N/A N/A</v>
        <stp/>
        <stp>BDH|12172393647401303994</stp>
        <tr r="P16" s="2"/>
      </tp>
      <tp t="s">
        <v>#N/A N/A</v>
        <stp/>
        <stp>BDH|17470296397142921371</stp>
        <tr r="J10" s="2"/>
      </tp>
      <tp t="s">
        <v>#N/A N/A</v>
        <stp/>
        <stp>BDH|11321391169731012876</stp>
        <tr r="X14" s="4"/>
      </tp>
      <tp t="s">
        <v>#N/A N/A</v>
        <stp/>
        <stp>BDH|12201905930685386065</stp>
        <tr r="C13" s="2"/>
      </tp>
      <tp t="s">
        <v>#N/A N/A</v>
        <stp/>
        <stp>BDH|14621793599080411750</stp>
        <tr r="O25" s="2"/>
      </tp>
      <tp t="s">
        <v>#N/A N/A</v>
        <stp/>
        <stp>BDH|10573326184761002743</stp>
        <tr r="P6" s="4"/>
      </tp>
      <tp t="s">
        <v>#N/A N/A</v>
        <stp/>
        <stp>BDH|14757447484052600773</stp>
        <tr r="AO20" s="2"/>
      </tp>
      <tp t="s">
        <v>#N/A N/A</v>
        <stp/>
        <stp>BDH|10878728995881080264</stp>
        <tr r="S26" s="2"/>
      </tp>
      <tp t="s">
        <v>#N/A N/A</v>
        <stp/>
        <stp>BDH|10133889236636111075</stp>
        <tr r="Z22" s="4"/>
      </tp>
      <tp t="s">
        <v>#N/A N/A</v>
        <stp/>
        <stp>BDH|13285217097801599491</stp>
        <tr r="O24" s="4"/>
      </tp>
      <tp t="s">
        <v>#N/A N/A</v>
        <stp/>
        <stp>BDH|13943183899444541275</stp>
        <tr r="S24" s="2"/>
      </tp>
      <tp t="s">
        <v>#N/A N/A</v>
        <stp/>
        <stp>BDH|15472988065437338008</stp>
        <tr r="S7" s="2"/>
      </tp>
      <tp t="s">
        <v>#N/A N/A</v>
        <stp/>
        <stp>BDH|16267389006688445056</stp>
        <tr r="H24" s="4"/>
      </tp>
      <tp t="s">
        <v>#N/A N/A</v>
        <stp/>
        <stp>BDH|15120505419564035857</stp>
        <tr r="AB21" s="2"/>
      </tp>
      <tp t="s">
        <v>#N/A N/A</v>
        <stp/>
        <stp>BDH|18084074019234443065</stp>
        <tr r="N18" s="4"/>
      </tp>
      <tp t="s">
        <v>#N/A N/A</v>
        <stp/>
        <stp>BDH|18289160087174514897</stp>
        <tr r="F10" s="4"/>
      </tp>
      <tp t="s">
        <v>#N/A N/A</v>
        <stp/>
        <stp>BDH|11631706519998038201</stp>
        <tr r="AO7" s="2"/>
      </tp>
      <tp t="s">
        <v>#N/A N/A</v>
        <stp/>
        <stp>BDH|12934475063614585974</stp>
        <tr r="Z21" s="2"/>
      </tp>
      <tp t="s">
        <v>#N/A N/A</v>
        <stp/>
        <stp>BDH|12383934616927907010</stp>
        <tr r="J20" s="2"/>
      </tp>
      <tp t="s">
        <v>#N/A N/A</v>
        <stp/>
        <stp>BDP|15459326923297521192</stp>
        <tr r="AC12" s="3"/>
      </tp>
      <tp t="s">
        <v>#N/A N/A</v>
        <stp/>
        <stp>BDP|15610730821055738797</stp>
        <tr r="W10" s="3"/>
      </tp>
      <tp t="s">
        <v>#N/A N/A</v>
        <stp/>
        <stp>BDP|14186365316114991084</stp>
        <tr r="AE17" s="3"/>
      </tp>
      <tp t="s">
        <v>#N/A N/A</v>
        <stp/>
        <stp>BDP|15999641810243976368</stp>
        <tr r="AM16" s="3"/>
      </tp>
      <tp t="s">
        <v>#N/A N/A</v>
        <stp/>
        <stp>BDP|13685656409706768196</stp>
        <tr r="AH16" s="3"/>
      </tp>
      <tp t="s">
        <v>#N/A N/A</v>
        <stp/>
        <stp>BDH|12848150407328849938</stp>
        <tr r="K6" s="4"/>
      </tp>
      <tp t="s">
        <v>#N/A N/A</v>
        <stp/>
        <stp>BDH|10849729928711021637</stp>
        <tr r="W16" s="4"/>
      </tp>
      <tp t="s">
        <v>#N/A N/A</v>
        <stp/>
        <stp>BDH|11621777471293277035</stp>
        <tr r="O13" s="2"/>
      </tp>
      <tp t="s">
        <v>#N/A N/A</v>
        <stp/>
        <stp>BDH|13903391341543298534</stp>
        <tr r="S21" s="2"/>
      </tp>
      <tp t="s">
        <v>#N/A N/A</v>
        <stp/>
        <stp>BDH|13522766425675083163</stp>
        <tr r="AF7" s="2"/>
      </tp>
      <tp t="s">
        <v>#N/A N/A</v>
        <stp/>
        <stp>BDH|17003787767156978269</stp>
        <tr r="V7" s="2"/>
      </tp>
      <tp t="s">
        <v>#N/A N/A</v>
        <stp/>
        <stp>BDH|12261369127546124725</stp>
        <tr r="I13" s="4"/>
      </tp>
      <tp t="s">
        <v>#N/A N/A</v>
        <stp/>
        <stp>BDH|11923952574378384581</stp>
        <tr r="W10" s="4"/>
      </tp>
      <tp t="s">
        <v>#N/A N/A</v>
        <stp/>
        <stp>BDH|16817479391189827054</stp>
        <tr r="AI20" s="4"/>
      </tp>
      <tp t="s">
        <v>#N/A N/A</v>
        <stp/>
        <stp>BDH|13124505201463061738</stp>
        <tr r="AA26" s="2"/>
      </tp>
      <tp t="s">
        <v>#N/A N/A</v>
        <stp/>
        <stp>BDH|11989711960664926620</stp>
        <tr r="N17" s="4"/>
      </tp>
      <tp t="s">
        <v>#N/A N/A</v>
        <stp/>
        <stp>BDH|12732570371286532477</stp>
        <tr r="I20" s="4"/>
      </tp>
      <tp t="s">
        <v>#N/A N/A</v>
        <stp/>
        <stp>BDH|11928489257531710330</stp>
        <tr r="AK14" s="2"/>
      </tp>
      <tp t="s">
        <v>#N/A N/A</v>
        <stp/>
        <stp>BDH|13117424845181055043</stp>
        <tr r="Y8" s="2"/>
      </tp>
      <tp t="s">
        <v>#N/A N/A</v>
        <stp/>
        <stp>BDH|18349077033208146145</stp>
        <tr r="AA18" s="4"/>
      </tp>
      <tp t="s">
        <v>#N/A N/A</v>
        <stp/>
        <stp>BDH|15563259613634166075</stp>
        <tr r="Q7" s="2"/>
      </tp>
      <tp t="s">
        <v>#N/A N/A</v>
        <stp/>
        <stp>BDH|17822183473147083467</stp>
        <tr r="AA20" s="2"/>
      </tp>
      <tp t="s">
        <v>#N/A N/A</v>
        <stp/>
        <stp>BDH|18236401983265576314</stp>
        <tr r="M18" s="2"/>
      </tp>
      <tp t="s">
        <v>#N/A N/A</v>
        <stp/>
        <stp>BDH|14828889182770357652</stp>
        <tr r="AH17" s="4"/>
      </tp>
      <tp t="s">
        <v>#N/A N/A</v>
        <stp/>
        <stp>BDH|14763975245029445251</stp>
        <tr r="AA25" s="2"/>
      </tp>
      <tp t="s">
        <v>#N/A N/A</v>
        <stp/>
        <stp>BDH|17525317267370489006</stp>
        <tr r="AM22" s="4"/>
      </tp>
      <tp t="s">
        <v>#N/A N/A</v>
        <stp/>
        <stp>BDH|10578716742823140212</stp>
        <tr r="AJ6" s="4"/>
      </tp>
      <tp t="s">
        <v>#N/A N/A</v>
        <stp/>
        <stp>BDH|17910066535067814149</stp>
        <tr r="AG20" s="4"/>
      </tp>
      <tp t="s">
        <v>#N/A N/A</v>
        <stp/>
        <stp>BDH|13894104872436839148</stp>
        <tr r="AN16" s="4"/>
      </tp>
      <tp t="s">
        <v>#N/A N/A</v>
        <stp/>
        <stp>BDH|10296529833050610437</stp>
        <tr r="E13" s="4"/>
      </tp>
      <tp t="s">
        <v>#N/A N/A</v>
        <stp/>
        <stp>BDH|17830338528515531109</stp>
        <tr r="P13" s="4"/>
      </tp>
      <tp t="s">
        <v>#N/A N/A</v>
        <stp/>
        <stp>BDH|17915291469413612291</stp>
        <tr r="AN18" s="2"/>
      </tp>
      <tp t="s">
        <v>#N/A N/A</v>
        <stp/>
        <stp>BDH|12573324015822913020</stp>
        <tr r="W14" s="2"/>
      </tp>
      <tp t="s">
        <v>#N/A N/A</v>
        <stp/>
        <stp>BDH|12395104811953375385</stp>
        <tr r="H14" s="4"/>
      </tp>
      <tp t="s">
        <v>#N/A N/A</v>
        <stp/>
        <stp>BDH|17855445064184840393</stp>
        <tr r="U8" s="2"/>
      </tp>
      <tp t="s">
        <v>#N/A N/A</v>
        <stp/>
        <stp>BDH|14136525714020602298</stp>
        <tr r="K16" s="4"/>
      </tp>
      <tp t="s">
        <v>#N/A N/A</v>
        <stp/>
        <stp>BDH|12667543809025417076</stp>
        <tr r="AD20" s="4"/>
      </tp>
      <tp t="s">
        <v>#N/A N/A</v>
        <stp/>
        <stp>BDH|18383677457640802907</stp>
        <tr r="O7" s="4"/>
      </tp>
      <tp t="s">
        <v>#N/A N/A</v>
        <stp/>
        <stp>BDH|13709554892429358488</stp>
        <tr r="AD21" s="2"/>
      </tp>
      <tp t="s">
        <v>#N/A N/A</v>
        <stp/>
        <stp>BDH|10612010034194846506</stp>
        <tr r="AK18" s="2"/>
      </tp>
      <tp t="s">
        <v>#N/A N/A</v>
        <stp/>
        <stp>BDH|16366294665290246074</stp>
        <tr r="G17" s="2"/>
      </tp>
      <tp t="s">
        <v>#N/A N/A</v>
        <stp/>
        <stp>BDH|14204612144242535684</stp>
        <tr r="K21" s="2"/>
      </tp>
      <tp t="s">
        <v>#N/A N/A</v>
        <stp/>
        <stp>BDH|17266627861150968550</stp>
        <tr r="AP25" s="2"/>
      </tp>
      <tp t="s">
        <v>#N/A N/A</v>
        <stp/>
        <stp>BDH|15712204254675826578</stp>
        <tr r="U17" s="2"/>
      </tp>
      <tp t="s">
        <v>#N/A N/A</v>
        <stp/>
        <stp>BDH|11209392961703533531</stp>
        <tr r="O24" s="2"/>
      </tp>
      <tp t="s">
        <v>#N/A N/A</v>
        <stp/>
        <stp>BDH|13900688264815942439</stp>
        <tr r="AN9" s="4"/>
      </tp>
      <tp t="s">
        <v>#N/A N/A</v>
        <stp/>
        <stp>BDH|15542923300526924807</stp>
        <tr r="AC21" s="4"/>
      </tp>
      <tp t="s">
        <v>#N/A N/A</v>
        <stp/>
        <stp>BDH|12044301461694729187</stp>
        <tr r="AM26" s="2"/>
      </tp>
      <tp t="s">
        <v>#N/A N/A</v>
        <stp/>
        <stp>BDH|12930512187379503447</stp>
        <tr r="L18" s="4"/>
      </tp>
      <tp t="s">
        <v>#N/A N/A</v>
        <stp/>
        <stp>BDP|10113793597555339876</stp>
        <tr r="G13" s="3"/>
      </tp>
      <tp t="s">
        <v>#N/A N/A</v>
        <stp/>
        <stp>BDP|16204090551616593618</stp>
        <tr r="T12" s="3"/>
      </tp>
      <tp t="s">
        <v>#N/A N/A</v>
        <stp/>
        <stp>BDP|14708554221659388928</stp>
        <tr r="K13" s="3"/>
      </tp>
      <tp t="s">
        <v>#N/A N/A</v>
        <stp/>
        <stp>BDP|16825491783568122176</stp>
        <tr r="Y9" s="3"/>
      </tp>
      <tp t="s">
        <v>#N/A N/A</v>
        <stp/>
        <stp>BDH|12073463654732303208</stp>
        <tr r="P10" s="2"/>
      </tp>
      <tp t="s">
        <v>#N/A N/A</v>
        <stp/>
        <stp>BDH|11486805991234354775</stp>
        <tr r="L17" s="4"/>
      </tp>
      <tp t="s">
        <v>#N/A N/A</v>
        <stp/>
        <stp>BDH|12956311422833899338</stp>
        <tr r="E17" s="4"/>
      </tp>
      <tp t="s">
        <v>#N/A N/A</v>
        <stp/>
        <stp>BDH|12377928173896631958</stp>
        <tr r="AB19" s="2"/>
      </tp>
      <tp t="s">
        <v>#N/A N/A</v>
        <stp/>
        <stp>BDH|14168429227703099251</stp>
        <tr r="AL9" s="2"/>
      </tp>
      <tp t="s">
        <v>#N/A N/A</v>
        <stp/>
        <stp>BDH|11875318532306217494</stp>
        <tr r="AC18" s="4"/>
      </tp>
      <tp t="s">
        <v>#N/A N/A</v>
        <stp/>
        <stp>BDH|15005211840344299435</stp>
        <tr r="AB26" s="2"/>
      </tp>
      <tp t="s">
        <v>#N/A N/A</v>
        <stp/>
        <stp>BDH|10551778170767155431</stp>
        <tr r="AK24" s="2"/>
      </tp>
      <tp t="s">
        <v>#N/A N/A</v>
        <stp/>
        <stp>BDH|17654460742036604247</stp>
        <tr r="I18" s="4"/>
      </tp>
      <tp t="s">
        <v>#N/A N/A</v>
        <stp/>
        <stp>BDH|10188746475463095003</stp>
        <tr r="E19" s="2"/>
      </tp>
      <tp t="s">
        <v>#N/A N/A</v>
        <stp/>
        <stp>BDH|18201846893038507201</stp>
        <tr r="N24" s="4"/>
      </tp>
      <tp t="s">
        <v>#N/A N/A</v>
        <stp/>
        <stp>BDH|16343333542440444260</stp>
        <tr r="M8" s="4"/>
      </tp>
      <tp t="s">
        <v>#N/A N/A</v>
        <stp/>
        <stp>BDH|13927165409564374573</stp>
        <tr r="F22" s="4"/>
      </tp>
      <tp t="s">
        <v>#N/A N/A</v>
        <stp/>
        <stp>BDH|15067033276416591753</stp>
        <tr r="F8" s="4"/>
      </tp>
      <tp t="s">
        <v>#N/A N/A</v>
        <stp/>
        <stp>BDH|16088084658427001752</stp>
        <tr r="AE22" s="4"/>
      </tp>
      <tp t="s">
        <v>#N/A N/A</v>
        <stp/>
        <stp>BDH|10448951934539721064</stp>
        <tr r="P26" s="4"/>
      </tp>
      <tp t="s">
        <v>#N/A N/A</v>
        <stp/>
        <stp>BDH|14416528326651436133</stp>
        <tr r="R13" s="2"/>
      </tp>
      <tp t="s">
        <v>#N/A N/A</v>
        <stp/>
        <stp>BDH|13292978826528788332</stp>
        <tr r="W24" s="4"/>
      </tp>
      <tp t="s">
        <v>#N/A N/A</v>
        <stp/>
        <stp>BDH|14888614004523872228</stp>
        <tr r="AG26" s="4"/>
      </tp>
      <tp t="s">
        <v>#N/A N/A</v>
        <stp/>
        <stp>BDH|14253129571663704202</stp>
        <tr r="AM16" s="4"/>
      </tp>
      <tp t="s">
        <v>#N/A N/A</v>
        <stp/>
        <stp>BDH|11328225045346110233</stp>
        <tr r="Y21" s="2"/>
      </tp>
      <tp t="s">
        <v>#N/A N/A</v>
        <stp/>
        <stp>BDH|14826957499226447166</stp>
        <tr r="AG17" s="4"/>
      </tp>
      <tp t="s">
        <v>#N/A N/A</v>
        <stp/>
        <stp>BDH|12176071401291811064</stp>
        <tr r="AI22" s="4"/>
      </tp>
      <tp t="s">
        <v>#N/A N/A</v>
        <stp/>
        <stp>BDH|12601636184279904613</stp>
        <tr r="F7" s="2"/>
      </tp>
      <tp t="s">
        <v>#N/A N/A</v>
        <stp/>
        <stp>BDH|17966163479774718686</stp>
        <tr r="Z25" s="4"/>
      </tp>
      <tp t="s">
        <v>#N/A N/A</v>
        <stp/>
        <stp>BDH|16562587005738705863</stp>
        <tr r="AE24" s="2"/>
      </tp>
      <tp t="s">
        <v>#N/A N/A</v>
        <stp/>
        <stp>BDH|18158909734216884758</stp>
        <tr r="K13" s="2"/>
      </tp>
      <tp t="s">
        <v>#N/A N/A</v>
        <stp/>
        <stp>BDH|15078112268125000425</stp>
        <tr r="AL25" s="4"/>
      </tp>
      <tp t="s">
        <v>#N/A N/A</v>
        <stp/>
        <stp>BDH|11248402401073185598</stp>
        <tr r="V16" s="2"/>
      </tp>
      <tp t="s">
        <v>#N/A N/A</v>
        <stp/>
        <stp>BDH|14346252375701895312</stp>
        <tr r="N9" s="4"/>
      </tp>
      <tp t="s">
        <v>#N/A N/A</v>
        <stp/>
        <stp>BDH|15537058556725232691</stp>
        <tr r="AI8" s="4"/>
      </tp>
      <tp t="s">
        <v>#N/A N/A</v>
        <stp/>
        <stp>BDH|10300414309562693504</stp>
        <tr r="G14" s="4"/>
      </tp>
      <tp t="s">
        <v>#N/A N/A</v>
        <stp/>
        <stp>BDH|12262773028833804789</stp>
        <tr r="AB25" s="4"/>
      </tp>
      <tp t="s">
        <v>#N/A N/A</v>
        <stp/>
        <stp>BDH|13598593874331237362</stp>
        <tr r="AL13" s="4"/>
      </tp>
      <tp t="s">
        <v>#N/A N/A</v>
        <stp/>
        <stp>BDH|17673011876613874050</stp>
        <tr r="AE8" s="2"/>
      </tp>
      <tp t="s">
        <v>#N/A N/A</v>
        <stp/>
        <stp>BDH|11737507978957101728</stp>
        <tr r="I22" s="4"/>
      </tp>
      <tp t="s">
        <v>#N/A N/A</v>
        <stp/>
        <stp>BDH|17154195045550796151</stp>
        <tr r="AI24" s="4"/>
      </tp>
      <tp t="s">
        <v>#N/A N/A</v>
        <stp/>
        <stp>BDH|14808293120392931572</stp>
        <tr r="H25" s="4"/>
      </tp>
      <tp t="s">
        <v>#N/A N/A</v>
        <stp/>
        <stp>BDH|17917867596250376552</stp>
        <tr r="S24" s="4"/>
      </tp>
      <tp t="s">
        <v>#N/A N/A</v>
        <stp/>
        <stp>BDH|15110324056591243183</stp>
        <tr r="C16" s="4"/>
      </tp>
      <tp t="s">
        <v>#N/A N/A</v>
        <stp/>
        <stp>BDH|16244791542654493239</stp>
        <tr r="R8" s="2"/>
      </tp>
      <tp t="s">
        <v>#N/A N/A</v>
        <stp/>
        <stp>BDH|10945652316485135156</stp>
        <tr r="AL22" s="4"/>
      </tp>
      <tp t="s">
        <v>#N/A N/A</v>
        <stp/>
        <stp>BDP|17643987875901832894</stp>
        <tr r="W16" s="3"/>
      </tp>
      <tp t="s">
        <v>#N/A N/A</v>
        <stp/>
        <stp>BDP|15724049586794271999</stp>
        <tr r="C10" s="3"/>
      </tp>
      <tp t="s">
        <v>#N/A N/A</v>
        <stp/>
        <stp>BDP|17866422372584008064</stp>
        <tr r="Q16" s="3"/>
      </tp>
      <tp t="s">
        <v>#N/A N/A</v>
        <stp/>
        <stp>BDH|11256214719971253396</stp>
        <tr r="W12" s="4"/>
      </tp>
      <tp t="s">
        <v>#N/A N/A</v>
        <stp/>
        <stp>BDH|11065137068714946239</stp>
        <tr r="J25" s="2"/>
      </tp>
      <tp t="s">
        <v>#N/A N/A</v>
        <stp/>
        <stp>BDH|10948395620339484852</stp>
        <tr r="U20" s="4"/>
      </tp>
      <tp t="s">
        <v>#N/A N/A</v>
        <stp/>
        <stp>BDH|13678922240579015751</stp>
        <tr r="AC16" s="2"/>
      </tp>
      <tp t="s">
        <v>#N/A N/A</v>
        <stp/>
        <stp>BDH|14777454803996312621</stp>
        <tr r="U14" s="2"/>
      </tp>
      <tp t="s">
        <v>#N/A N/A</v>
        <stp/>
        <stp>BDH|10450576751389251908</stp>
        <tr r="AM14" s="4"/>
      </tp>
      <tp t="s">
        <v>#N/A N/A</v>
        <stp/>
        <stp>BDH|11562201745710872782</stp>
        <tr r="M21" s="4"/>
      </tp>
      <tp t="s">
        <v>#N/A N/A</v>
        <stp/>
        <stp>BDH|15012510592429390037</stp>
        <tr r="J18" s="4"/>
      </tp>
      <tp t="s">
        <v>#N/A N/A</v>
        <stp/>
        <stp>BDH|14407425642661769508</stp>
        <tr r="AC24" s="2"/>
      </tp>
      <tp t="s">
        <v>#N/A N/A</v>
        <stp/>
        <stp>BDH|15018102001064560078</stp>
        <tr r="M6" s="4"/>
      </tp>
      <tp t="s">
        <v>#N/A N/A</v>
        <stp/>
        <stp>BDH|11495760277542182377</stp>
        <tr r="AD20" s="2"/>
      </tp>
      <tp t="s">
        <v>#N/A N/A</v>
        <stp/>
        <stp>BDH|14383357544754825781</stp>
        <tr r="AI7" s="2"/>
      </tp>
      <tp t="s">
        <v>#N/A N/A</v>
        <stp/>
        <stp>BDH|15676799460027953345</stp>
        <tr r="AA7" s="4"/>
      </tp>
      <tp t="s">
        <v>#N/A N/A</v>
        <stp/>
        <stp>BDH|14163024331484326339</stp>
        <tr r="Q8" s="4"/>
      </tp>
      <tp t="s">
        <v>#N/A N/A</v>
        <stp/>
        <stp>BDH|15145364734487426257</stp>
        <tr r="AB10" s="2"/>
      </tp>
      <tp t="s">
        <v>#N/A N/A</v>
        <stp/>
        <stp>BDH|10394059652142539735</stp>
        <tr r="AJ13" s="2"/>
      </tp>
      <tp t="s">
        <v>#N/A N/A</v>
        <stp/>
        <stp>BDH|17619204813396117219</stp>
        <tr r="AC25" s="2"/>
      </tp>
      <tp t="s">
        <v>#N/A N/A</v>
        <stp/>
        <stp>BDH|17148554851115391234</stp>
        <tr r="Z17" s="4"/>
      </tp>
      <tp t="s">
        <v>#N/A N/A</v>
        <stp/>
        <stp>BDH|13350557144687503527</stp>
        <tr r="F26" s="4"/>
      </tp>
      <tp t="s">
        <v>#N/A N/A</v>
        <stp/>
        <stp>BDH|16155365900673131628</stp>
        <tr r="AC20" s="2"/>
      </tp>
      <tp t="s">
        <v>#N/A N/A</v>
        <stp/>
        <stp>BDH|13057666260037520470</stp>
        <tr r="AK26" s="4"/>
      </tp>
      <tp t="s">
        <v>#N/A N/A</v>
        <stp/>
        <stp>BDH|18048417451770563917</stp>
        <tr r="D19" s="2"/>
      </tp>
      <tp t="s">
        <v>#N/A N/A</v>
        <stp/>
        <stp>BDH|12635340950042525609</stp>
        <tr r="K16" s="2"/>
      </tp>
      <tp t="s">
        <v>#N/A N/A</v>
        <stp/>
        <stp>BDH|12236838494055656640</stp>
        <tr r="AB20" s="4"/>
      </tp>
      <tp t="s">
        <v>#N/A N/A</v>
        <stp/>
        <stp>BDH|12870764020405985214</stp>
        <tr r="R13" s="4"/>
      </tp>
      <tp t="s">
        <v>#N/A N/A</v>
        <stp/>
        <stp>BDH|15958852790545387190</stp>
        <tr r="N12" s="4"/>
      </tp>
      <tp t="s">
        <v>#N/A N/A</v>
        <stp/>
        <stp>BDH|13044378742212145624</stp>
        <tr r="G12" s="4"/>
      </tp>
      <tp t="s">
        <v>#N/A N/A</v>
        <stp/>
        <stp>BDH|16797822619667330890</stp>
        <tr r="X18" s="2"/>
      </tp>
      <tp t="s">
        <v>#N/A N/A</v>
        <stp/>
        <stp>BDH|15391552865146618036</stp>
        <tr r="M18" s="4"/>
      </tp>
      <tp t="s">
        <v>#N/A N/A</v>
        <stp/>
        <stp>BDH|15349412256703452767</stp>
        <tr r="AB8" s="2"/>
      </tp>
      <tp t="s">
        <v>#N/A N/A</v>
        <stp/>
        <stp>BDH|17662515826199654916</stp>
        <tr r="AK8" s="2"/>
      </tp>
      <tp t="s">
        <v>#N/A N/A</v>
        <stp/>
        <stp>BDH|15582294564897737660</stp>
        <tr r="Z25" s="2"/>
      </tp>
      <tp t="s">
        <v>#N/A N/A</v>
        <stp/>
        <stp>BDH|10312345749126061168</stp>
        <tr r="J16" s="4"/>
      </tp>
      <tp t="s">
        <v>#N/A N/A</v>
        <stp/>
        <stp>BDH|16878462337285324425</stp>
        <tr r="AD9" s="4"/>
      </tp>
      <tp t="s">
        <v>#N/A N/A</v>
        <stp/>
        <stp>BDH|17318251434442949436</stp>
        <tr r="AK10" s="4"/>
      </tp>
      <tp t="s">
        <v>#N/A N/A</v>
        <stp/>
        <stp>BDH|13887874825578958194</stp>
        <tr r="P20" s="4"/>
      </tp>
      <tp t="s">
        <v>#N/A N/A</v>
        <stp/>
        <stp>BDH|14553589565466554170</stp>
        <tr r="AL8" s="4"/>
      </tp>
      <tp t="s">
        <v>#N/A N/A</v>
        <stp/>
        <stp>BDH|18115520199411107519</stp>
        <tr r="AN9" s="2"/>
      </tp>
      <tp t="s">
        <v>#N/A N/A</v>
        <stp/>
        <stp>BDH|13256515516414931367</stp>
        <tr r="X9" s="2"/>
      </tp>
      <tp t="s">
        <v>#N/A N/A</v>
        <stp/>
        <stp>BDH|17843148061688567856</stp>
        <tr r="K24" s="2"/>
      </tp>
      <tp t="s">
        <v>#N/A N/A</v>
        <stp/>
        <stp>BDH|14135077500944868032</stp>
        <tr r="V13" s="2"/>
      </tp>
      <tp t="s">
        <v>#N/A N/A</v>
        <stp/>
        <stp>BDH|13029427915716255086</stp>
        <tr r="W8" s="2"/>
      </tp>
      <tp t="s">
        <v>#N/A N/A</v>
        <stp/>
        <stp>BDH|15987757115586380566</stp>
        <tr r="T7" s="2"/>
      </tp>
      <tp t="s">
        <v>#N/A N/A</v>
        <stp/>
        <stp>BDH|13932593471891600088</stp>
        <tr r="S18" s="4"/>
      </tp>
      <tp t="s">
        <v>#N/A N/A</v>
        <stp/>
        <stp>BDH|17333726796988187189</stp>
        <tr r="U24" s="2"/>
      </tp>
    </main>
    <main first="bofaddin.rtdserver">
      <tp t="s">
        <v>#N/A N/A</v>
        <stp/>
        <stp>BDP|10874147142871412528</stp>
        <tr r="AK13" s="3"/>
      </tp>
      <tp t="s">
        <v>#N/A N/A</v>
        <stp/>
        <stp>BDP|13246372466057352085</stp>
        <tr r="Q13" s="3"/>
      </tp>
      <tp t="s">
        <v>#N/A N/A</v>
        <stp/>
        <stp>BDP|17333838429095296903</stp>
        <tr r="X12" s="3"/>
      </tp>
      <tp t="s">
        <v>#N/A N/A</v>
        <stp/>
        <stp>BDP|18364711245632895836</stp>
        <tr r="X10" s="3"/>
      </tp>
      <tp t="s">
        <v>#N/A N/A</v>
        <stp/>
        <stp>BDP|11811144030805050725</stp>
        <tr r="G10" s="3"/>
      </tp>
      <tp t="s">
        <v>#N/A N/A</v>
        <stp/>
        <stp>BDP|13622199429087089670</stp>
        <tr r="U17" s="3"/>
      </tp>
    </main>
    <main first="bofaddin.rtdserver">
      <tp t="s">
        <v>#N/A N/A</v>
        <stp/>
        <stp>BDP|11145743890886574878</stp>
        <tr r="AK10" s="3"/>
      </tp>
      <tp t="s">
        <v>#N/A N/A</v>
        <stp/>
        <stp>BDP|11708566062105618620</stp>
        <tr r="M12" s="3"/>
      </tp>
      <tp t="s">
        <v>#N/A N/A</v>
        <stp/>
        <stp>BDP|11930751318975610349</stp>
        <tr r="M17" s="3"/>
      </tp>
      <tp t="s">
        <v>#N/A N/A</v>
        <stp/>
        <stp>BDH|16950705075594458399</stp>
        <tr r="D7" s="4"/>
      </tp>
      <tp t="s">
        <v>#N/A N/A</v>
        <stp/>
        <stp>BDH|13362529739963981702</stp>
        <tr r="D26" s="4"/>
      </tp>
      <tp t="s">
        <v>#N/A N/A</v>
        <stp/>
        <stp>BDH|14051300532417181235</stp>
        <tr r="C9" s="2"/>
      </tp>
      <tp t="s">
        <v>#N/A N/A</v>
        <stp/>
        <stp>BDH|17683744137344019659</stp>
        <tr r="AP21" s="2"/>
      </tp>
      <tp t="s">
        <v>#N/A N/A</v>
        <stp/>
        <stp>BDH|14138170871382341175</stp>
        <tr r="M17" s="2"/>
      </tp>
      <tp t="s">
        <v>#N/A N/A</v>
        <stp/>
        <stp>BDH|10019806450124433870</stp>
        <tr r="K26" s="2"/>
      </tp>
      <tp t="s">
        <v>#N/A N/A</v>
        <stp/>
        <stp>BDH|12496542739917372290</stp>
        <tr r="AM8" s="4"/>
      </tp>
      <tp t="s">
        <v>#N/A N/A</v>
        <stp/>
        <stp>BDH|15537170021427280034</stp>
        <tr r="AA18" s="2"/>
      </tp>
      <tp t="s">
        <v>#N/A N/A</v>
        <stp/>
        <stp>BDH|10128821795787485704</stp>
        <tr r="T25" s="4"/>
      </tp>
      <tp t="s">
        <v>#N/A N/A</v>
        <stp/>
        <stp>BDH|12386832032458188012</stp>
        <tr r="W21" s="2"/>
      </tp>
      <tp t="s">
        <v>#N/A N/A</v>
        <stp/>
        <stp>BDH|14196602974740073402</stp>
        <tr r="AJ16" s="2"/>
      </tp>
      <tp t="s">
        <v>#N/A N/A</v>
        <stp/>
        <stp>BDH|10748740934033404679</stp>
        <tr r="AH26" s="4"/>
      </tp>
      <tp t="s">
        <v>#N/A N/A</v>
        <stp/>
        <stp>BDH|14133257211607873194</stp>
        <tr r="E20" s="2"/>
      </tp>
      <tp t="s">
        <v>#N/A N/A</v>
        <stp/>
        <stp>BDH|14920259738270076430</stp>
        <tr r="N8" s="2"/>
      </tp>
      <tp t="s">
        <v>#N/A N/A</v>
        <stp/>
        <stp>BDH|12517679773684470625</stp>
        <tr r="I26" s="4"/>
      </tp>
      <tp t="s">
        <v>#N/A N/A</v>
        <stp/>
        <stp>BDH|16994358869501423374</stp>
        <tr r="AJ17" s="4"/>
      </tp>
      <tp t="s">
        <v>#N/A N/A</v>
        <stp/>
        <stp>BDH|15001014455534301510</stp>
        <tr r="G9" s="2"/>
      </tp>
      <tp t="s">
        <v>#N/A N/A</v>
        <stp/>
        <stp>BDH|12799145529331405165</stp>
        <tr r="AB16" s="4"/>
      </tp>
      <tp t="s">
        <v>#N/A N/A</v>
        <stp/>
        <stp>BDH|14801688732989299981</stp>
        <tr r="AA6" s="4"/>
      </tp>
      <tp t="s">
        <v>#N/A N/A</v>
        <stp/>
        <stp>BDH|12667411649422341155</stp>
        <tr r="X9" s="4"/>
      </tp>
      <tp t="s">
        <v>#N/A N/A</v>
        <stp/>
        <stp>BDH|10080316939288125925</stp>
        <tr r="S9" s="4"/>
      </tp>
      <tp t="s">
        <v>#N/A N/A</v>
        <stp/>
        <stp>BDH|18003542691042792792</stp>
        <tr r="AC6" s="4"/>
      </tp>
      <tp t="s">
        <v>#N/A N/A</v>
        <stp/>
        <stp>BDH|10456503076305117685</stp>
        <tr r="Y22" s="4"/>
      </tp>
      <tp t="s">
        <v>#N/A N/A</v>
        <stp/>
        <stp>BDH|13485134433383970375</stp>
        <tr r="AD10" s="4"/>
      </tp>
      <tp t="s">
        <v>#N/A N/A</v>
        <stp/>
        <stp>BDH|18182882123720257325</stp>
        <tr r="AM20" s="2"/>
      </tp>
      <tp t="s">
        <v>#N/A N/A</v>
        <stp/>
        <stp>BDH|15077520149074938183</stp>
        <tr r="AE14" s="4"/>
      </tp>
      <tp t="s">
        <v>#N/A N/A</v>
        <stp/>
        <stp>BDH|16134770703712705281</stp>
        <tr r="Q18" s="4"/>
      </tp>
      <tp t="s">
        <v>#N/A N/A</v>
        <stp/>
        <stp>BDH|14421369601713933575</stp>
        <tr r="AP10" s="4"/>
      </tp>
      <tp t="s">
        <v>#N/A N/A</v>
        <stp/>
        <stp>BDH|12857309323252210047</stp>
        <tr r="M7" s="4"/>
      </tp>
      <tp t="s">
        <v>#N/A N/A</v>
        <stp/>
        <stp>BDH|17841761669621892626</stp>
        <tr r="AK21" s="2"/>
      </tp>
      <tp t="s">
        <v>#N/A N/A</v>
        <stp/>
        <stp>BDH|10852938887377717779</stp>
        <tr r="AK19" s="2"/>
      </tp>
      <tp t="s">
        <v>#N/A N/A</v>
        <stp/>
        <stp>BDH|13597193844455784233</stp>
        <tr r="C10" s="2"/>
      </tp>
      <tp t="s">
        <v>#N/A N/A</v>
        <stp/>
        <stp>BDH|14838088663026976568</stp>
        <tr r="U21" s="4"/>
      </tp>
      <tp t="s">
        <v>#N/A N/A</v>
        <stp/>
        <stp>BDH|16820861600559509648</stp>
        <tr r="AN10" s="2"/>
      </tp>
      <tp t="s">
        <v>#N/A N/A</v>
        <stp/>
        <stp>BDH|13894937550198410602</stp>
        <tr r="T21" s="4"/>
      </tp>
      <tp t="s">
        <v>#N/A N/A</v>
        <stp/>
        <stp>BDH|13283235465897876130</stp>
        <tr r="Q13" s="4"/>
      </tp>
      <tp t="s">
        <v>#N/A N/A</v>
        <stp/>
        <stp>BDH|10019350334830682193</stp>
        <tr r="Z14" s="4"/>
      </tp>
      <tp t="s">
        <v>#N/A N/A</v>
        <stp/>
        <stp>BDH|13999358061455021236</stp>
        <tr r="Y17" s="2"/>
      </tp>
      <tp t="s">
        <v>#N/A N/A</v>
        <stp/>
        <stp>BDP|15653777493135053890</stp>
        <tr r="AM13" s="3"/>
      </tp>
      <tp t="s">
        <v>#N/A N/A</v>
        <stp/>
        <stp>BDP|17714904893693152299</stp>
        <tr r="J10" s="3"/>
      </tp>
      <tp t="s">
        <v>#N/A N/A</v>
        <stp/>
        <stp>BDP|12944346446927766496</stp>
        <tr r="R13" s="3"/>
      </tp>
      <tp t="s">
        <v>#N/A N/A</v>
        <stp/>
        <stp>BDP|14763210795669573010</stp>
        <tr r="D10" s="3"/>
      </tp>
      <tp t="s">
        <v>#N/A N/A</v>
        <stp/>
        <stp>BDH|11754056654996437437</stp>
        <tr r="P17" s="2"/>
      </tp>
      <tp t="s">
        <v>#N/A N/A</v>
        <stp/>
        <stp>BDH|11258049280816614912</stp>
        <tr r="AB26" s="4"/>
      </tp>
      <tp t="s">
        <v>#N/A N/A</v>
        <stp/>
        <stp>BDH|11426763948073367780</stp>
        <tr r="M14" s="2"/>
      </tp>
      <tp t="s">
        <v>#N/A N/A</v>
        <stp/>
        <stp>BDH|16799078532405041628</stp>
        <tr r="G17" s="4"/>
      </tp>
      <tp t="s">
        <v>#N/A N/A</v>
        <stp/>
        <stp>BDH|17007416276702271054</stp>
        <tr r="K12" s="4"/>
      </tp>
      <tp t="s">
        <v>#N/A N/A</v>
        <stp/>
        <stp>BDH|15085343855716497352</stp>
        <tr r="AN13" s="4"/>
      </tp>
      <tp t="s">
        <v>#N/A N/A</v>
        <stp/>
        <stp>BDH|14276012934672402335</stp>
        <tr r="F24" s="4"/>
      </tp>
      <tp t="s">
        <v>#N/A N/A</v>
        <stp/>
        <stp>BDH|10236257144456596653</stp>
        <tr r="F17" s="2"/>
      </tp>
      <tp t="s">
        <v>#N/A N/A</v>
        <stp/>
        <stp>BDH|13895058177610806219</stp>
        <tr r="J14" s="2"/>
      </tp>
      <tp t="s">
        <v>#N/A N/A</v>
        <stp/>
        <stp>BDH|16249600821574221022</stp>
        <tr r="AO20" s="4"/>
      </tp>
    </main>
    <main first="bofaddin.rtdserver">
      <tp t="s">
        <v>#N/A N/A</v>
        <stp/>
        <stp>BDH|17192234222463422261</stp>
        <tr r="AH8" s="2"/>
      </tp>
      <tp t="s">
        <v>#N/A N/A</v>
        <stp/>
        <stp>BDH|16819690043874047604</stp>
        <tr r="AD24" s="2"/>
      </tp>
      <tp t="s">
        <v>#N/A N/A</v>
        <stp/>
        <stp>BDH|16015318642551614675</stp>
        <tr r="E6" s="4"/>
      </tp>
      <tp t="s">
        <v>#N/A N/A</v>
        <stp/>
        <stp>BDH|17488073766167027007</stp>
        <tr r="AH13" s="2"/>
      </tp>
      <tp t="s">
        <v>#N/A N/A</v>
        <stp/>
        <stp>BDH|12721412036587638434</stp>
        <tr r="AG6" s="4"/>
      </tp>
      <tp t="s">
        <v>#N/A N/A</v>
        <stp/>
        <stp>BDH|12301146254854290456</stp>
        <tr r="X18" s="4"/>
      </tp>
      <tp t="s">
        <v>#N/A N/A</v>
        <stp/>
        <stp>BDH|15693048417371471367</stp>
        <tr r="AJ8" s="2"/>
      </tp>
      <tp t="s">
        <v>#N/A N/A</v>
        <stp/>
        <stp>BDH|16483548033147027144</stp>
        <tr r="AG13" s="2"/>
      </tp>
      <tp t="s">
        <v>#N/A N/A</v>
        <stp/>
        <stp>BDH|17756273501203508032</stp>
        <tr r="Z7" s="4"/>
      </tp>
      <tp t="s">
        <v>#N/A N/A</v>
        <stp/>
        <stp>BDH|15918176165955517184</stp>
        <tr r="V18" s="4"/>
      </tp>
      <tp t="s">
        <v>#N/A N/A</v>
        <stp/>
        <stp>BDH|17977528856705361477</stp>
        <tr r="AN20" s="2"/>
      </tp>
      <tp t="s">
        <v>#N/A N/A</v>
        <stp/>
        <stp>BDH|16909578157305353533</stp>
        <tr r="AN17" s="2"/>
      </tp>
      <tp t="s">
        <v>#N/A N/A</v>
        <stp/>
        <stp>BDH|10677884385133407561</stp>
        <tr r="Q9" s="4"/>
      </tp>
      <tp t="s">
        <v>#N/A N/A</v>
        <stp/>
        <stp>BDH|12752274363634311495</stp>
        <tr r="F18" s="2"/>
      </tp>
      <tp t="s">
        <v>#N/A N/A</v>
        <stp/>
        <stp>BDH|18187247308268771429</stp>
        <tr r="M26" s="2"/>
      </tp>
      <tp t="s">
        <v>#N/A N/A</v>
        <stp/>
        <stp>BDH|15595481135957073305</stp>
        <tr r="AC16" s="4"/>
      </tp>
      <tp t="s">
        <v>#N/A N/A</v>
        <stp/>
        <stp>BDH|11985338454193691223</stp>
        <tr r="R9" s="2"/>
      </tp>
      <tp t="s">
        <v>#N/A N/A</v>
        <stp/>
        <stp>BDH|15933749980724045875</stp>
        <tr r="AJ19" s="2"/>
      </tp>
      <tp t="s">
        <v>#N/A N/A</v>
        <stp/>
        <stp>BDH|10389294460045663706</stp>
        <tr r="AL9" s="4"/>
      </tp>
      <tp t="s">
        <v>#N/A N/A</v>
        <stp/>
        <stp>BDH|17971648857812008064</stp>
        <tr r="K20" s="4"/>
      </tp>
      <tp t="s">
        <v>#N/A N/A</v>
        <stp/>
        <stp>BDH|17887670055940497229</stp>
        <tr r="J13" s="4"/>
      </tp>
      <tp t="s">
        <v>#N/A N/A</v>
        <stp/>
        <stp>BDH|12203641608390579271</stp>
        <tr r="AG17" s="2"/>
      </tp>
      <tp t="s">
        <v>#N/A N/A</v>
        <stp/>
        <stp>BDH|10892374301023101603</stp>
        <tr r="Y19" s="2"/>
      </tp>
      <tp t="s">
        <v>#N/A N/A</v>
        <stp/>
        <stp>BDH|15474227172435861332</stp>
        <tr r="AJ25" s="2"/>
      </tp>
      <tp t="s">
        <v>#N/A N/A</v>
        <stp/>
        <stp>BDH|14792857217312927929</stp>
        <tr r="Z17" s="2"/>
      </tp>
      <tp t="s">
        <v>#N/A N/A</v>
        <stp/>
        <stp>BDP|18214603680940041134</stp>
        <tr r="AE13" s="3"/>
      </tp>
      <tp t="s">
        <v>#N/A N/A</v>
        <stp/>
        <stp>BDH|16815215153041394785</stp>
        <tr r="AA24" s="4"/>
      </tp>
      <tp t="s">
        <v>#N/A N/A</v>
        <stp/>
        <stp>BDH|16843318362853237789</stp>
        <tr r="Y16" s="2"/>
      </tp>
      <tp t="s">
        <v>#N/A N/A</v>
        <stp/>
        <stp>BDH|15868419419935460257</stp>
        <tr r="AO16" s="4"/>
      </tp>
      <tp t="s">
        <v>#N/A N/A</v>
        <stp/>
        <stp>BDH|13166998510534002880</stp>
        <tr r="J7" s="4"/>
      </tp>
      <tp t="s">
        <v>#N/A N/A</v>
        <stp/>
        <stp>BDH|15386545036746878294</stp>
        <tr r="U9" s="2"/>
      </tp>
      <tp t="s">
        <v>#N/A N/A</v>
        <stp/>
        <stp>BDH|13424720905604710748</stp>
        <tr r="Z26" s="4"/>
      </tp>
      <tp t="s">
        <v>#N/A N/A</v>
        <stp/>
        <stp>BDH|15128635850425458466</stp>
        <tr r="AL24" s="4"/>
      </tp>
      <tp t="s">
        <v>#N/A N/A</v>
        <stp/>
        <stp>BDH|14274398514146807779</stp>
        <tr r="S10" s="4"/>
      </tp>
      <tp t="s">
        <v>#N/A N/A</v>
        <stp/>
        <stp>BDH|14165553573536741700</stp>
        <tr r="Z16" s="4"/>
      </tp>
      <tp t="s">
        <v>#N/A N/A</v>
        <stp/>
        <stp>BDH|11558145062493976292</stp>
        <tr r="Q9" s="2"/>
      </tp>
      <tp t="s">
        <v>#N/A N/A</v>
        <stp/>
        <stp>BDH|12560057600202209716</stp>
        <tr r="H10" s="4"/>
      </tp>
      <tp t="s">
        <v>#N/A N/A</v>
        <stp/>
        <stp>BDH|14181617720450248704</stp>
        <tr r="AL21" s="2"/>
      </tp>
      <tp t="s">
        <v>#N/A N/A</v>
        <stp/>
        <stp>BDH|16229471407854417142</stp>
        <tr r="AN14" s="4"/>
      </tp>
      <tp t="s">
        <v>#N/A N/A</v>
        <stp/>
        <stp>BDH|11548236192219514431</stp>
        <tr r="AI10" s="4"/>
      </tp>
      <tp t="s">
        <v>#N/A N/A</v>
        <stp/>
        <stp>BDH|18434053404787066871</stp>
        <tr r="H21" s="4"/>
      </tp>
      <tp t="s">
        <v>#N/A N/A</v>
        <stp/>
        <stp>BDH|15339234910152059324</stp>
        <tr r="AM21" s="2"/>
      </tp>
      <tp t="s">
        <v>#N/A N/A</v>
        <stp/>
        <stp>BDH|17566068218641919077</stp>
        <tr r="K8" s="2"/>
      </tp>
      <tp t="s">
        <v>#N/A N/A</v>
        <stp/>
        <stp>BDH|11026678043680776440</stp>
        <tr r="AL13" s="2"/>
      </tp>
      <tp t="s">
        <v>#N/A N/A</v>
        <stp/>
        <stp>BDH|10396987800026976856</stp>
        <tr r="D14" s="4"/>
      </tp>
      <tp t="s">
        <v>#N/A N/A</v>
        <stp/>
        <stp>BDH|15577757214081266511</stp>
        <tr r="C26" s="2"/>
      </tp>
      <tp t="s">
        <v>#N/A N/A</v>
        <stp/>
        <stp>BDH|17835577409852801788</stp>
        <tr r="AP20" s="4"/>
      </tp>
      <tp t="s">
        <v>#N/A N/A</v>
        <stp/>
        <stp>BDH|16592352159344544356</stp>
        <tr r="P24" s="2"/>
      </tp>
      <tp t="s">
        <v>#N/A N/A</v>
        <stp/>
        <stp>BDH|11863202510594597146</stp>
        <tr r="AM7" s="2"/>
      </tp>
      <tp t="s">
        <v>#N/A N/A</v>
        <stp/>
        <stp>BDH|14880685709975977088</stp>
        <tr r="I8" s="2"/>
      </tp>
      <tp t="s">
        <v>#N/A N/A</v>
        <stp/>
        <stp>BDH|12261782945901014776</stp>
        <tr r="C8" s="4"/>
      </tp>
      <tp t="s">
        <v>#N/A N/A</v>
        <stp/>
        <stp>BDH|18408707244729147595</stp>
        <tr r="AJ26" s="2"/>
      </tp>
      <tp t="s">
        <v>#N/A N/A</v>
        <stp/>
        <stp>BDH|15260597521134250101</stp>
        <tr r="R18" s="4"/>
      </tp>
      <tp t="s">
        <v>#N/A N/A</v>
        <stp/>
        <stp>BDH|11357876581115708393</stp>
        <tr r="H17" s="4"/>
      </tp>
      <tp t="s">
        <v>#N/A N/A</v>
        <stp/>
        <stp>BDH|18311796662289619752</stp>
        <tr r="AD18" s="4"/>
      </tp>
      <tp t="s">
        <v>#N/A N/A</v>
        <stp/>
        <stp>BDH|15739410365991808116</stp>
        <tr r="W7" s="2"/>
      </tp>
      <tp t="s">
        <v>#N/A N/A</v>
        <stp/>
        <stp>BDH|13629449779357799066</stp>
        <tr r="G24" s="4"/>
      </tp>
      <tp t="s">
        <v>#N/A N/A</v>
        <stp/>
        <stp>BDH|13682468002764687495</stp>
        <tr r="AA21" s="2"/>
      </tp>
      <tp t="s">
        <v>#N/A N/A</v>
        <stp/>
        <stp>BDH|11425113839346353205</stp>
        <tr r="Y26" s="4"/>
      </tp>
      <tp t="s">
        <v>#N/A N/A</v>
        <stp/>
        <stp>BDH|11074696643027404310</stp>
        <tr r="P16" s="4"/>
      </tp>
      <tp t="s">
        <v>#N/A N/A</v>
        <stp/>
        <stp>BDH|17877300611961224354</stp>
        <tr r="R21" s="2"/>
      </tp>
      <tp t="s">
        <v>#N/A N/A</v>
        <stp/>
        <stp>BDH|16568027253907878327</stp>
        <tr r="V19" s="2"/>
      </tp>
    </main>
    <main first="bofaddin.rtdserver">
      <tp t="s">
        <v>#N/A N/A</v>
        <stp/>
        <stp>BDP|15486655051355906709</stp>
        <tr r="AO10" s="3"/>
      </tp>
      <tp t="s">
        <v>#N/A N/A</v>
        <stp/>
        <stp>BDP|18172154235688148687</stp>
        <tr r="AP17" s="3"/>
      </tp>
      <tp t="s">
        <v>#N/A N/A</v>
        <stp/>
        <stp>BDP|13305696796330556830</stp>
        <tr r="G16" s="3"/>
      </tp>
      <tp t="s">
        <v>#N/A N/A</v>
        <stp/>
        <stp>BDP|13671046306133297498</stp>
        <tr r="Q17" s="3"/>
      </tp>
      <tp t="s">
        <v>#N/A N/A</v>
        <stp/>
        <stp>BDP|10394281134790704568</stp>
        <tr r="AD17" s="3"/>
      </tp>
      <tp t="s">
        <v>#N/A N/A</v>
        <stp/>
        <stp>BDP|10089049711422101754</stp>
        <tr r="V12" s="3"/>
      </tp>
      <tp t="s">
        <v>#N/A N/A</v>
        <stp/>
        <stp>BDH|13323744426224952698</stp>
        <tr r="Q8" s="2"/>
      </tp>
      <tp t="s">
        <v>#N/A N/A</v>
        <stp/>
        <stp>BDH|14743633510091068658</stp>
        <tr r="R22" s="4"/>
      </tp>
      <tp t="s">
        <v>#N/A N/A</v>
        <stp/>
        <stp>BDH|17389583429516107220</stp>
        <tr r="W20" s="4"/>
      </tp>
      <tp t="s">
        <v>#N/A N/A</v>
        <stp/>
        <stp>BDH|15151287831550043087</stp>
        <tr r="C25" s="2"/>
      </tp>
      <tp t="s">
        <v>#N/A N/A</v>
        <stp/>
        <stp>BDH|14685973066296619928</stp>
        <tr r="Y14" s="4"/>
      </tp>
      <tp t="s">
        <v>#N/A N/A</v>
        <stp/>
        <stp>BDH|12676812881642165458</stp>
        <tr r="T24" s="2"/>
      </tp>
      <tp t="s">
        <v>#N/A N/A</v>
        <stp/>
        <stp>BDH|17300319061073584541</stp>
        <tr r="I20" s="2"/>
      </tp>
      <tp t="s">
        <v>#N/A N/A</v>
        <stp/>
        <stp>BDH|18048846856353478241</stp>
        <tr r="X19" s="2"/>
      </tp>
      <tp t="s">
        <v>#N/A N/A</v>
        <stp/>
        <stp>BDH|10381059495199708466</stp>
        <tr r="AJ22" s="4"/>
      </tp>
      <tp t="s">
        <v>#N/A N/A</v>
        <stp/>
        <stp>BDH|15244709216091761662</stp>
        <tr r="AF10" s="2"/>
      </tp>
      <tp t="s">
        <v>#N/A N/A</v>
        <stp/>
        <stp>BDH|13262206436091216723</stp>
        <tr r="G22" s="4"/>
      </tp>
      <tp t="s">
        <v>#N/A N/A</v>
        <stp/>
        <stp>BDH|12331663230116267535</stp>
        <tr r="M16" s="4"/>
      </tp>
      <tp t="s">
        <v>#N/A N/A</v>
        <stp/>
        <stp>BDH|14110091429186100445</stp>
        <tr r="H8" s="4"/>
      </tp>
      <tp t="s">
        <v>#N/A N/A</v>
        <stp/>
        <stp>BDH|17964806114773946920</stp>
        <tr r="C24" s="4"/>
      </tp>
      <tp t="s">
        <v>#N/A N/A</v>
        <stp/>
        <stp>BDH|17002761155550041153</stp>
        <tr r="AL8" s="2"/>
      </tp>
      <tp t="s">
        <v>#N/A N/A</v>
        <stp/>
        <stp>BDH|14202030492018132144</stp>
        <tr r="R20" s="4"/>
      </tp>
      <tp t="s">
        <v>#N/A N/A</v>
        <stp/>
        <stp>BDH|16457660942333073399</stp>
        <tr r="AE12" s="4"/>
      </tp>
      <tp t="s">
        <v>#N/A N/A</v>
        <stp/>
        <stp>BDH|16110113175584903050</stp>
        <tr r="R14" s="2"/>
      </tp>
      <tp t="s">
        <v>#N/A N/A</v>
        <stp/>
        <stp>BDH|14983305270144887083</stp>
        <tr r="W25" s="2"/>
      </tp>
      <tp t="s">
        <v>#N/A N/A</v>
        <stp/>
        <stp>BDH|18050080390255231014</stp>
        <tr r="Z7" s="2"/>
      </tp>
      <tp t="s">
        <v>#N/A N/A</v>
        <stp/>
        <stp>BDH|12770848298501927683</stp>
        <tr r="F14" s="2"/>
      </tp>
      <tp t="s">
        <v>#N/A N/A</v>
        <stp/>
        <stp>BDH|15880264423783704273</stp>
        <tr r="AG24" s="4"/>
      </tp>
      <tp t="s">
        <v>#N/A N/A</v>
        <stp/>
        <stp>BDH|16292414162061544197</stp>
        <tr r="AO7" s="4"/>
      </tp>
      <tp t="s">
        <v>#N/A N/A</v>
        <stp/>
        <stp>BDH|18275466864269595787</stp>
        <tr r="L21" s="4"/>
      </tp>
      <tp t="s">
        <v>#N/A N/A</v>
        <stp/>
        <stp>BDH|14580623236236854340</stp>
        <tr r="S25" s="4"/>
      </tp>
      <tp t="s">
        <v>#N/A N/A</v>
        <stp/>
        <stp>BDH|13657604060685947223</stp>
        <tr r="AO10" s="2"/>
      </tp>
      <tp t="s">
        <v>#N/A N/A</v>
        <stp/>
        <stp>BDH|15098762312670115797</stp>
        <tr r="AJ26" s="4"/>
      </tp>
      <tp t="s">
        <v>#N/A N/A</v>
        <stp/>
        <stp>BDH|18361023397603346698</stp>
        <tr r="V20" s="2"/>
      </tp>
      <tp t="s">
        <v>#N/A N/A</v>
        <stp/>
        <stp>BDH|14781404071290216381</stp>
        <tr r="N25" s="2"/>
      </tp>
      <tp t="s">
        <v>#N/A N/A</v>
        <stp/>
        <stp>BDH|12904554921978648975</stp>
        <tr r="AE16" s="4"/>
      </tp>
      <tp t="s">
        <v>#N/A N/A</v>
        <stp/>
        <stp>BDH|16179295983259375141</stp>
        <tr r="Y8" s="4"/>
      </tp>
      <tp t="s">
        <v>#N/A N/A</v>
        <stp/>
        <stp>BDH|14626483821656234029</stp>
        <tr r="AM14" s="2"/>
      </tp>
      <tp t="s">
        <v>#N/A N/A</v>
        <stp/>
        <stp>BDH|10453742874016893232</stp>
        <tr r="M25" s="4"/>
      </tp>
      <tp t="s">
        <v>#N/A N/A</v>
        <stp/>
        <stp>BDH|10979180218361619519</stp>
        <tr r="E25" s="4"/>
      </tp>
      <tp t="s">
        <v>#N/A N/A</v>
        <stp/>
        <stp>BDH|14090438205505141190</stp>
        <tr r="AD14" s="2"/>
      </tp>
      <tp t="s">
        <v>#N/A N/A</v>
        <stp/>
        <stp>BDH|12773266277462039181</stp>
        <tr r="AM24" s="4"/>
      </tp>
      <tp t="s">
        <v>#N/A N/A</v>
        <stp/>
        <stp>BDP|12974878591726521038</stp>
        <tr r="N10" s="3"/>
      </tp>
      <tp t="s">
        <v>#N/A N/A</v>
        <stp/>
        <stp>BDP|13843467840581672734</stp>
        <tr r="C9" s="3"/>
      </tp>
      <tp t="s">
        <v>#N/A N/A</v>
        <stp/>
        <stp>BDP|15665914619791620966</stp>
        <tr r="AL9" s="3"/>
      </tp>
      <tp t="s">
        <v>#N/A N/A</v>
        <stp/>
        <stp>BDP|12067564737348773980</stp>
        <tr r="S12" s="3"/>
      </tp>
      <tp t="s">
        <v>#N/A N/A</v>
        <stp/>
        <stp>BDP|13122603365943070513</stp>
        <tr r="C13" s="3"/>
      </tp>
      <tp t="s">
        <v>#N/A N/A</v>
        <stp/>
        <stp>BDP|16467476068788909971</stp>
        <tr r="AF10" s="3"/>
      </tp>
      <tp t="s">
        <v>#N/A N/A</v>
        <stp/>
        <stp>BDH|16884686491464615860</stp>
        <tr r="E12" s="4"/>
      </tp>
      <tp t="s">
        <v>#N/A N/A</v>
        <stp/>
        <stp>BDH|14497875523888253338</stp>
        <tr r="AO17" s="4"/>
      </tp>
      <tp t="s">
        <v>#N/A N/A</v>
        <stp/>
        <stp>BDH|16749345639857831434</stp>
        <tr r="O22" s="4"/>
      </tp>
      <tp t="s">
        <v>#N/A N/A</v>
        <stp/>
        <stp>BDH|11754740225383373247</stp>
        <tr r="E14" s="4"/>
      </tp>
      <tp t="s">
        <v>#N/A N/A</v>
        <stp/>
        <stp>BDH|10446472740043712652</stp>
        <tr r="AE16" s="2"/>
      </tp>
      <tp t="s">
        <v>#N/A N/A</v>
        <stp/>
        <stp>BDH|13926490661282522649</stp>
        <tr r="F7" s="4"/>
      </tp>
      <tp t="s">
        <v>#N/A N/A</v>
        <stp/>
        <stp>BDH|15629132812819411932</stp>
        <tr r="G8" s="2"/>
      </tp>
      <tp t="s">
        <v>#N/A N/A</v>
        <stp/>
        <stp>BDH|13084217741602749270</stp>
        <tr r="X6" s="4"/>
      </tp>
      <tp t="s">
        <v>#N/A N/A</v>
        <stp/>
        <stp>BDH|16670003064217560271</stp>
        <tr r="AJ9" s="4"/>
      </tp>
      <tp t="s">
        <v>#N/A N/A</v>
        <stp/>
        <stp>BDH|16290331408391044199</stp>
        <tr r="C24" s="2"/>
      </tp>
      <tp t="s">
        <v>#N/A N/A</v>
        <stp/>
        <stp>BDH|12558768861936049025</stp>
        <tr r="AO8" s="2"/>
      </tp>
      <tp t="s">
        <v>#N/A N/A</v>
        <stp/>
        <stp>BDH|13185984622709038482</stp>
        <tr r="N20" s="2"/>
      </tp>
      <tp t="s">
        <v>#N/A N/A</v>
        <stp/>
        <stp>BDH|14021228122472645350</stp>
        <tr r="AG26" s="2"/>
      </tp>
      <tp t="s">
        <v>#N/A N/A</v>
        <stp/>
        <stp>BDH|12203198999207732866</stp>
        <tr r="T18" s="4"/>
      </tp>
      <tp t="s">
        <v>#N/A N/A</v>
        <stp/>
        <stp>BDH|13876399873922613074</stp>
        <tr r="V10" s="4"/>
      </tp>
      <tp t="s">
        <v>#N/A N/A</v>
        <stp/>
        <stp>BDH|10710173002055357127</stp>
        <tr r="L13" s="4"/>
      </tp>
      <tp t="s">
        <v>#N/A N/A</v>
        <stp/>
        <stp>BDH|11269035502433237720</stp>
        <tr r="J18" s="2"/>
      </tp>
      <tp t="s">
        <v>#N/A N/A</v>
        <stp/>
        <stp>BDH|16673102851813235471</stp>
        <tr r="AK6" s="4"/>
      </tp>
      <tp t="s">
        <v>#N/A N/A</v>
        <stp/>
        <stp>BDH|17126981151599858725</stp>
        <tr r="AF14" s="4"/>
      </tp>
      <tp t="s">
        <v>#N/A N/A</v>
        <stp/>
        <stp>BDH|16981770198505233813</stp>
        <tr r="H26" s="2"/>
      </tp>
      <tp t="s">
        <v>#N/A N/A</v>
        <stp/>
        <stp>BDH|10869751799133628877</stp>
        <tr r="F19" s="2"/>
      </tp>
      <tp t="s">
        <v>#N/A N/A</v>
        <stp/>
        <stp>BDH|12871037273758435896</stp>
        <tr r="N16" s="4"/>
      </tp>
      <tp t="s">
        <v>#N/A N/A</v>
        <stp/>
        <stp>BDH|11117601498019878247</stp>
        <tr r="AD8" s="2"/>
      </tp>
      <tp t="s">
        <v>#N/A N/A</v>
        <stp/>
        <stp>BDH|13126339903133489604</stp>
        <tr r="D7" s="2"/>
      </tp>
      <tp t="s">
        <v>#N/A N/A</v>
        <stp/>
        <stp>BDH|11699757721877093665</stp>
        <tr r="AL16" s="4"/>
      </tp>
      <tp t="s">
        <v>#N/A N/A</v>
        <stp/>
        <stp>BDH|13784381612192097698</stp>
        <tr r="Q7" s="4"/>
      </tp>
      <tp t="s">
        <v>#N/A N/A</v>
        <stp/>
        <stp>BDH|12566040014533350524</stp>
        <tr r="Q14" s="4"/>
      </tp>
      <tp t="s">
        <v>#N/A N/A</v>
        <stp/>
        <stp>BDH|10612108070415483662</stp>
        <tr r="I17" s="4"/>
      </tp>
      <tp t="s">
        <v>#N/A N/A</v>
        <stp/>
        <stp>BDH|14509550173744072748</stp>
        <tr r="AJ10" s="2"/>
      </tp>
      <tp t="s">
        <v>#N/A N/A</v>
        <stp/>
        <stp>BDH|16308062324998666902</stp>
        <tr r="AO25" s="4"/>
      </tp>
      <tp t="s">
        <v>#N/A N/A</v>
        <stp/>
        <stp>BDH|16597823380055521654</stp>
        <tr r="W26" s="2"/>
      </tp>
      <tp t="s">
        <v>#N/A N/A</v>
        <stp/>
        <stp>BDH|11284638440710609604</stp>
        <tr r="W24" s="2"/>
      </tp>
      <tp t="s">
        <v>#N/A N/A</v>
        <stp/>
        <stp>BDH|10278231186759935690</stp>
        <tr r="Z12" s="4"/>
      </tp>
      <tp t="s">
        <v>#N/A N/A</v>
        <stp/>
        <stp>BDH|12704286339061431757</stp>
        <tr r="AL21" s="4"/>
      </tp>
      <tp t="s">
        <v>#N/A N/A</v>
        <stp/>
        <stp>BDH|13543692059641330414</stp>
        <tr r="AP16" s="4"/>
      </tp>
      <tp t="s">
        <v>#N/A N/A</v>
        <stp/>
        <stp>BDH|15243704240184567718</stp>
        <tr r="AH20" s="4"/>
      </tp>
      <tp t="s">
        <v>#N/A N/A</v>
        <stp/>
        <stp>BDH|17005593607022107595</stp>
        <tr r="AB7" s="2"/>
      </tp>
      <tp t="s">
        <v>#N/A N/A</v>
        <stp/>
        <stp>BDH|13578755458886619278</stp>
        <tr r="X21" s="4"/>
      </tp>
      <tp t="s">
        <v>#N/A N/A</v>
        <stp/>
        <stp>BDH|15799780610836228045</stp>
        <tr r="X8" s="2"/>
      </tp>
      <tp t="s">
        <v>#N/A N/A</v>
        <stp/>
        <stp>BDH|17490009925021064199</stp>
        <tr r="I21" s="4"/>
      </tp>
      <tp t="s">
        <v>#N/A N/A</v>
        <stp/>
        <stp>BDH|15547577428181383617</stp>
        <tr r="Y25" s="2"/>
      </tp>
      <tp t="s">
        <v>#N/A N/A</v>
        <stp/>
        <stp>BDH|11009278368884417434</stp>
        <tr r="W20" s="2"/>
      </tp>
      <tp t="s">
        <v>#N/A N/A</v>
        <stp/>
        <stp>BDH|10138418129243603043</stp>
        <tr r="Y10" s="2"/>
      </tp>
      <tp t="s">
        <v>#N/A N/A</v>
        <stp/>
        <stp>BDH|13876421649447880111</stp>
        <tr r="AA22" s="4"/>
      </tp>
      <tp t="s">
        <v>#N/A N/A</v>
        <stp/>
        <stp>BDH|14890315939704876553</stp>
        <tr r="AJ24" s="4"/>
      </tp>
      <tp t="s">
        <v>#N/A N/A</v>
        <stp/>
        <stp>BDH|14934541551958439977</stp>
        <tr r="AM21" s="4"/>
      </tp>
      <tp t="s">
        <v>#N/A N/A</v>
        <stp/>
        <stp>BDH|12219017255747887502</stp>
        <tr r="Y12" s="4"/>
      </tp>
      <tp t="s">
        <v>#N/A N/A</v>
        <stp/>
        <stp>BDH|17316384250703248774</stp>
        <tr r="E16" s="2"/>
      </tp>
      <tp t="s">
        <v>#N/A N/A</v>
        <stp/>
        <stp>BDH|13302487077773213604</stp>
        <tr r="S14" s="4"/>
      </tp>
    </main>
    <main first="bofaddin.rtdserver">
      <tp t="s">
        <v>#N/A N/A</v>
        <stp/>
        <stp>BDP|8393538228480448368</stp>
        <tr r="L9" s="3"/>
      </tp>
      <tp t="s">
        <v>#N/A N/A</v>
        <stp/>
        <stp>BDP|2807286397410888552</stp>
        <tr r="R16" s="3"/>
      </tp>
      <tp t="s">
        <v>#N/A N/A</v>
        <stp/>
        <stp>BDP|7012771589210549410</stp>
        <tr r="AD13" s="3"/>
      </tp>
      <tp t="s">
        <v>#N/A N/A</v>
        <stp/>
        <stp>BDH|8621290733602206755</stp>
        <tr r="AM25" s="2"/>
      </tp>
      <tp t="s">
        <v>#N/A N/A</v>
        <stp/>
        <stp>BDH|1102071998423423713</stp>
        <tr r="K18" s="2"/>
      </tp>
      <tp t="s">
        <v>#N/A N/A</v>
        <stp/>
        <stp>BDP|7918759747421183926</stp>
        <tr r="H16" s="3"/>
      </tp>
      <tp t="s">
        <v>#N/A N/A</v>
        <stp/>
        <stp>BDH|7564229119611446926</stp>
        <tr r="S26" s="4"/>
      </tp>
      <tp t="s">
        <v>#N/A N/A</v>
        <stp/>
        <stp>BDH|1857316052253420863</stp>
        <tr r="O16" s="2"/>
      </tp>
      <tp t="s">
        <v>#N/A N/A</v>
        <stp/>
        <stp>BDH|1656641874749956566</stp>
        <tr r="Z20" s="4"/>
      </tp>
      <tp t="s">
        <v>#N/A N/A</v>
        <stp/>
        <stp>BDH|1382796900629087337</stp>
        <tr r="AH21" s="2"/>
      </tp>
      <tp t="s">
        <v>#N/A N/A</v>
        <stp/>
        <stp>BDH|3964172710238292751</stp>
        <tr r="AA8" s="4"/>
      </tp>
      <tp t="s">
        <v>#N/A N/A</v>
        <stp/>
        <stp>BDP|8722385501962268520</stp>
        <tr r="J12" s="3"/>
      </tp>
      <tp t="s">
        <v>#N/A N/A</v>
        <stp/>
        <stp>BDH|4549989421120765351</stp>
        <tr r="AJ21" s="4"/>
      </tp>
      <tp t="s">
        <v>#N/A N/A</v>
        <stp/>
        <stp>BDH|4537203893025165698</stp>
        <tr r="AG21" s="4"/>
      </tp>
      <tp t="s">
        <v>#N/A N/A</v>
        <stp/>
        <stp>BDP|2818124256239358304</stp>
        <tr r="S16" s="3"/>
      </tp>
      <tp t="s">
        <v>#N/A N/A</v>
        <stp/>
        <stp>BDH|6852034624441205910</stp>
        <tr r="AJ16" s="4"/>
      </tp>
      <tp t="s">
        <v>#N/A N/A</v>
        <stp/>
        <stp>BDH|1629864797805830935</stp>
        <tr r="AN25" s="4"/>
      </tp>
      <tp t="s">
        <v>#N/A N/A</v>
        <stp/>
        <stp>BDH|5227203459799349756</stp>
        <tr r="Y21" s="4"/>
      </tp>
      <tp t="s">
        <v>#N/A N/A</v>
        <stp/>
        <stp>BDH|2200962029683146614</stp>
        <tr r="L26" s="2"/>
      </tp>
      <tp t="s">
        <v>#N/A N/A</v>
        <stp/>
        <stp>BDP|8925191015713025772</stp>
        <tr r="AD9" s="3"/>
      </tp>
      <tp t="s">
        <v>#N/A N/A</v>
        <stp/>
        <stp>BDH|4072162300428491100</stp>
        <tr r="X14" s="2"/>
      </tp>
      <tp t="s">
        <v>#N/A N/A</v>
        <stp/>
        <stp>BDH|2985974326354946137</stp>
        <tr r="T26" s="4"/>
      </tp>
      <tp t="s">
        <v>#N/A N/A</v>
        <stp/>
        <stp>BDH|8339566717722688264</stp>
        <tr r="S10" s="2"/>
      </tp>
      <tp t="s">
        <v>#N/A N/A</v>
        <stp/>
        <stp>BDP|5699111368089935757</stp>
        <tr r="AH17" s="3"/>
      </tp>
      <tp t="s">
        <v>#N/A N/A</v>
        <stp/>
        <stp>BDH|2353478782846103444</stp>
        <tr r="I24" s="4"/>
      </tp>
      <tp t="s">
        <v>#N/A N/A</v>
        <stp/>
        <stp>BDH|9269695948735940295</stp>
        <tr r="V21" s="2"/>
      </tp>
      <tp t="s">
        <v>#N/A N/A</v>
        <stp/>
        <stp>BDH|9678797939153691234</stp>
        <tr r="S6" s="4"/>
      </tp>
      <tp t="s">
        <v>#N/A N/A</v>
        <stp/>
        <stp>BDH|7547969425969027959</stp>
        <tr r="H14" s="2"/>
      </tp>
      <tp t="s">
        <v>#N/A N/A</v>
        <stp/>
        <stp>BDH|1356193498257362210</stp>
        <tr r="K26" s="4"/>
      </tp>
      <tp t="s">
        <v>#N/A N/A</v>
        <stp/>
        <stp>BDH|2128577864078076524</stp>
        <tr r="C10" s="4"/>
      </tp>
      <tp t="s">
        <v>#N/A N/A</v>
        <stp/>
        <stp>BDH|8039654484109944389</stp>
        <tr r="AG18" s="4"/>
      </tp>
      <tp t="s">
        <v>#N/A N/A</v>
        <stp/>
        <stp>BDH|7115465924218356509</stp>
        <tr r="AF13" s="2"/>
      </tp>
      <tp t="s">
        <v>#N/A N/A</v>
        <stp/>
        <stp>BDH|5868813303414276595</stp>
        <tr r="AI21" s="2"/>
      </tp>
      <tp t="s">
        <v>#N/A N/A</v>
        <stp/>
        <stp>BDH|1621562346429426539</stp>
        <tr r="D20" s="2"/>
      </tp>
      <tp t="s">
        <v>#N/A N/A</v>
        <stp/>
        <stp>BDH|9932487643572038740</stp>
        <tr r="L7" s="2"/>
      </tp>
      <tp t="s">
        <v>#N/A N/A</v>
        <stp/>
        <stp>BDH|7303528594014728345</stp>
        <tr r="AB10" s="4"/>
      </tp>
      <tp t="s">
        <v>#N/A N/A</v>
        <stp/>
        <stp>BDP|7533127463449424571</stp>
        <tr r="AB13" s="3"/>
      </tp>
      <tp t="s">
        <v>#N/A N/A</v>
        <stp/>
        <stp>BDP|1242356337215138861</stp>
        <tr r="AC17" s="3"/>
      </tp>
      <tp t="s">
        <v>#N/A N/A</v>
        <stp/>
        <stp>BDH|5920657099436672041</stp>
        <tr r="J12" s="4"/>
      </tp>
      <tp t="s">
        <v>#N/A N/A</v>
        <stp/>
        <stp>BDH|9002191459763758208</stp>
        <tr r="AE26" s="2"/>
      </tp>
      <tp t="s">
        <v>#N/A N/A</v>
        <stp/>
        <stp>BDP|6266521691762178440</stp>
        <tr r="AF9" s="3"/>
      </tp>
      <tp t="s">
        <v>#N/A N/A</v>
        <stp/>
        <stp>BDH|8165076382385377935</stp>
        <tr r="C13" s="4"/>
      </tp>
      <tp t="s">
        <v>#N/A N/A</v>
        <stp/>
        <stp>BDH|8989708514623146181</stp>
        <tr r="J17" s="4"/>
      </tp>
      <tp t="s">
        <v>#N/A N/A</v>
        <stp/>
        <stp>BDH|9810790827009507978</stp>
        <tr r="AH26" s="2"/>
      </tp>
      <tp t="s">
        <v>#N/A N/A</v>
        <stp/>
        <stp>BDH|8112878799611843433</stp>
        <tr r="W18" s="4"/>
      </tp>
      <tp t="s">
        <v>#N/A N/A</v>
        <stp/>
        <stp>BDH|9773810937656195840</stp>
        <tr r="N13" s="4"/>
      </tp>
      <tp t="s">
        <v>#N/A N/A</v>
        <stp/>
        <stp>BDP|6522604925109451719</stp>
        <tr r="AI13" s="3"/>
      </tp>
      <tp t="s">
        <v>#N/A N/A</v>
        <stp/>
        <stp>BDH|3846862349760528370</stp>
        <tr r="AG13" s="4"/>
      </tp>
      <tp t="s">
        <v>#N/A N/A</v>
        <stp/>
        <stp>BDH|6387132517989629348</stp>
        <tr r="AB14" s="2"/>
      </tp>
      <tp t="s">
        <v>#N/A N/A</v>
        <stp/>
        <stp>BDH|8806999395320236431</stp>
        <tr r="AH18" s="2"/>
      </tp>
      <tp t="s">
        <v>#N/A N/A</v>
        <stp/>
        <stp>BDH|4720618572220316925</stp>
        <tr r="R6" s="4"/>
      </tp>
      <tp t="s">
        <v>#N/A N/A</v>
        <stp/>
        <stp>BDH|7603082434531715989</stp>
        <tr r="AM18" s="2"/>
      </tp>
      <tp t="s">
        <v>#N/A N/A</v>
        <stp/>
        <stp>BDH|24001673663405510</stp>
        <tr r="P22" s="4"/>
      </tp>
      <tp t="s">
        <v>#N/A N/A</v>
        <stp/>
        <stp>BDH|76087360426848142</stp>
        <tr r="M14" s="4"/>
      </tp>
      <tp t="s">
        <v>#N/A N/A</v>
        <stp/>
        <stp>BDP|8841655647496851180</stp>
        <tr r="AL10" s="3"/>
      </tp>
      <tp t="s">
        <v>#N/A N/A</v>
        <stp/>
        <stp>BDH|6185938226585600595</stp>
        <tr r="K17" s="2"/>
      </tp>
      <tp t="s">
        <v>#N/A N/A</v>
        <stp/>
        <stp>BDH|3638946901453907417</stp>
        <tr r="F20" s="2"/>
      </tp>
      <tp t="s">
        <v>#N/A N/A</v>
        <stp/>
        <stp>BDH|3757083318797529898</stp>
        <tr r="I18" s="2"/>
      </tp>
      <tp t="s">
        <v>#N/A N/A</v>
        <stp/>
        <stp>BDH|4790562588891001512</stp>
        <tr r="D21" s="4"/>
      </tp>
      <tp t="s">
        <v>#N/A N/A</v>
        <stp/>
        <stp>BDP|6497316153839716485</stp>
        <tr r="T16" s="3"/>
      </tp>
      <tp t="s">
        <v>#N/A N/A</v>
        <stp/>
        <stp>BDH|3872894379183879293</stp>
        <tr r="AP21" s="4"/>
      </tp>
      <tp t="s">
        <v>#N/A N/A</v>
        <stp/>
        <stp>BDH|5699536706264986945</stp>
        <tr r="N14" s="2"/>
      </tp>
      <tp t="s">
        <v>#N/A N/A</v>
        <stp/>
        <stp>BDH|3232183563320309941</stp>
        <tr r="Y20" s="4"/>
      </tp>
      <tp t="s">
        <v>#N/A N/A</v>
        <stp/>
        <stp>BDP|2808671796608287845</stp>
        <tr r="L12" s="3"/>
      </tp>
      <tp t="s">
        <v>#N/A N/A</v>
        <stp/>
        <stp>BDH|9771262523103440795</stp>
        <tr r="AF18" s="2"/>
      </tp>
      <tp t="s">
        <v>#N/A N/A</v>
        <stp/>
        <stp>BDH|4917408026377289825</stp>
        <tr r="AE19" s="2"/>
      </tp>
      <tp t="s">
        <v>#N/A N/A</v>
        <stp/>
        <stp>BDH|9985577220177453451</stp>
        <tr r="AH7" s="4"/>
      </tp>
      <tp t="s">
        <v>#N/A N/A</v>
        <stp/>
        <stp>BDP|6203564182993904536</stp>
        <tr r="AB10" s="3"/>
      </tp>
      <tp t="s">
        <v>#N/A N/A</v>
        <stp/>
        <stp>BDP|1815930786128700564</stp>
        <tr r="H10" s="3"/>
      </tp>
      <tp t="s">
        <v>#N/A N/A</v>
        <stp/>
        <stp>BDH|8687454969373123476</stp>
        <tr r="R26" s="2"/>
      </tp>
      <tp t="s">
        <v>#N/A N/A</v>
        <stp/>
        <stp>BDH|7444300015598827047</stp>
        <tr r="R16" s="2"/>
      </tp>
      <tp t="s">
        <v>#N/A N/A</v>
        <stp/>
        <stp>BDH|3201760985573024232</stp>
        <tr r="G6" s="4"/>
      </tp>
      <tp t="s">
        <v>#N/A N/A</v>
        <stp/>
        <stp>BDH|7791820753522404502</stp>
        <tr r="W19" s="2"/>
      </tp>
      <tp t="s">
        <v>#N/A N/A</v>
        <stp/>
        <stp>BDH|5169975131381407303</stp>
        <tr r="AK24" s="4"/>
      </tp>
      <tp t="s">
        <v>#N/A N/A</v>
        <stp/>
        <stp>BDH|1596005810555790815</stp>
        <tr r="AL18" s="2"/>
      </tp>
      <tp t="s">
        <v>#N/A N/A</v>
        <stp/>
        <stp>BDH|8257117407591297558</stp>
        <tr r="E16" s="4"/>
      </tp>
      <tp t="s">
        <v>#N/A N/A</v>
        <stp/>
        <stp>BDP|3485916352431258356</stp>
        <tr r="AH13" s="3"/>
      </tp>
      <tp t="s">
        <v>#N/A N/A</v>
        <stp/>
        <stp>BDH|6520870672151437543</stp>
        <tr r="AK7" s="2"/>
      </tp>
      <tp t="s">
        <v>#N/A N/A</v>
        <stp/>
        <stp>BDH|7085815645553578507</stp>
        <tr r="AF20" s="2"/>
      </tp>
      <tp t="s">
        <v>#N/A N/A</v>
        <stp/>
        <stp>BDH|7908082263585784920</stp>
        <tr r="AH14" s="2"/>
      </tp>
      <tp t="s">
        <v>#N/A N/A</v>
        <stp/>
        <stp>BDP|7694040312128783334</stp>
        <tr r="AP12" s="3"/>
      </tp>
      <tp t="s">
        <v>#N/A N/A</v>
        <stp/>
        <stp>BDH|4922766094982661593</stp>
        <tr r="W7" s="4"/>
      </tp>
      <tp t="s">
        <v>#N/A N/A</v>
        <stp/>
        <stp>BDH|5330219311538080378</stp>
        <tr r="R17" s="2"/>
      </tp>
      <tp t="s">
        <v>#N/A N/A</v>
        <stp/>
        <stp>BDP|3135761562219485647</stp>
        <tr r="AN17" s="3"/>
      </tp>
      <tp t="s">
        <v>#N/A N/A</v>
        <stp/>
        <stp>BDH|9197723925220578165</stp>
        <tr r="V21" s="4"/>
      </tp>
      <tp t="s">
        <v>#N/A N/A</v>
        <stp/>
        <stp>BDH|1461313021058183501</stp>
        <tr r="G25" s="2"/>
      </tp>
      <tp t="s">
        <v>#N/A N/A</v>
        <stp/>
        <stp>BDP|7328992390631493845</stp>
        <tr r="T9" s="3"/>
      </tp>
      <tp t="s">
        <v>#N/A N/A</v>
        <stp/>
        <stp>BDH|3461570569207301922</stp>
        <tr r="L6" s="4"/>
      </tp>
      <tp t="s">
        <v>#N/A N/A</v>
        <stp/>
        <stp>BDH|9264213597264870879</stp>
        <tr r="N14" s="4"/>
      </tp>
      <tp t="s">
        <v>#N/A N/A</v>
        <stp/>
        <stp>BDH|2588081183162562629</stp>
        <tr r="H9" s="4"/>
      </tp>
      <tp t="s">
        <v>#N/A N/A</v>
        <stp/>
        <stp>BDH|1515395793990349556</stp>
        <tr r="M22" s="4"/>
      </tp>
      <tp t="s">
        <v>#N/A N/A</v>
        <stp/>
        <stp>BDP|1501196946673122957</stp>
        <tr r="AM10" s="3"/>
      </tp>
      <tp t="s">
        <v>#N/A N/A</v>
        <stp/>
        <stp>BDP|6308134272507921955</stp>
        <tr r="H17" s="3"/>
      </tp>
      <tp t="s">
        <v>#N/A N/A</v>
        <stp/>
        <stp>BDH|7007182000668148073</stp>
        <tr r="M20" s="4"/>
      </tp>
      <tp t="s">
        <v>#N/A N/A</v>
        <stp/>
        <stp>BDH|9706550969974432018</stp>
        <tr r="H21" s="2"/>
      </tp>
      <tp t="s">
        <v>#N/A N/A</v>
        <stp/>
        <stp>BDH|1707684640264130909</stp>
        <tr r="Q25" s="4"/>
      </tp>
      <tp t="s">
        <v>#N/A N/A</v>
        <stp/>
        <stp>BDH|5878440217639164749</stp>
        <tr r="AA10" s="2"/>
      </tp>
      <tp t="s">
        <v>#N/A N/A</v>
        <stp/>
        <stp>BDP|6184038381233817340</stp>
        <tr r="U16" s="3"/>
      </tp>
      <tp t="s">
        <v>#N/A N/A</v>
        <stp/>
        <stp>BDH|8503180030310410461</stp>
        <tr r="AN12" s="4"/>
      </tp>
      <tp t="s">
        <v>#N/A N/A</v>
        <stp/>
        <stp>BDH|4003101919658734217</stp>
        <tr r="AK18" s="4"/>
      </tp>
      <tp t="s">
        <v>#N/A N/A</v>
        <stp/>
        <stp>BDH|1301917737987885228</stp>
        <tr r="Z21" s="4"/>
      </tp>
      <tp t="s">
        <v>#N/A N/A</v>
        <stp/>
        <stp>BDH|1753813665772872377</stp>
        <tr r="Q17" s="4"/>
      </tp>
      <tp t="s">
        <v>#N/A N/A</v>
        <stp/>
        <stp>BDH|3988867376760126249</stp>
        <tr r="AF6" s="4"/>
      </tp>
      <tp t="s">
        <v>#N/A N/A</v>
        <stp/>
        <stp>BDH|5671405619378782644</stp>
        <tr r="AO13" s="4"/>
      </tp>
      <tp t="s">
        <v>#N/A N/A</v>
        <stp/>
        <stp>BDH|5975624935006665848</stp>
        <tr r="P9" s="4"/>
      </tp>
      <tp t="s">
        <v>#N/A N/A</v>
        <stp/>
        <stp>BDH|3228767881720771205</stp>
        <tr r="Y6" s="4"/>
      </tp>
      <tp t="s">
        <v>#N/A N/A</v>
        <stp/>
        <stp>BDH|9122019931857321302</stp>
        <tr r="Q13" s="2"/>
      </tp>
      <tp t="s">
        <v>#N/A N/A</v>
        <stp/>
        <stp>BDH|5182962213790002368</stp>
        <tr r="AJ7" s="4"/>
      </tp>
      <tp t="s">
        <v>#N/A N/A</v>
        <stp/>
        <stp>BDH|2532331661941064859</stp>
        <tr r="AJ20" s="2"/>
      </tp>
      <tp t="s">
        <v>#N/A N/A</v>
        <stp/>
        <stp>BDH|1774565684382415021</stp>
        <tr r="S19" s="2"/>
      </tp>
      <tp t="s">
        <v>#N/A N/A</v>
        <stp/>
        <stp>BDH|3854284653348848286</stp>
        <tr r="Z10" s="2"/>
      </tp>
      <tp t="s">
        <v>#N/A N/A</v>
        <stp/>
        <stp>BDH|7965665068471528810</stp>
        <tr r="P7" s="4"/>
      </tp>
      <tp t="s">
        <v>#N/A N/A</v>
        <stp/>
        <stp>BDH|6393143933258063279</stp>
        <tr r="AE13" s="4"/>
      </tp>
      <tp t="s">
        <v>#N/A N/A</v>
        <stp/>
        <stp>BDH|9039474464111613457</stp>
        <tr r="F6" s="4"/>
      </tp>
      <tp t="s">
        <v>#N/A N/A</v>
        <stp/>
        <stp>BDH|1536653353384542864</stp>
        <tr r="K22" s="4"/>
      </tp>
      <tp t="s">
        <v>#N/A N/A</v>
        <stp/>
        <stp>BDH|7033019333942383814</stp>
        <tr r="E14" s="2"/>
      </tp>
      <tp t="s">
        <v>#N/A N/A</v>
        <stp/>
        <stp>BDP|5588371353558321536</stp>
        <tr r="I9" s="3"/>
      </tp>
      <tp t="s">
        <v>#N/A N/A</v>
        <stp/>
        <stp>BDH|2093736731170203815</stp>
        <tr r="R25" s="4"/>
      </tp>
      <tp t="s">
        <v>#N/A N/A</v>
        <stp/>
        <stp>BDH|3183114577879034214</stp>
        <tr r="V26" s="4"/>
      </tp>
      <tp t="s">
        <v>#N/A N/A</v>
        <stp/>
        <stp>BDH|8965734559217071352</stp>
        <tr r="AG16" s="2"/>
      </tp>
      <tp t="s">
        <v>#N/A N/A</v>
        <stp/>
        <stp>BDH|2920496395349091838</stp>
        <tr r="AL10" s="4"/>
      </tp>
      <tp t="s">
        <v>#N/A N/A</v>
        <stp/>
        <stp>BDH|7391834331653164164</stp>
        <tr r="J8" s="4"/>
      </tp>
      <tp t="s">
        <v>#N/A N/A</v>
        <stp/>
        <stp>BDH|7809459805258885569</stp>
        <tr r="X24" s="2"/>
      </tp>
      <tp t="s">
        <v>#N/A N/A</v>
        <stp/>
        <stp>BDH|4208602992501692404</stp>
        <tr r="C17" s="4"/>
      </tp>
      <tp t="s">
        <v>#N/A N/A</v>
        <stp/>
        <stp>BDH|6598832917736658715</stp>
        <tr r="R12" s="4"/>
      </tp>
      <tp t="s">
        <v>#N/A N/A</v>
        <stp/>
        <stp>BDH|8956300959830690016</stp>
        <tr r="N26" s="2"/>
      </tp>
      <tp t="s">
        <v>#N/A N/A</v>
        <stp/>
        <stp>BDH|2942371137779846563</stp>
        <tr r="F9" s="4"/>
      </tp>
      <tp t="s">
        <v>#N/A N/A</v>
        <stp/>
        <stp>BDH|9128244283579743463</stp>
        <tr r="N10" s="4"/>
      </tp>
      <tp t="s">
        <v>#N/A N/A</v>
        <stp/>
        <stp>BDH|2587909182368311535</stp>
        <tr r="E18" s="2"/>
      </tp>
      <tp t="s">
        <v>#N/A N/A</v>
        <stp/>
        <stp>BDH|7725160354269334426</stp>
        <tr r="AL16" s="2"/>
      </tp>
      <tp t="s">
        <v>#N/A N/A</v>
        <stp/>
        <stp>BDH|6132122386130303127</stp>
        <tr r="W13" s="4"/>
      </tp>
      <tp t="s">
        <v>#N/A N/A</v>
        <stp/>
        <stp>BDH|4167662392854474157</stp>
        <tr r="X26" s="2"/>
      </tp>
      <tp t="s">
        <v>#N/A N/A</v>
        <stp/>
        <stp>BDH|2004401394012479349</stp>
        <tr r="Z8" s="2"/>
      </tp>
      <tp t="s">
        <v>#N/A N/A</v>
        <stp/>
        <stp>BDP|8959130467464888505</stp>
        <tr r="Z9" s="3"/>
      </tp>
      <tp t="s">
        <v>#N/A N/A</v>
        <stp/>
        <stp>BDH|5538716665222738837</stp>
        <tr r="AC17" s="2"/>
      </tp>
      <tp t="s">
        <v>#N/A N/A</v>
        <stp/>
        <stp>BDH|9341261400404530151</stp>
        <tr r="O8" s="4"/>
      </tp>
      <tp t="s">
        <v>#N/A N/A</v>
        <stp/>
        <stp>BDH|3058996238783222464</stp>
        <tr r="AP22" s="4"/>
      </tp>
      <tp t="s">
        <v>#N/A N/A</v>
        <stp/>
        <stp>BDH|2003114837888135626</stp>
        <tr r="AM13" s="2"/>
      </tp>
      <tp t="s">
        <v>#N/A N/A</v>
        <stp/>
        <stp>BDH|2556095096623997667</stp>
        <tr r="AA7" s="2"/>
      </tp>
      <tp t="s">
        <v>#N/A N/A</v>
        <stp/>
        <stp>BDH|7509225431531745949</stp>
        <tr r="H26" s="4"/>
      </tp>
      <tp t="s">
        <v>#N/A N/A</v>
        <stp/>
        <stp>BDH|8533308846081603004</stp>
        <tr r="AP26" s="4"/>
      </tp>
      <tp t="s">
        <v>#N/A N/A</v>
        <stp/>
        <stp>BDH|7372672351249209329</stp>
        <tr r="AG10" s="4"/>
      </tp>
      <tp t="s">
        <v>#N/A N/A</v>
        <stp/>
        <stp>BDH|7854701552929593350</stp>
        <tr r="AG22" s="4"/>
      </tp>
      <tp t="s">
        <v>#N/A N/A</v>
        <stp/>
        <stp>BDH|7856917973983674568</stp>
        <tr r="O7" s="2"/>
      </tp>
      <tp t="s">
        <v>#N/A N/A</v>
        <stp/>
        <stp>BDH|5771011339058529100</stp>
        <tr r="AD25" s="4"/>
      </tp>
      <tp t="s">
        <v>#N/A N/A</v>
        <stp/>
        <stp>BDP|8822174476508376919</stp>
        <tr r="AJ17" s="3"/>
      </tp>
      <tp t="s">
        <v>#N/A N/A</v>
        <stp/>
        <stp>BDH|7910936817227141770</stp>
        <tr r="J22" s="4"/>
      </tp>
      <tp t="s">
        <v>#N/A N/A</v>
        <stp/>
        <stp>BDH|1873910135707362345</stp>
        <tr r="AF21" s="2"/>
      </tp>
      <tp t="s">
        <v>#N/A N/A</v>
        <stp/>
        <stp>BDH|7437706038965709902</stp>
        <tr r="Q18" s="2"/>
      </tp>
      <tp t="s">
        <v>#N/A N/A</v>
        <stp/>
        <stp>BDH|9442083352541087269</stp>
        <tr r="AI20" s="2"/>
      </tp>
      <tp t="s">
        <v>#N/A N/A</v>
        <stp/>
        <stp>BDH|8565990588657932155</stp>
        <tr r="H12" s="4"/>
      </tp>
      <tp t="s">
        <v>#N/A N/A</v>
        <stp/>
        <stp>BDH|9961347444663869298</stp>
        <tr r="J7" s="2"/>
      </tp>
      <tp t="s">
        <v>#N/A N/A</v>
        <stp/>
        <stp>BDH|1116937304444989372</stp>
        <tr r="V24" s="4"/>
      </tp>
      <tp t="s">
        <v>#N/A N/A</v>
        <stp/>
        <stp>BDH|9816240749582561299</stp>
        <tr r="G20" s="2"/>
      </tp>
      <tp t="s">
        <v>#N/A N/A</v>
        <stp/>
        <stp>BDP|5397950297503697993</stp>
        <tr r="R17" s="3"/>
      </tp>
      <tp t="s">
        <v>#N/A N/A</v>
        <stp/>
        <stp>BDH|4662607478089362339</stp>
        <tr r="AP16" s="2"/>
      </tp>
      <tp t="s">
        <v>#N/A N/A</v>
        <stp/>
        <stp>BDH|6317080982319389856</stp>
        <tr r="Q22" s="4"/>
      </tp>
      <tp t="s">
        <v>#N/A N/A</v>
        <stp/>
        <stp>BDH|9687395826322424523</stp>
        <tr r="J9" s="4"/>
      </tp>
      <tp t="s">
        <v>#N/A N/A</v>
        <stp/>
        <stp>BDH|6426483784705265061</stp>
        <tr r="G10" s="2"/>
      </tp>
      <tp t="s">
        <v>#N/A N/A</v>
        <stp/>
        <stp>BDH|6308929423904990668</stp>
        <tr r="AN25" s="2"/>
      </tp>
      <tp t="s">
        <v>#N/A N/A</v>
        <stp/>
        <stp>BDH|4891425632808766421</stp>
        <tr r="AG8" s="4"/>
      </tp>
      <tp t="s">
        <v>#N/A N/A</v>
        <stp/>
        <stp>BDH|7667690835234725904</stp>
        <tr r="Q6" s="4"/>
      </tp>
      <tp t="s">
        <v>#N/A N/A</v>
        <stp/>
        <stp>BDH|6805817083631722807</stp>
        <tr r="AK8" s="4"/>
      </tp>
      <tp t="s">
        <v>#N/A N/A</v>
        <stp/>
        <stp>BDH|9772201404390662484</stp>
        <tr r="U16" s="4"/>
      </tp>
      <tp t="s">
        <v>#N/A N/A</v>
        <stp/>
        <stp>BDH|9680520278560311427</stp>
        <tr r="AB7" s="4"/>
      </tp>
      <tp t="s">
        <v>#N/A N/A</v>
        <stp/>
        <stp>BDH|8369251640483120254</stp>
        <tr r="W10" s="2"/>
      </tp>
      <tp t="s">
        <v>#N/A N/A</v>
        <stp/>
        <stp>BDP|2271880009190598554</stp>
        <tr r="AD12" s="3"/>
      </tp>
      <tp t="s">
        <v>#N/A N/A</v>
        <stp/>
        <stp>BDP|8548457575361671509</stp>
        <tr r="N9" s="3"/>
      </tp>
      <tp t="s">
        <v>#N/A N/A</v>
        <stp/>
        <stp>BDH|8026342330894000378</stp>
        <tr r="U26" s="4"/>
      </tp>
      <tp t="s">
        <v>#N/A N/A</v>
        <stp/>
        <stp>BDH|8636916073280534926</stp>
        <tr r="I17" s="2"/>
      </tp>
      <tp t="s">
        <v>#N/A N/A</v>
        <stp/>
        <stp>BDH|9737013069755989554</stp>
        <tr r="AL26" s="2"/>
      </tp>
      <tp t="s">
        <v>#N/A N/A</v>
        <stp/>
        <stp>BDH|7095959477550136639</stp>
        <tr r="I10" s="4"/>
      </tp>
      <tp t="s">
        <v>#N/A N/A</v>
        <stp/>
        <stp>BDH|5289043688700618298</stp>
        <tr r="F18" s="4"/>
      </tp>
      <tp t="s">
        <v>#N/A N/A</v>
        <stp/>
        <stp>BDP|7650629698161873623</stp>
        <tr r="AG16" s="3"/>
      </tp>
      <tp t="s">
        <v>#N/A N/A</v>
        <stp/>
        <stp>BDH|4016285191605809576</stp>
        <tr r="Z18" s="2"/>
      </tp>
      <tp t="s">
        <v>#N/A N/A</v>
        <stp/>
        <stp>BDH|8760654877211219701</stp>
        <tr r="AD6" s="4"/>
      </tp>
      <tp t="s">
        <v>#N/A N/A</v>
        <stp/>
        <stp>BDH|4458562094005666279</stp>
        <tr r="Z10" s="4"/>
      </tp>
      <tp t="s">
        <v>#N/A N/A</v>
        <stp/>
        <stp>BDH|9861398429177874073</stp>
        <tr r="AN7" s="2"/>
      </tp>
      <tp t="s">
        <v>#N/A N/A</v>
        <stp/>
        <stp>BDH|6306395547198376699</stp>
        <tr r="AE17" s="2"/>
      </tp>
      <tp t="s">
        <v>#N/A N/A</v>
        <stp/>
        <stp>BDH|4940822655416264083</stp>
        <tr r="F16" s="2"/>
      </tp>
      <tp t="s">
        <v>#N/A N/A</v>
        <stp/>
        <stp>BDH|8526283135407900145</stp>
        <tr r="AG16" s="4"/>
      </tp>
      <tp t="s">
        <v>#N/A N/A</v>
        <stp/>
        <stp>BDH|8523131813510254720</stp>
        <tr r="AM16" s="2"/>
      </tp>
      <tp t="s">
        <v>#N/A N/A</v>
        <stp/>
        <stp>BDH|7396554241049644044</stp>
        <tr r="AD16" s="2"/>
      </tp>
      <tp t="s">
        <v>#N/A N/A</v>
        <stp/>
        <stp>BDH|7743008093744415557</stp>
        <tr r="Y24" s="2"/>
      </tp>
      <tp t="s">
        <v>#N/A N/A</v>
        <stp/>
        <stp>BDH|8380851680152655551</stp>
        <tr r="F25" s="4"/>
      </tp>
      <tp t="s">
        <v>#N/A N/A</v>
        <stp/>
        <stp>BDH|79023308276281492</stp>
        <tr r="AH16" s="2"/>
      </tp>
      <tp t="s">
        <v>#N/A N/A</v>
        <stp/>
        <stp>BDH|2246040509452222871</stp>
        <tr r="I25" s="2"/>
      </tp>
      <tp t="s">
        <v>#N/A N/A</v>
        <stp/>
        <stp>BDH|9848868384335034401</stp>
        <tr r="M25" s="2"/>
      </tp>
      <tp t="s">
        <v>#N/A N/A</v>
        <stp/>
        <stp>BDH|1865570508975855948</stp>
        <tr r="AE10" s="4"/>
      </tp>
      <tp t="s">
        <v>#N/A N/A</v>
        <stp/>
        <stp>BDH|6758060181601231795</stp>
        <tr r="J6" s="4"/>
      </tp>
      <tp t="s">
        <v>#N/A N/A</v>
        <stp/>
        <stp>BDH|9273696502554662344</stp>
        <tr r="L8" s="2"/>
      </tp>
      <tp t="s">
        <v>#N/A N/A</v>
        <stp/>
        <stp>BDH|6535023435959919406</stp>
        <tr r="D17" s="2"/>
      </tp>
      <tp t="s">
        <v>#N/A N/A</v>
        <stp/>
        <stp>BDH|6801025693511230623</stp>
        <tr r="Q24" s="4"/>
      </tp>
      <tp t="s">
        <v>#N/A N/A</v>
        <stp/>
        <stp>BDH|1902736136479510407</stp>
        <tr r="H16" s="4"/>
      </tp>
      <tp t="s">
        <v>#N/A N/A</v>
        <stp/>
        <stp>BDH|2757980366371909491</stp>
        <tr r="H9" s="2"/>
      </tp>
      <tp t="s">
        <v>#N/A N/A</v>
        <stp/>
        <stp>BDH|8938078341757416324</stp>
        <tr r="AM24" s="2"/>
      </tp>
      <tp t="s">
        <v>#N/A N/A</v>
        <stp/>
        <stp>BDH|2509078335028722192</stp>
        <tr r="AG25" s="2"/>
      </tp>
      <tp t="s">
        <v>#N/A N/A</v>
        <stp/>
        <stp>BDH|2456629491914669188</stp>
        <tr r="R7" s="4"/>
      </tp>
      <tp t="s">
        <v>#N/A N/A</v>
        <stp/>
        <stp>BDH|8607695999929836602</stp>
        <tr r="F21" s="2"/>
      </tp>
      <tp t="s">
        <v>#N/A N/A</v>
        <stp/>
        <stp>BDP|6519623349884756868</stp>
        <tr r="AN10" s="3"/>
      </tp>
      <tp t="s">
        <v>#N/A N/A</v>
        <stp/>
        <stp>BDH|6253444999081657264</stp>
        <tr r="AO10" s="4"/>
      </tp>
      <tp t="s">
        <v>#N/A N/A</v>
        <stp/>
        <stp>BDH|7021396554580163934</stp>
        <tr r="J24" s="4"/>
      </tp>
      <tp t="s">
        <v>#N/A N/A</v>
        <stp/>
        <stp>BDH|7864447532338368014</stp>
        <tr r="D20" s="4"/>
      </tp>
      <tp t="s">
        <v>#N/A N/A</v>
        <stp/>
        <stp>BDH|2853150954266328866</stp>
        <tr r="AP7" s="2"/>
      </tp>
      <tp t="s">
        <v>#N/A N/A</v>
        <stp/>
        <stp>BDH|1375981076822357521</stp>
        <tr r="AO14" s="4"/>
      </tp>
      <tp t="s">
        <v>#N/A N/A</v>
        <stp/>
        <stp>BDH|9652521173154202784</stp>
        <tr r="AD21" s="4"/>
      </tp>
      <tp t="s">
        <v>#N/A N/A</v>
        <stp/>
        <stp>BDH|1494965565216951039</stp>
        <tr r="K21" s="4"/>
      </tp>
      <tp t="s">
        <v>#N/A N/A</v>
        <stp/>
        <stp>BDH|4051323930208454444</stp>
        <tr r="Y26" s="2"/>
      </tp>
      <tp t="s">
        <v>#N/A N/A</v>
        <stp/>
        <stp>BDH|3092433123078572579</stp>
        <tr r="R8" s="4"/>
      </tp>
      <tp t="s">
        <v>#N/A N/A</v>
        <stp/>
        <stp>BDP|4112080589494223014</stp>
        <tr r="Q9" s="3"/>
      </tp>
      <tp t="s">
        <v>#N/A N/A</v>
        <stp/>
        <stp>BDP|5114360592562414521</stp>
        <tr r="AI16" s="3"/>
      </tp>
      <tp t="s">
        <v>#N/A N/A</v>
        <stp/>
        <stp>BDH|2950769089992077768</stp>
        <tr r="T17" s="4"/>
      </tp>
      <tp t="s">
        <v>#N/A N/A</v>
        <stp/>
        <stp>BDH|8224815830278289310</stp>
        <tr r="AH25" s="2"/>
      </tp>
      <tp t="s">
        <v>#N/A N/A</v>
        <stp/>
        <stp>BDH|2706359600280618946</stp>
        <tr r="AP25" s="4"/>
      </tp>
      <tp t="s">
        <v>#N/A N/A</v>
        <stp/>
        <stp>BDH|2128667566869006301</stp>
        <tr r="X13" s="2"/>
      </tp>
      <tp t="s">
        <v>#N/A N/A</v>
        <stp/>
        <stp>BDP|3737983178296949389</stp>
        <tr r="Z13" s="3"/>
      </tp>
      <tp t="s">
        <v>#N/A N/A</v>
        <stp/>
        <stp>BDP|4357944140115953484</stp>
        <tr r="N12" s="3"/>
      </tp>
      <tp t="s">
        <v>#N/A N/A</v>
        <stp/>
        <stp>BDP|4425116590771271516</stp>
        <tr r="F17" s="3"/>
      </tp>
      <tp t="s">
        <v>#N/A N/A</v>
        <stp/>
        <stp>BDH|9599269500486536505</stp>
        <tr r="AM17" s="4"/>
      </tp>
      <tp t="s">
        <v>#N/A N/A</v>
        <stp/>
        <stp>BDH|9187236967804096133</stp>
        <tr r="AI6" s="4"/>
      </tp>
      <tp t="s">
        <v>#N/A N/A</v>
        <stp/>
        <stp>BDH|2721824033532047308</stp>
        <tr r="G7" s="2"/>
      </tp>
      <tp t="s">
        <v>#N/A N/A</v>
        <stp/>
        <stp>BDH|2270616545860045802</stp>
        <tr r="Q25" s="2"/>
      </tp>
      <tp t="s">
        <v>#N/A N/A</v>
        <stp/>
        <stp>BDP|7592380713798131582</stp>
        <tr r="AA9" s="3"/>
      </tp>
      <tp t="s">
        <v>#N/A N/A</v>
        <stp/>
        <stp>BDP|7575677426623570862</stp>
        <tr r="L17" s="3"/>
      </tp>
      <tp t="s">
        <v>#N/A N/A</v>
        <stp/>
        <stp>BDH|7733285609968970581</stp>
        <tr r="AI9" s="2"/>
      </tp>
      <tp t="s">
        <v>#N/A N/A</v>
        <stp/>
        <stp>BDH|5045775094281712238</stp>
        <tr r="K17" s="4"/>
      </tp>
      <tp t="s">
        <v>#N/A N/A</v>
        <stp/>
        <stp>BDH|7940261594835835172</stp>
        <tr r="AN16" s="2"/>
      </tp>
      <tp t="s">
        <v>#N/A N/A</v>
        <stp/>
        <stp>BDH|6042842513884702353</stp>
        <tr r="M17" s="4"/>
      </tp>
      <tp t="s">
        <v>#N/A N/A</v>
        <stp/>
        <stp>BDH|8762761422976558336</stp>
        <tr r="AO18" s="2"/>
      </tp>
      <tp t="s">
        <v>#N/A N/A</v>
        <stp/>
        <stp>BDH|7091329313418483500</stp>
        <tr r="AC17" s="4"/>
      </tp>
      <tp t="s">
        <v>#N/A N/A</v>
        <stp/>
        <stp>BDH|5307550193953721399</stp>
        <tr r="AH8" s="4"/>
      </tp>
      <tp t="s">
        <v>#N/A N/A</v>
        <stp/>
        <stp>BDH|4942239234565166943</stp>
        <tr r="AM18" s="4"/>
      </tp>
      <tp t="s">
        <v>#N/A N/A</v>
        <stp/>
        <stp>BDP|5857126532589997792</stp>
        <tr r="AN12" s="3"/>
      </tp>
      <tp t="s">
        <v>#N/A N/A</v>
        <stp/>
        <stp>BDH|9280122310546195691</stp>
        <tr r="G21" s="2"/>
      </tp>
      <tp t="s">
        <v>#N/A N/A</v>
        <stp/>
        <stp>BDH|3272129098451051303</stp>
        <tr r="T7" s="4"/>
      </tp>
      <tp t="s">
        <v>#N/A N/A</v>
        <stp/>
        <stp>BDH|4995686698251799376</stp>
        <tr r="E21" s="2"/>
      </tp>
      <tp t="s">
        <v>#N/A N/A</v>
        <stp/>
        <stp>BDH|1353342461819602495</stp>
        <tr r="AN17" s="4"/>
      </tp>
    </main>
    <main first="bofaddin.rtdserver">
      <tp t="s">
        <v>#N/A N/A</v>
        <stp/>
        <stp>BDP|1572682134565118876</stp>
        <tr r="AL12" s="3"/>
      </tp>
      <tp t="s">
        <v>#N/A N/A</v>
        <stp/>
        <stp>BDH|1497319949649334604</stp>
        <tr r="AM7" s="4"/>
      </tp>
      <tp t="s">
        <v>#N/A N/A</v>
        <stp/>
        <stp>BDH|2495420109457787877</stp>
        <tr r="AL12" s="4"/>
      </tp>
      <tp t="s">
        <v>#N/A N/A</v>
        <stp/>
        <stp>BDH|2754650123377665886</stp>
        <tr r="AP7" s="4"/>
      </tp>
      <tp t="s">
        <v>#N/A N/A</v>
        <stp/>
        <stp>BDH|5949838540008478817</stp>
        <tr r="AF24" s="2"/>
      </tp>
      <tp t="s">
        <v>#N/A N/A</v>
        <stp/>
        <stp>BDH|4666416010650212899</stp>
        <tr r="AG18" s="2"/>
      </tp>
      <tp t="s">
        <v>#N/A N/A</v>
        <stp/>
        <stp>BDP|1373806513911589087</stp>
        <tr r="AO13" s="3"/>
      </tp>
      <tp t="s">
        <v>#N/A N/A</v>
        <stp/>
        <stp>BDH|8062524219802068766</stp>
        <tr r="N19" s="2"/>
      </tp>
      <tp t="s">
        <v>#N/A N/A</v>
        <stp/>
        <stp>BDH|1780182259834535812</stp>
        <tr r="W6" s="4"/>
      </tp>
      <tp t="s">
        <v>#N/A N/A</v>
        <stp/>
        <stp>BDP|2243631297685593109</stp>
        <tr r="AN9" s="3"/>
      </tp>
      <tp t="s">
        <v>#N/A N/A</v>
        <stp/>
        <stp>BDH|8073765109715499389</stp>
        <tr r="D10" s="2"/>
      </tp>
      <tp t="s">
        <v>#N/A N/A</v>
        <stp/>
        <stp>BDH|2897846371236784291</stp>
        <tr r="D9" s="2"/>
      </tp>
      <tp t="s">
        <v>#N/A N/A</v>
        <stp/>
        <stp>BDH|1326625571519449070</stp>
        <tr r="V8" s="2"/>
      </tp>
      <tp t="s">
        <v>#N/A N/A</v>
        <stp/>
        <stp>BDH|1987980702365653463</stp>
        <tr r="H10" s="2"/>
      </tp>
      <tp t="s">
        <v>#N/A N/A</v>
        <stp/>
        <stp>BDH|3338091900039895327</stp>
        <tr r="C6" s="4"/>
      </tp>
      <tp t="s">
        <v>#N/A N/A</v>
        <stp/>
        <stp>BDH|8427320854441746645</stp>
        <tr r="X17" s="2"/>
      </tp>
      <tp t="s">
        <v>#N/A N/A</v>
        <stp/>
        <stp>BDH|4165979450592153365</stp>
        <tr r="L20" s="4"/>
      </tp>
      <tp t="s">
        <v>#N/A N/A</v>
        <stp/>
        <stp>BDP|3619862745574656253</stp>
        <tr r="AG13" s="3"/>
      </tp>
      <tp t="s">
        <v>#N/A N/A</v>
        <stp/>
        <stp>BDP|4212910455727926693</stp>
        <tr r="F10" s="3"/>
      </tp>
      <tp t="s">
        <v>#N/A N/A</v>
        <stp/>
        <stp>BDH|7366968923370813580</stp>
        <tr r="AL17" s="4"/>
      </tp>
      <tp t="s">
        <v>#N/A N/A</v>
        <stp/>
        <stp>BDH|6149142414098714716</stp>
        <tr r="Z20" s="2"/>
      </tp>
      <tp t="s">
        <v>#N/A N/A</v>
        <stp/>
        <stp>BDH|8922636949895719609</stp>
        <tr r="Q20" s="4"/>
      </tp>
      <tp t="s">
        <v>#N/A N/A</v>
        <stp/>
        <stp>BDH|2863362165747852965</stp>
        <tr r="H22" s="4"/>
      </tp>
      <tp t="s">
        <v>#N/A N/A</v>
        <stp/>
        <stp>BDH|4594641787997234411</stp>
        <tr r="N9" s="2"/>
      </tp>
      <tp t="s">
        <v>#N/A N/A</v>
        <stp/>
        <stp>BDH|9650003262195833397</stp>
        <tr r="D25" s="2"/>
      </tp>
      <tp t="s">
        <v>#N/A N/A</v>
        <stp/>
        <stp>BDH|2548843030843007347</stp>
        <tr r="H19" s="2"/>
      </tp>
      <tp t="s">
        <v>#N/A N/A</v>
        <stp/>
        <stp>BDH|2043402651882078846</stp>
        <tr r="E13" s="2"/>
      </tp>
      <tp t="s">
        <v>#N/A N/A</v>
        <stp/>
        <stp>BDH|8410196728681677368</stp>
        <tr r="S8" s="4"/>
      </tp>
      <tp t="s">
        <v>#N/A N/A</v>
        <stp/>
        <stp>BDH|7265190067852648809</stp>
        <tr r="AB9" s="4"/>
      </tp>
      <tp t="s">
        <v>#N/A N/A</v>
        <stp/>
        <stp>BDH|2619796263649404033</stp>
        <tr r="AL25" s="2"/>
      </tp>
      <tp t="s">
        <v>#N/A N/A</v>
        <stp/>
        <stp>BDH|3807366883753536137</stp>
        <tr r="AP8" s="4"/>
      </tp>
      <tp t="s">
        <v>#N/A N/A</v>
        <stp/>
        <stp>BDH|8209694692738385511</stp>
        <tr r="T9" s="4"/>
      </tp>
      <tp t="s">
        <v>#N/A N/A</v>
        <stp/>
        <stp>BDH|6880029800448481451</stp>
        <tr r="K25" s="4"/>
      </tp>
      <tp t="s">
        <v>#N/A N/A</v>
        <stp/>
        <stp>BDH|5259216789077770241</stp>
        <tr r="AM26" s="4"/>
      </tp>
      <tp t="s">
        <v>#N/A N/A</v>
        <stp/>
        <stp>BDH|5568480386940082351</stp>
        <tr r="V22" s="4"/>
      </tp>
      <tp t="s">
        <v>#N/A N/A</v>
        <stp/>
        <stp>BDH|8924539280648297774</stp>
        <tr r="AC10" s="2"/>
      </tp>
      <tp t="s">
        <v>#N/A N/A</v>
        <stp/>
        <stp>BDH|2380920575075884334</stp>
        <tr r="R14" s="4"/>
      </tp>
      <tp t="s">
        <v>#N/A N/A</v>
        <stp/>
        <stp>BDH|9086734806335938130</stp>
        <tr r="AL19" s="2"/>
      </tp>
      <tp t="s">
        <v>#N/A N/A</v>
        <stp/>
        <stp>BDH|7498998316761153463</stp>
        <tr r="P19" s="2"/>
      </tp>
      <tp t="s">
        <v>#N/A N/A</v>
        <stp/>
        <stp>BDH|8240580292439555711</stp>
        <tr r="O21" s="4"/>
      </tp>
      <tp t="s">
        <v>#N/A N/A</v>
        <stp/>
        <stp>BDH|4914723197622937291</stp>
        <tr r="Q26" s="2"/>
      </tp>
      <tp t="s">
        <v>#N/A N/A</v>
        <stp/>
        <stp>BDH|5333230227476832921</stp>
        <tr r="AL7" s="2"/>
      </tp>
      <tp t="s">
        <v>#N/A N/A</v>
        <stp/>
        <stp>BDH|2827075354565743813</stp>
        <tr r="AI19" s="2"/>
      </tp>
      <tp t="s">
        <v>#N/A N/A</v>
        <stp/>
        <stp>BDH|2283571428569825687</stp>
        <tr r="P21" s="2"/>
      </tp>
      <tp t="s">
        <v>#N/A N/A</v>
        <stp/>
        <stp>BDH|1289946525363103305</stp>
        <tr r="T21" s="2"/>
      </tp>
      <tp t="s">
        <v>#N/A N/A</v>
        <stp/>
        <stp>BDH|7355977651390284152</stp>
        <tr r="Z9" s="4"/>
      </tp>
      <tp t="s">
        <v>#N/A N/A</v>
        <stp/>
        <stp>BDH|1700470857043355968</stp>
        <tr r="X13" s="4"/>
      </tp>
      <tp t="s">
        <v>#N/A N/A</v>
        <stp/>
        <stp>BDH|4015823400423325524</stp>
        <tr r="C25" s="4"/>
      </tp>
      <tp t="s">
        <v>#N/A N/A</v>
        <stp/>
        <stp>BDH|3650171612960436949</stp>
        <tr r="AH6" s="4"/>
      </tp>
      <tp t="s">
        <v>#N/A N/A</v>
        <stp/>
        <stp>BDH|1656932791978108369</stp>
        <tr r="AO26" s="2"/>
      </tp>
      <tp t="s">
        <v>#N/A N/A</v>
        <stp/>
        <stp>BDH|2164946698978607084</stp>
        <tr r="AH24" s="4"/>
      </tp>
      <tp t="s">
        <v>#N/A N/A</v>
        <stp/>
        <stp>BDP|4031811306441141766</stp>
        <tr r="K10" s="3"/>
      </tp>
      <tp t="s">
        <v>#N/A N/A</v>
        <stp/>
        <stp>BDH|9874312859175915095</stp>
        <tr r="S8" s="2"/>
      </tp>
      <tp t="s">
        <v>#N/A N/A</v>
        <stp/>
        <stp>BDH|2357474707888256411</stp>
        <tr r="K9" s="2"/>
      </tp>
      <tp t="s">
        <v>#N/A N/A</v>
        <stp/>
        <stp>BDH|6254922466252297140</stp>
        <tr r="M20" s="2"/>
      </tp>
      <tp t="s">
        <v>#N/A N/A</v>
        <stp/>
        <stp>BDH|4941685896946372741</stp>
        <tr r="I19" s="2"/>
      </tp>
      <tp t="s">
        <v>#N/A N/A</v>
        <stp/>
        <stp>BDP|4083175800306234944</stp>
        <tr r="X16" s="3"/>
      </tp>
      <tp t="s">
        <v>#N/A N/A</v>
        <stp/>
        <stp>BDP|2735914376600077619</stp>
        <tr r="P17" s="3"/>
      </tp>
      <tp t="s">
        <v>#N/A N/A</v>
        <stp/>
        <stp>BDH|6643674101198450257</stp>
        <tr r="I10" s="2"/>
      </tp>
      <tp t="s">
        <v>#N/A N/A</v>
        <stp/>
        <stp>BDH|2207655666151349938</stp>
        <tr r="AP13" s="4"/>
      </tp>
      <tp t="s">
        <v>#N/A N/A</v>
        <stp/>
        <stp>BDH|2815726689551287607</stp>
        <tr r="AG19" s="2"/>
      </tp>
      <tp t="s">
        <v>#N/A N/A</v>
        <stp/>
        <stp>BDH|2435616931534015927</stp>
        <tr r="W9" s="2"/>
      </tp>
      <tp t="s">
        <v>#N/A N/A</v>
        <stp/>
        <stp>BDH|9512660824560998780</stp>
        <tr r="AF25" s="4"/>
      </tp>
      <tp t="s">
        <v>#N/A N/A</v>
        <stp/>
        <stp>BDH|2864570814285523989</stp>
        <tr r="D13" s="2"/>
      </tp>
      <tp t="s">
        <v>#N/A N/A</v>
        <stp/>
        <stp>BDH|6769093657951959866</stp>
        <tr r="AN8" s="2"/>
      </tp>
      <tp t="s">
        <v>#N/A N/A</v>
        <stp/>
        <stp>BDH|4784076337238965590</stp>
        <tr r="V9" s="2"/>
      </tp>
      <tp t="s">
        <v>#N/A N/A</v>
        <stp/>
        <stp>BDH|5041716696980218112</stp>
        <tr r="T17" s="2"/>
      </tp>
      <tp t="s">
        <v>#N/A N/A</v>
        <stp/>
        <stp>BDH|5348646293347381729</stp>
        <tr r="L16" s="4"/>
      </tp>
    </main>
    <main first="bofaddin.rtdserver">
      <tp t="s">
        <v>#N/A N/A</v>
        <stp/>
        <stp>BDH|5567788174916401870</stp>
        <tr r="C8" s="2"/>
      </tp>
      <tp t="s">
        <v>#N/A N/A</v>
        <stp/>
        <stp>BDH|3717503893832774696</stp>
        <tr r="P26" s="2"/>
      </tp>
      <tp t="s">
        <v>#N/A N/A</v>
        <stp/>
        <stp>BDH|8692229461263824461</stp>
        <tr r="AD8" s="4"/>
      </tp>
      <tp t="s">
        <v>#N/A N/A</v>
        <stp/>
        <stp>BDH|6622029101239696489</stp>
        <tr r="Q21" s="2"/>
      </tp>
      <tp t="s">
        <v>#N/A N/A</v>
        <stp/>
        <stp>BDH|4615890664012655351</stp>
        <tr r="AA8" s="2"/>
      </tp>
      <tp t="s">
        <v>#N/A N/A</v>
        <stp/>
        <stp>BDH|7851867023302664424</stp>
        <tr r="C14" s="2"/>
      </tp>
      <tp t="s">
        <v>#N/A N/A</v>
        <stp/>
        <stp>BDP|8859819673999590504</stp>
        <tr r="D12" s="3"/>
      </tp>
      <tp t="s">
        <v>#N/A N/A</v>
        <stp/>
        <stp>BDH|7265115999917668339</stp>
        <tr r="C17" s="2"/>
      </tp>
      <tp t="s">
        <v>#N/A N/A</v>
        <stp/>
        <stp>BDP|6512256386934981338</stp>
        <tr r="J9" s="3"/>
      </tp>
      <tp t="s">
        <v>#N/A N/A</v>
        <stp/>
        <stp>BDH|7622448704821346995</stp>
        <tr r="Q17" s="2"/>
      </tp>
      <tp t="s">
        <v>#N/A N/A</v>
        <stp/>
        <stp>BDH|1012863365387967363</stp>
        <tr r="I14" s="2"/>
      </tp>
      <tp t="s">
        <v>#N/A N/A</v>
        <stp/>
        <stp>BDP|8238129811736851543</stp>
        <tr r="AF12" s="3"/>
      </tp>
      <tp t="s">
        <v>#N/A N/A</v>
        <stp/>
        <stp>BDH|8790114877965459080</stp>
        <tr r="P7" s="2"/>
      </tp>
      <tp t="s">
        <v>#N/A N/A</v>
        <stp/>
        <stp>BDH|4427654255859098594</stp>
        <tr r="N18" s="2"/>
      </tp>
      <tp t="s">
        <v>#N/A N/A</v>
        <stp/>
        <stp>BDH|1802957566294331154</stp>
        <tr r="AD13" s="2"/>
      </tp>
      <tp t="s">
        <v>#N/A N/A</v>
        <stp/>
        <stp>BDH|4228852848454503770</stp>
        <tr r="K10" s="4"/>
      </tp>
      <tp t="s">
        <v>#N/A N/A</v>
        <stp/>
        <stp>BDH|6302587040614354853</stp>
        <tr r="AJ14" s="4"/>
      </tp>
      <tp t="s">
        <v>#N/A N/A</v>
        <stp/>
        <stp>BDP|2427844254621113578</stp>
        <tr r="F12" s="3"/>
      </tp>
      <tp t="s">
        <v>#N/A N/A</v>
        <stp/>
        <stp>BDP|2307248612002249858</stp>
        <tr r="O17" s="3"/>
      </tp>
      <tp t="s">
        <v>#N/A N/A</v>
        <stp/>
        <stp>BDH|8328212717189007976</stp>
        <tr r="G26" s="2"/>
      </tp>
      <tp t="s">
        <v>#N/A N/A</v>
        <stp/>
        <stp>BDH|9062614732587293037</stp>
        <tr r="L25" s="4"/>
      </tp>
      <tp t="s">
        <v>#N/A N/A</v>
        <stp/>
        <stp>BDH|8340416318524999217</stp>
        <tr r="AJ17" s="2"/>
      </tp>
      <tp t="s">
        <v>#N/A N/A</v>
        <stp/>
        <stp>BDP|1530803112621094241</stp>
        <tr r="AO16" s="3"/>
      </tp>
      <tp t="s">
        <v>#N/A N/A</v>
        <stp/>
        <stp>BDH|2174842303753065254</stp>
        <tr r="O17" s="4"/>
      </tp>
      <tp t="s">
        <v>#N/A N/A</v>
        <stp/>
        <stp>BDH|6593386298974511333</stp>
        <tr r="D6" s="4"/>
      </tp>
      <tp t="s">
        <v>#N/A N/A</v>
        <stp/>
        <stp>BDH|8287878537050390821</stp>
        <tr r="D13" s="4"/>
      </tp>
      <tp t="s">
        <v>#N/A N/A</v>
        <stp/>
        <stp>BDP|1198208897369685807</stp>
        <tr r="AK16" s="3"/>
      </tp>
      <tp t="s">
        <v>#N/A N/A</v>
        <stp/>
        <stp>BDH|8491482637015931128</stp>
        <tr r="AB13" s="2"/>
      </tp>
      <tp t="s">
        <v>#N/A N/A</v>
        <stp/>
        <stp>BDH|1053982857315660397</stp>
        <tr r="AM12" s="4"/>
      </tp>
      <tp t="s">
        <v>#N/A N/A</v>
        <stp/>
        <stp>BDH|9067819879268007586</stp>
        <tr r="V16" s="4"/>
      </tp>
      <tp t="s">
        <v>#N/A N/A</v>
        <stp/>
        <stp>BDP|2697562497386582335</stp>
        <tr r="AF13" s="3"/>
      </tp>
      <tp t="s">
        <v>#N/A N/A</v>
        <stp/>
        <stp>BDH|5272550388895882662</stp>
        <tr r="L16" s="2"/>
      </tp>
      <tp t="s">
        <v>#N/A N/A</v>
        <stp/>
        <stp>BDH|8347560800364328278</stp>
        <tr r="Z14" s="2"/>
      </tp>
      <tp t="s">
        <v>#N/A N/A</v>
        <stp/>
        <stp>BDP|9046858252919604672</stp>
        <tr r="I17" s="3"/>
      </tp>
      <tp t="s">
        <v>#N/A N/A</v>
        <stp/>
        <stp>BDH|6443530430969682270</stp>
        <tr r="AE17" s="4"/>
      </tp>
      <tp t="s">
        <v>#N/A N/A</v>
        <stp/>
        <stp>BDH|2317625497327928191</stp>
        <tr r="AP12" s="4"/>
      </tp>
      <tp t="s">
        <v>#N/A N/A</v>
        <stp/>
        <stp>BDH|1334642144580587805</stp>
        <tr r="N13" s="2"/>
      </tp>
      <tp t="s">
        <v>#N/A N/A</v>
        <stp/>
        <stp>BDH|8726885522879240088</stp>
        <tr r="AP24" s="4"/>
      </tp>
      <tp t="s">
        <v>#N/A N/A</v>
        <stp/>
        <stp>BDH|7273481583163608381</stp>
        <tr r="O20" s="4"/>
      </tp>
      <tp t="s">
        <v>#N/A N/A</v>
        <stp/>
        <stp>BDH|8135678745814189551</stp>
        <tr r="V14" s="2"/>
      </tp>
      <tp t="s">
        <v>#N/A N/A</v>
        <stp/>
        <stp>BDH|1978955968007514253</stp>
        <tr r="AC9" s="2"/>
      </tp>
      <tp t="s">
        <v>#N/A N/A</v>
        <stp/>
        <stp>BDH|2619929156471241448</stp>
        <tr r="X24" s="4"/>
      </tp>
      <tp t="s">
        <v>#N/A N/A</v>
        <stp/>
        <stp>BDH|5595456516338201311</stp>
        <tr r="AE7" s="2"/>
      </tp>
      <tp t="s">
        <v>#N/A N/A</v>
        <stp/>
        <stp>BDP|5228512464537933542</stp>
        <tr r="D9" s="3"/>
      </tp>
      <tp t="s">
        <v>#N/A N/A</v>
        <stp/>
        <stp>BDH|4286142532505761799</stp>
        <tr r="Y18" s="4"/>
      </tp>
      <tp t="s">
        <v>#N/A N/A</v>
        <stp/>
        <stp>BDH|1723923425897292991</stp>
        <tr r="AP14" s="2"/>
      </tp>
      <tp t="s">
        <v>#N/A N/A</v>
        <stp/>
        <stp>BDH|2331439919661741256</stp>
        <tr r="V8" s="4"/>
      </tp>
      <tp t="s">
        <v>#N/A N/A</v>
        <stp/>
        <stp>BDH|4068432519775011021</stp>
        <tr r="AF24" s="4"/>
      </tp>
      <tp t="s">
        <v>#N/A N/A</v>
        <stp/>
        <stp>BDH|4639657913905071287</stp>
        <tr r="C7" s="4"/>
      </tp>
      <tp t="s">
        <v>#N/A N/A</v>
        <stp/>
        <stp>BDH|2196171978317745709</stp>
        <tr r="C18" s="2"/>
      </tp>
      <tp t="s">
        <v>#N/A N/A</v>
        <stp/>
        <stp>BDH|9568086954681789975</stp>
        <tr r="AF12" s="4"/>
      </tp>
      <tp t="s">
        <v>#N/A N/A</v>
        <stp/>
        <stp>BDH|3993225365746577527</stp>
        <tr r="AP10" s="2"/>
      </tp>
      <tp t="s">
        <v>#N/A N/A</v>
        <stp/>
        <stp>BDH|5463726245472294083</stp>
        <tr r="Q16" s="4"/>
      </tp>
      <tp t="s">
        <v>#N/A N/A</v>
        <stp/>
        <stp>BDH|6328440360630059095</stp>
        <tr r="U20" s="2"/>
      </tp>
      <tp t="s">
        <v>#N/A N/A</v>
        <stp/>
        <stp>BDH|3174683805011543074</stp>
        <tr r="R20" s="2"/>
      </tp>
      <tp t="s">
        <v>#N/A N/A</v>
        <stp/>
        <stp>BDH|6209107934698136894</stp>
        <tr r="W8" s="4"/>
      </tp>
      <tp t="s">
        <v>#N/A N/A</v>
        <stp/>
        <stp>BDH|4622535841913210285</stp>
        <tr r="L7" s="4"/>
      </tp>
      <tp t="s">
        <v>#N/A N/A</v>
        <stp/>
        <stp>BDH|2711111058640099202</stp>
        <tr r="AI14" s="2"/>
      </tp>
      <tp t="s">
        <v>#N/A N/A</v>
        <stp/>
        <stp>BDH|5564193030077034437</stp>
        <tr r="AP6" s="4"/>
      </tp>
      <tp t="s">
        <v>#N/A N/A</v>
        <stp/>
        <stp>BDH|6494971540809563694</stp>
        <tr r="P24" s="4"/>
      </tp>
      <tp t="s">
        <v>#N/A N/A</v>
        <stp/>
        <stp>BDH|6102389702347795636</stp>
        <tr r="Z19" s="2"/>
      </tp>
      <tp t="s">
        <v>#N/A N/A</v>
        <stp/>
        <stp>BDH|2482686661884426261</stp>
        <tr r="AF19" s="2"/>
      </tp>
      <tp t="s">
        <v>#N/A N/A</v>
        <stp/>
        <stp>BDH|1262416769540590704</stp>
        <tr r="AC13" s="2"/>
      </tp>
      <tp t="s">
        <v>#N/A N/A</v>
        <stp/>
        <stp>BDH|6343552718320541673</stp>
        <tr r="O10" s="2"/>
      </tp>
      <tp t="s">
        <v>#N/A N/A</v>
        <stp/>
        <stp>BDH|4882540144878732937</stp>
        <tr r="T19" s="2"/>
      </tp>
      <tp t="s">
        <v>#N/A N/A</v>
        <stp/>
        <stp>BDH|6290202128911151364</stp>
        <tr r="G7" s="4"/>
      </tp>
      <tp t="s">
        <v>#N/A N/A</v>
        <stp/>
        <stp>BDH|1366677044274525385</stp>
        <tr r="Q20" s="2"/>
      </tp>
      <tp t="s">
        <v>#N/A N/A</v>
        <stp/>
        <stp>BDH|6977064653900822791</stp>
        <tr r="AA16" s="2"/>
      </tp>
      <tp t="s">
        <v>#N/A N/A</v>
        <stp/>
        <stp>BDP|4945315039993202315</stp>
        <tr r="AD16" s="3"/>
      </tp>
      <tp t="s">
        <v>#N/A N/A</v>
        <stp/>
        <stp>BDH|4371024201895193530</stp>
        <tr r="AL18" s="4"/>
      </tp>
      <tp t="s">
        <v>#N/A N/A</v>
        <stp/>
        <stp>BDH|4487712430054355046</stp>
        <tr r="U19" s="2"/>
      </tp>
      <tp t="s">
        <v>#N/A N/A</v>
        <stp/>
        <stp>BDH|6384814690184297729</stp>
        <tr r="AH19" s="2"/>
      </tp>
      <tp t="s">
        <v>#N/A N/A</v>
        <stp/>
        <stp>BDH|9782852177114488629</stp>
        <tr r="AH18" s="4"/>
      </tp>
      <tp t="s">
        <v>#N/A N/A</v>
        <stp/>
        <stp>BDH|7188023540124578352</stp>
        <tr r="H6" s="4"/>
      </tp>
      <tp t="s">
        <v>#N/A N/A</v>
        <stp/>
        <stp>BDP|7181228122063455051</stp>
        <tr r="U9" s="3"/>
      </tp>
      <tp t="s">
        <v>#N/A N/A</v>
        <stp/>
        <stp>BDP|7064790199615721875</stp>
        <tr r="AE10" s="3"/>
      </tp>
      <tp t="s">
        <v>#N/A N/A</v>
        <stp/>
        <stp>BDP|1288756805284571661</stp>
        <tr r="AP9" s="3"/>
      </tp>
      <tp t="s">
        <v>#N/A N/A</v>
        <stp/>
        <stp>BDH|1784705952734067340</stp>
        <tr r="O9" s="4"/>
      </tp>
      <tp t="s">
        <v>#N/A N/A</v>
        <stp/>
        <stp>BDP|9012923526203007529</stp>
        <tr r="L13" s="3"/>
      </tp>
      <tp t="s">
        <v>#N/A N/A</v>
        <stp/>
        <stp>BDH|4787122971162389412</stp>
        <tr r="V14" s="4"/>
      </tp>
      <tp t="s">
        <v>#N/A N/A</v>
        <stp/>
        <stp>BDH|3834488861234629119</stp>
        <tr r="AD12" s="4"/>
      </tp>
      <tp t="s">
        <v>#N/A N/A</v>
        <stp/>
        <stp>BDH|1666530080909496174</stp>
        <tr r="E22" s="4"/>
      </tp>
      <tp t="s">
        <v>#N/A N/A</v>
        <stp/>
        <stp>BDH|2512244276980408357</stp>
        <tr r="N17" s="2"/>
      </tp>
      <tp t="s">
        <v>#N/A N/A</v>
        <stp/>
        <stp>BDH|6048876732520627945</stp>
        <tr r="E7" s="2"/>
      </tp>
      <tp t="s">
        <v>#N/A N/A</v>
        <stp/>
        <stp>BDH|3678200434383079554</stp>
        <tr r="Z26" s="2"/>
      </tp>
      <tp t="s">
        <v>#N/A N/A</v>
        <stp/>
        <stp>BDH|6638230473633386425</stp>
        <tr r="Q16" s="2"/>
      </tp>
      <tp t="s">
        <v>#N/A N/A</v>
        <stp/>
        <stp>BDH|7159003967461143408</stp>
        <tr r="AE6" s="4"/>
      </tp>
      <tp t="s">
        <v>#N/A N/A</v>
        <stp/>
        <stp>BDH|4746129694149748123</stp>
        <tr r="S17" s="2"/>
      </tp>
      <tp t="s">
        <v>#N/A N/A</v>
        <stp/>
        <stp>BDP|1958890722328759700</stp>
        <tr r="J17" s="3"/>
      </tp>
      <tp t="s">
        <v>#N/A N/A</v>
        <stp/>
        <stp>BDP|1611251359174749680</stp>
        <tr r="I10" s="3"/>
      </tp>
      <tp t="s">
        <v>#N/A N/A</v>
        <stp/>
        <stp>BDP|9403973020201215746</stp>
        <tr r="C12" s="3"/>
      </tp>
      <tp t="s">
        <v>#N/A N/A</v>
        <stp/>
        <stp>BDH|5510761056170708370</stp>
        <tr r="K7" s="2"/>
      </tp>
      <tp t="s">
        <v>#N/A N/A</v>
        <stp/>
        <stp>BDH|1171772490299341201</stp>
        <tr r="T9" s="2"/>
      </tp>
      <tp t="s">
        <v>#N/A N/A</v>
        <stp/>
        <stp>BDH|6105671724525450338</stp>
        <tr r="AC14" s="2"/>
      </tp>
      <tp t="s">
        <v>#N/A N/A</v>
        <stp/>
        <stp>BDH|4343268611622858193</stp>
        <tr r="AI12" s="4"/>
      </tp>
      <tp t="s">
        <v>#N/A N/A</v>
        <stp/>
        <stp>BDH|2540443666437144339</stp>
        <tr r="G13" s="2"/>
      </tp>
      <tp t="s">
        <v>#N/A N/A</v>
        <stp/>
        <stp>BDH|7948892420461805929</stp>
        <tr r="AH9" s="2"/>
      </tp>
      <tp t="s">
        <v>#N/A N/A</v>
        <stp/>
        <stp>BDP|8668945958898971985</stp>
        <tr r="AJ10" s="3"/>
      </tp>
      <tp t="s">
        <v>#N/A N/A</v>
        <stp/>
        <stp>BDP|6304378772294401392</stp>
        <tr r="D17" s="3"/>
      </tp>
      <tp t="s">
        <v>#N/A N/A</v>
        <stp/>
        <stp>BDP|5464597358107737795</stp>
        <tr r="P16" s="3"/>
      </tp>
      <tp t="s">
        <v>#N/A N/A</v>
        <stp/>
        <stp>BDH|5162726090458030682</stp>
        <tr r="AE18" s="4"/>
      </tp>
      <tp t="s">
        <v>#N/A N/A</v>
        <stp/>
        <stp>BDH|8386622149399572656</stp>
        <tr r="O14" s="4"/>
      </tp>
      <tp t="s">
        <v>#N/A N/A</v>
        <stp/>
        <stp>BDP|3392289848744941432</stp>
        <tr r="D16" s="3"/>
      </tp>
      <tp t="s">
        <v>#N/A N/A</v>
        <stp/>
        <stp>BDH|5948997893344892427</stp>
        <tr r="J21" s="2"/>
      </tp>
      <tp t="s">
        <v>#N/A N/A</v>
        <stp/>
        <stp>BDH|9116297203988490668</stp>
        <tr r="AP18" s="2"/>
      </tp>
      <tp t="s">
        <v>#N/A N/A</v>
        <stp/>
        <stp>BDH|6276078619676737459</stp>
        <tr r="L10" s="4"/>
      </tp>
      <tp t="s">
        <v>#N/A N/A</v>
        <stp/>
        <stp>BDH|5452285850950637748</stp>
        <tr r="U25" s="2"/>
      </tp>
      <tp t="s">
        <v>#N/A N/A</v>
        <stp/>
        <stp>BDH|2818235946232186324</stp>
        <tr r="O16" s="4"/>
      </tp>
      <tp t="s">
        <v>#N/A N/A</v>
        <stp/>
        <stp>BDH|5946666721012281624</stp>
        <tr r="AE8" s="4"/>
      </tp>
      <tp t="s">
        <v>#N/A N/A</v>
        <stp/>
        <stp>BDP|8067461853369906539</stp>
        <tr r="AK9" s="3"/>
      </tp>
      <tp t="s">
        <v>#N/A N/A</v>
        <stp/>
        <stp>BDH|7241276869054518261</stp>
        <tr r="Y13" s="4"/>
      </tp>
      <tp t="s">
        <v>#N/A N/A</v>
        <stp/>
        <stp>BDH|2585263447047948629</stp>
        <tr r="AO24" s="4"/>
      </tp>
      <tp t="s">
        <v>#N/A N/A</v>
        <stp/>
        <stp>BDH|2492119236780416580</stp>
        <tr r="K9" s="4"/>
      </tp>
      <tp t="s">
        <v>#N/A N/A</v>
        <stp/>
        <stp>BDH|8235210620865804840</stp>
        <tr r="AE25" s="2"/>
      </tp>
      <tp t="s">
        <v>#N/A N/A</v>
        <stp/>
        <stp>BDH|4942399138804573507</stp>
        <tr r="D12" s="4"/>
      </tp>
      <tp t="s">
        <v>#N/A N/A</v>
        <stp/>
        <stp>BDH|2856478008571836226</stp>
        <tr r="AI16" s="2"/>
      </tp>
      <tp t="s">
        <v>#N/A N/A</v>
        <stp/>
        <stp>BDH|6830870532968028005</stp>
        <tr r="AK26" s="2"/>
      </tp>
      <tp t="s">
        <v>#N/A N/A</v>
        <stp/>
        <stp>BDH|2145613185240459931</stp>
        <tr r="H13" s="4"/>
      </tp>
      <tp t="s">
        <v>#N/A N/A</v>
        <stp/>
        <stp>BDH|5513913281229614815</stp>
        <tr r="X17" s="4"/>
      </tp>
      <tp t="s">
        <v>#N/A N/A</v>
        <stp/>
        <stp>BDH|3421811490861239653</stp>
        <tr r="AL26" s="4"/>
      </tp>
      <tp t="s">
        <v>#N/A N/A</v>
        <stp/>
        <stp>BDH|6754668757334257467</stp>
        <tr r="AN14" s="2"/>
      </tp>
      <tp t="s">
        <v>#N/A N/A</v>
        <stp/>
        <stp>BDH|1415438162963022565</stp>
        <tr r="I24" s="2"/>
      </tp>
      <tp t="s">
        <v>#N/A N/A</v>
        <stp/>
        <stp>BDH|9841169381240832540</stp>
        <tr r="Z6" s="4"/>
      </tp>
      <tp t="s">
        <v>#N/A N/A</v>
        <stp/>
        <stp>BDH|7678228816013009210</stp>
        <tr r="AG21" s="2"/>
      </tp>
      <tp t="s">
        <v>#N/A N/A</v>
        <stp/>
        <stp>BDH|3018295141405950514</stp>
        <tr r="AF8" s="2"/>
      </tp>
      <tp t="s">
        <v>#N/A N/A</v>
        <stp/>
        <stp>BDH|6772775801965159105</stp>
        <tr r="L20" s="2"/>
      </tp>
      <tp t="s">
        <v>#N/A N/A</v>
        <stp/>
        <stp>BDH|3643484712145897659</stp>
        <tr r="G18" s="2"/>
      </tp>
      <tp t="s">
        <v>#N/A N/A</v>
        <stp/>
        <stp>BDH|3489521130833611312</stp>
        <tr r="AO6" s="4"/>
      </tp>
      <tp t="s">
        <v>#N/A N/A</v>
        <stp/>
        <stp>BDH|2286646716752204230</stp>
        <tr r="U18" s="4"/>
      </tp>
      <tp t="s">
        <v>#N/A N/A</v>
        <stp/>
        <stp>BDH|8688661873434029826</stp>
        <tr r="K8" s="4"/>
      </tp>
      <tp t="s">
        <v>#N/A N/A</v>
        <stp/>
        <stp>BDH|7678380191520896863</stp>
        <tr r="AH10" s="2"/>
      </tp>
      <tp t="s">
        <v>#N/A N/A</v>
        <stp/>
        <stp>BDH|1506939709254977976</stp>
        <tr r="F25" s="2"/>
      </tp>
      <tp t="s">
        <v>#N/A N/A</v>
        <stp/>
        <stp>BDH|3715675754585437018</stp>
        <tr r="AP24" s="2"/>
      </tp>
      <tp t="s">
        <v>#N/A N/A</v>
        <stp/>
        <stp>BDH|9693694785223318183</stp>
        <tr r="N24" s="2"/>
      </tp>
      <tp t="s">
        <v>#N/A N/A</v>
        <stp/>
        <stp>BDH|8341169346358318013</stp>
        <tr r="AK9" s="4"/>
      </tp>
      <tp t="s">
        <v>#N/A N/A</v>
        <stp/>
        <stp>BDH|4248484449967543672</stp>
        <tr r="H18" s="4"/>
      </tp>
      <tp t="s">
        <v>#N/A N/A</v>
        <stp/>
        <stp>BDH|3386860980534163255</stp>
        <tr r="AG20" s="2"/>
      </tp>
      <tp t="s">
        <v>#N/A N/A</v>
        <stp/>
        <stp>BDP|8037742922900858885</stp>
        <tr r="P12" s="3"/>
      </tp>
      <tp t="s">
        <v>#N/A N/A</v>
        <stp/>
        <stp>BDH|8348522575428124738</stp>
        <tr r="AJ24" s="2"/>
      </tp>
      <tp t="s">
        <v>#N/A N/A</v>
        <stp/>
        <stp>BDH|5704814780842364237</stp>
        <tr r="G19" s="2"/>
      </tp>
      <tp t="s">
        <v>#N/A N/A</v>
        <stp/>
        <stp>BDH|4341068470565769342</stp>
        <tr r="N6" s="4"/>
      </tp>
      <tp t="s">
        <v>#N/A N/A</v>
        <stp/>
        <stp>BDP|2258662100902782343</stp>
        <tr r="F9" s="3"/>
      </tp>
      <tp t="s">
        <v>#N/A N/A</v>
        <stp/>
        <stp>BDH|9141546133373012916</stp>
        <tr r="J10" s="4"/>
      </tp>
      <tp t="s">
        <v>#N/A N/A</v>
        <stp/>
        <stp>BDP|2365749294740115969</stp>
        <tr r="N16" s="3"/>
      </tp>
      <tp t="s">
        <v>#N/A N/A</v>
        <stp/>
        <stp>BDP|5724649938924641193</stp>
        <tr r="E9" s="3"/>
      </tp>
      <tp t="s">
        <v>#N/A N/A</v>
        <stp/>
        <stp>BDH|1659832843070208801</stp>
        <tr r="AI25" s="4"/>
      </tp>
      <tp t="s">
        <v>#N/A N/A</v>
        <stp/>
        <stp>BDP|6056210300326185755</stp>
        <tr r="AK17" s="3"/>
      </tp>
      <tp t="s">
        <v>#N/A N/A</v>
        <stp/>
        <stp>BDH|8330543767458446616</stp>
        <tr r="D24" s="2"/>
      </tp>
      <tp t="s">
        <v>#N/A N/A</v>
        <stp/>
        <stp>BDH|9349145904625361859</stp>
        <tr r="X16" s="4"/>
      </tp>
      <tp t="s">
        <v>#N/A N/A</v>
        <stp/>
        <stp>BDH|4893316168120341477</stp>
        <tr r="U7" s="2"/>
      </tp>
      <tp t="s">
        <v>#N/A N/A</v>
        <stp/>
        <stp>BDH|5616109109411309093</stp>
        <tr r="W26" s="4"/>
      </tp>
      <tp t="s">
        <v>#N/A N/A</v>
        <stp/>
        <stp>BDP|5845633447171299040</stp>
        <tr r="V16" s="3"/>
      </tp>
      <tp t="s">
        <v>#N/A N/A</v>
        <stp/>
        <stp>BDH|5577152356556419186</stp>
        <tr r="AA13" s="4"/>
      </tp>
      <tp t="s">
        <v>#N/A N/A</v>
        <stp/>
        <stp>BDH|6739076635122889172</stp>
        <tr r="F16" s="4"/>
      </tp>
      <tp t="s">
        <v>#N/A N/A</v>
        <stp/>
        <stp>BDH|3826446141750543537</stp>
        <tr r="Q19" s="2"/>
      </tp>
      <tp t="s">
        <v>#N/A N/A</v>
        <stp/>
        <stp>BDH|3364761802792940051</stp>
        <tr r="AO22" s="4"/>
      </tp>
      <tp t="s">
        <v>#N/A N/A</v>
        <stp/>
        <stp>BDH|3879591046750950453</stp>
        <tr r="M7" s="2"/>
      </tp>
      <tp t="s">
        <v>#N/A N/A</v>
        <stp/>
        <stp>BDH|2874981398583858783</stp>
        <tr r="J25" s="4"/>
      </tp>
      <tp t="s">
        <v>#N/A N/A</v>
        <stp/>
        <stp>BDH|5721482406065273232</stp>
        <tr r="S18" s="2"/>
      </tp>
      <tp t="s">
        <v>#N/A N/A</v>
        <stp/>
        <stp>BDH|9025089914829291764</stp>
        <tr r="AD14" s="4"/>
      </tp>
      <tp t="s">
        <v>#N/A N/A</v>
        <stp/>
        <stp>BDP|3740863473369357387</stp>
        <tr r="R12" s="3"/>
      </tp>
      <tp t="s">
        <v>#N/A N/A</v>
        <stp/>
        <stp>BDH|7280179044402910614</stp>
        <tr r="AC22" s="4"/>
      </tp>
      <tp t="s">
        <v>#N/A N/A</v>
        <stp/>
        <stp>BDH|6497384471240186452</stp>
        <tr r="T22" s="4"/>
      </tp>
      <tp t="s">
        <v>#N/A N/A</v>
        <stp/>
        <stp>BDH|8821559995172322021</stp>
        <tr r="AD7" s="2"/>
      </tp>
      <tp t="s">
        <v>#N/A N/A</v>
        <stp/>
        <stp>BDH|4844021578482987724</stp>
        <tr r="AC24" s="4"/>
      </tp>
      <tp t="s">
        <v>#N/A N/A</v>
        <stp/>
        <stp>BDH|7348513670097881433</stp>
        <tr r="AD25" s="2"/>
      </tp>
      <tp t="s">
        <v>#N/A N/A</v>
        <stp/>
        <stp>BDH|2996366802112387506</stp>
        <tr r="AE9" s="2"/>
      </tp>
      <tp t="s">
        <v>#N/A N/A</v>
        <stp/>
        <stp>BDH|4943359825692455135</stp>
        <tr r="AK21" s="4"/>
      </tp>
      <tp t="s">
        <v>#N/A N/A</v>
        <stp/>
        <stp>BDH|9883156240149642350</stp>
        <tr r="C18" s="4"/>
      </tp>
      <tp t="s">
        <v>#N/A N/A</v>
        <stp/>
        <stp>BDH|6163466734474884353</stp>
        <tr r="R17" s="4"/>
      </tp>
      <tp t="s">
        <v>#N/A N/A</v>
        <stp/>
        <stp>BDH|2716616978410789569</stp>
        <tr r="R10" s="4"/>
      </tp>
      <tp t="s">
        <v>#N/A N/A</v>
        <stp/>
        <stp>BDH|7991857637299486301</stp>
        <tr r="N26" s="4"/>
      </tp>
      <tp t="s">
        <v>#N/A N/A</v>
        <stp/>
        <stp>BDH|8238840619663318432</stp>
        <tr r="X20" s="2"/>
      </tp>
      <tp t="s">
        <v>#N/A N/A</v>
        <stp/>
        <stp>BDP|3955863361508621349</stp>
        <tr r="T17" s="3"/>
      </tp>
      <tp t="s">
        <v>#N/A N/A</v>
        <stp/>
        <stp>BDP|3507468927681152297</stp>
        <tr r="O16" s="3"/>
      </tp>
      <tp t="s">
        <v>#N/A N/A</v>
        <stp/>
        <stp>BDH|1762830139528004411</stp>
        <tr r="J20" s="4"/>
      </tp>
      <tp t="s">
        <v>#N/A N/A</v>
        <stp/>
        <stp>BDH|9634518942157165984</stp>
        <tr r="AC20" s="4"/>
      </tp>
      <tp t="s">
        <v>#N/A N/A</v>
        <stp/>
        <stp>BDH|8906828824127327304</stp>
        <tr r="U8" s="4"/>
      </tp>
      <tp t="s">
        <v>#N/A N/A</v>
        <stp/>
        <stp>BDP|6812223643004183258</stp>
        <tr r="T10" s="3"/>
      </tp>
      <tp t="s">
        <v>#N/A N/A</v>
        <stp/>
        <stp>BDH|4063086323445629506</stp>
        <tr r="K7" s="4"/>
      </tp>
      <tp t="s">
        <v>#N/A N/A</v>
        <stp/>
        <stp>BDH|3492000919675864186</stp>
        <tr r="AH10" s="4"/>
      </tp>
      <tp t="s">
        <v>#N/A N/A</v>
        <stp/>
        <stp>BDH|6646767300691125626</stp>
        <tr r="V26" s="2"/>
      </tp>
      <tp t="s">
        <v>#N/A N/A</v>
        <stp/>
        <stp>BDH|2372424872266656160</stp>
        <tr r="AN8" s="4"/>
      </tp>
      <tp t="s">
        <v>#N/A N/A</v>
        <stp/>
        <stp>BDH|9595811050290144266</stp>
        <tr r="AJ18" s="4"/>
      </tp>
      <tp t="s">
        <v>#N/A N/A</v>
        <stp/>
        <stp>BDH|1428548183548462247</stp>
        <tr r="T10" s="4"/>
      </tp>
      <tp t="s">
        <v>#N/A N/A</v>
        <stp/>
        <stp>BDH|7322478905686893395</stp>
        <tr r="J21" s="4"/>
      </tp>
      <tp t="s">
        <v>#N/A N/A</v>
        <stp/>
        <stp>BDH|3726654806496318571</stp>
        <tr r="AB9" s="2"/>
      </tp>
      <tp t="s">
        <v>#N/A N/A</v>
        <stp/>
        <stp>BDH|2424617919032841146</stp>
        <tr r="Z18" s="4"/>
      </tp>
      <tp t="s">
        <v>#N/A N/A</v>
        <stp/>
        <stp>BDP|5092532271079095830</stp>
        <tr r="AE9" s="3"/>
      </tp>
      <tp t="s">
        <v>#N/A N/A</v>
        <stp/>
        <stp>BDP|2544142171250840297</stp>
        <tr r="AC9" s="3"/>
      </tp>
      <tp t="s">
        <v>#N/A N/A</v>
        <stp/>
        <stp>BDP|3898233547416809558</stp>
        <tr r="K12" s="3"/>
      </tp>
      <tp t="s">
        <v>#N/A N/A</v>
        <stp/>
        <stp>BDP|2229158142141752038</stp>
        <tr r="AI17" s="3"/>
      </tp>
      <tp t="s">
        <v>#N/A N/A</v>
        <stp/>
        <stp>BDH|3368958016795218833</stp>
        <tr r="O26" s="2"/>
      </tp>
      <tp t="s">
        <v>#N/A N/A</v>
        <stp/>
        <stp>BDH|4296365043595898094</stp>
        <tr r="D26" s="2"/>
      </tp>
      <tp t="s">
        <v>#N/A N/A</v>
        <stp/>
        <stp>BDH|5465944826958764079</stp>
        <tr r="F20" s="4"/>
      </tp>
      <tp t="s">
        <v>#N/A N/A</v>
        <stp/>
        <stp>BDH|6724320770837050337</stp>
        <tr r="U10" s="2"/>
      </tp>
      <tp t="s">
        <v>#N/A N/A</v>
        <stp/>
        <stp>BDH|2023404646370930499</stp>
        <tr r="AN18" s="4"/>
      </tp>
      <tp t="s">
        <v>#N/A N/A</v>
        <stp/>
        <stp>BDH|8483604870056703953</stp>
        <tr r="U13" s="2"/>
      </tp>
      <tp t="s">
        <v>#N/A N/A</v>
        <stp/>
        <stp>BDP|6764359694418480259</stp>
        <tr r="S13" s="3"/>
      </tp>
      <tp t="s">
        <v>#N/A N/A</v>
        <stp/>
        <stp>BDP|4410491067174467496</stp>
        <tr r="H12" s="3"/>
      </tp>
      <tp t="s">
        <v>#N/A N/A</v>
        <stp/>
        <stp>BDH|2465465652782183768</stp>
        <tr r="L13" s="2"/>
      </tp>
      <tp t="s">
        <v>#N/A N/A</v>
        <stp/>
        <stp>BDH|6123196761747979070</stp>
        <tr r="AA16" s="4"/>
      </tp>
      <tp t="s">
        <v>#N/A N/A</v>
        <stp/>
        <stp>BDH|6665727550025208716</stp>
        <tr r="H17" s="2"/>
      </tp>
      <tp t="s">
        <v>#N/A N/A</v>
        <stp/>
        <stp>BDH|7325174947551290566</stp>
        <tr r="U12" s="4"/>
      </tp>
      <tp t="s">
        <v>#N/A N/A</v>
        <stp/>
        <stp>BDP|7988156415814424598</stp>
        <tr r="E16" s="3"/>
      </tp>
      <tp t="s">
        <v>#N/A N/A</v>
        <stp/>
        <stp>BDH|9273800004142301510</stp>
        <tr r="F21" s="4"/>
      </tp>
      <tp t="s">
        <v>#N/A N/A</v>
        <stp/>
        <stp>BDP|2793400518574376593</stp>
        <tr r="AB17" s="3"/>
      </tp>
      <tp t="s">
        <v>#N/A N/A</v>
        <stp/>
        <stp>BDH|7960790118155891257</stp>
        <tr r="AB24" s="4"/>
      </tp>
      <tp t="s">
        <v>#N/A N/A</v>
        <stp/>
        <stp>BDH|4169442267376564628</stp>
        <tr r="E10" s="2"/>
      </tp>
      <tp t="s">
        <v>#N/A N/A</v>
        <stp/>
        <stp>BDH|4881094076254631143</stp>
        <tr r="AE14" s="2"/>
      </tp>
      <tp t="s">
        <v>#N/A N/A</v>
        <stp/>
        <stp>BDP|8378782620768122219</stp>
        <tr r="W17" s="3"/>
      </tp>
      <tp t="s">
        <v>#N/A N/A</v>
        <stp/>
        <stp>BDH|1808308390895107923</stp>
        <tr r="AL7" s="4"/>
      </tp>
      <tp t="s">
        <v>#N/A N/A</v>
        <stp/>
        <stp>BDH|8979217593961092502</stp>
        <tr r="W17" s="2"/>
      </tp>
      <tp t="s">
        <v>#N/A N/A</v>
        <stp/>
        <stp>BDH|5755761410920914439</stp>
        <tr r="AM17" s="2"/>
      </tp>
      <tp t="s">
        <v>#N/A N/A</v>
        <stp/>
        <stp>BDH|2304316248780774269</stp>
        <tr r="I21" s="2"/>
      </tp>
      <tp t="s">
        <v>#N/A N/A</v>
        <stp/>
        <stp>BDP|6622381943586232074</stp>
        <tr r="D13" s="3"/>
      </tp>
      <tp t="s">
        <v>#N/A N/A</v>
        <stp/>
        <stp>BDH|1008093177661768012</stp>
        <tr r="O17" s="2"/>
      </tp>
      <tp t="s">
        <v>#N/A N/A</v>
        <stp/>
        <stp>BDH|1397164870435481594</stp>
        <tr r="D22" s="4"/>
      </tp>
      <tp t="s">
        <v>#N/A N/A</v>
        <stp/>
        <stp>BDH|7251780730273748758</stp>
        <tr r="R19" s="2"/>
      </tp>
      <tp t="s">
        <v>#N/A N/A</v>
        <stp/>
        <stp>BDH|4158346840926523296</stp>
        <tr r="J26" s="2"/>
      </tp>
    </main>
    <main first="bofaddin.rtdserver">
      <tp t="s">
        <v>#N/A N/A</v>
        <stp/>
        <stp>BDP|8379868425125785095</stp>
        <tr r="AI10" s="3"/>
      </tp>
      <tp t="s">
        <v>#N/A N/A</v>
        <stp/>
        <stp>BDP|6420113453942199794</stp>
        <tr r="V17" s="3"/>
      </tp>
      <tp t="s">
        <v>#N/A N/A</v>
        <stp/>
        <stp>BDH|3212756498593992989</stp>
        <tr r="AI14" s="4"/>
      </tp>
      <tp t="s">
        <v>#N/A N/A</v>
        <stp/>
        <stp>BDH|9803235926808608659</stp>
        <tr r="Q14" s="2"/>
      </tp>
      <tp t="s">
        <v>#N/A N/A</v>
        <stp/>
        <stp>BDH|7927921869937484884</stp>
        <tr r="Q10" s="2"/>
      </tp>
      <tp t="s">
        <v>#N/A N/A</v>
        <stp/>
        <stp>BDH|3289575569916099120</stp>
        <tr r="X20" s="4"/>
      </tp>
      <tp t="s">
        <v>#N/A N/A</v>
        <stp/>
        <stp>BDH|7285847489730273032</stp>
        <tr r="P20" s="2"/>
      </tp>
      <tp t="s">
        <v>#N/A N/A</v>
        <stp/>
        <stp>BDH|6753028261456268183</stp>
        <tr r="AA17" s="4"/>
      </tp>
      <tp t="s">
        <v>#N/A N/A</v>
        <stp/>
        <stp>BDP|7693152539117296577</stp>
        <tr r="AE12" s="3"/>
      </tp>
      <tp t="s">
        <v>#N/A N/A</v>
        <stp/>
        <stp>BDH|1291119684317955812</stp>
        <tr r="F8" s="2"/>
      </tp>
      <tp t="s">
        <v>#N/A N/A</v>
        <stp/>
        <stp>BDH|4588338948832917681</stp>
        <tr r="AL10" s="2"/>
      </tp>
      <tp t="s">
        <v>#N/A N/A</v>
        <stp/>
        <stp>BDH|4997252591149671143</stp>
        <tr r="AP26" s="2"/>
      </tp>
      <tp t="s">
        <v>#N/A N/A</v>
        <stp/>
        <stp>BDH|2734142549125662538</stp>
        <tr r="D18" s="2"/>
      </tp>
      <tp t="s">
        <v>#N/A N/A</v>
        <stp/>
        <stp>BDH|2107985230409276673</stp>
        <tr r="AA26" s="4"/>
      </tp>
      <tp t="s">
        <v>#N/A N/A</v>
        <stp/>
        <stp>BDH|5103387456471461571</stp>
        <tr r="AC26" s="2"/>
      </tp>
      <tp t="s">
        <v>#N/A N/A</v>
        <stp/>
        <stp>BDH|2680295980097456874</stp>
        <tr r="Z8" s="4"/>
      </tp>
      <tp t="s">
        <v>#N/A N/A</v>
        <stp/>
        <stp>BDH|1322083846493087113</stp>
        <tr r="L10" s="2"/>
      </tp>
      <tp t="s">
        <v>#N/A N/A</v>
        <stp/>
        <stp>BDH|2803434413150591012</stp>
        <tr r="AK13" s="4"/>
      </tp>
      <tp t="s">
        <v>#N/A N/A</v>
        <stp/>
        <stp>BDP|6882396115422064190</stp>
        <tr r="AP16" s="3"/>
      </tp>
      <tp t="s">
        <v>#N/A N/A</v>
        <stp/>
        <stp>BDH|5772969006888928335</stp>
        <tr r="AM25" s="4"/>
      </tp>
      <tp t="s">
        <v>#N/A N/A</v>
        <stp/>
        <stp>BDH|9923405356816021929</stp>
        <tr r="G26" s="4"/>
      </tp>
      <tp t="s">
        <v>#N/A N/A</v>
        <stp/>
        <stp>BDH|9597743009339499014</stp>
        <tr r="AH17" s="2"/>
      </tp>
      <tp t="s">
        <v>#N/A N/A</v>
        <stp/>
        <stp>BDH|1430357137165398388</stp>
        <tr r="C21" s="2"/>
      </tp>
      <tp t="s">
        <v>#N/A N/A</v>
        <stp/>
        <stp>BDH|9831856167133418333</stp>
        <tr r="P18" s="4"/>
      </tp>
      <tp t="s">
        <v>#N/A N/A</v>
        <stp/>
        <stp>BDH|7711237153201998630</stp>
        <tr r="S12" s="4"/>
      </tp>
      <tp t="s">
        <v>#N/A N/A</v>
        <stp/>
        <stp>BDH|3348130505482003770</stp>
        <tr r="P25" s="4"/>
      </tp>
      <tp t="s">
        <v>#N/A N/A</v>
        <stp/>
        <stp>BDH|9752504466569351405</stp>
        <tr r="AG8" s="2"/>
      </tp>
      <tp t="s">
        <v>#N/A N/A</v>
        <stp/>
        <stp>BDH|2980874642828768199</stp>
        <tr r="AC26" s="4"/>
      </tp>
      <tp t="s">
        <v>#N/A N/A</v>
        <stp/>
        <stp>BDH|1884872453009923272</stp>
        <tr r="U24" s="4"/>
      </tp>
      <tp t="s">
        <v>#N/A N/A</v>
        <stp/>
        <stp>BDH|3789121561891555227</stp>
        <tr r="AB8" s="4"/>
      </tp>
      <tp t="s">
        <v>#N/A N/A</v>
        <stp/>
        <stp>BDH|5005139394342274867</stp>
        <tr r="U22" s="4"/>
      </tp>
      <tp t="s">
        <v>#N/A N/A</v>
        <stp/>
        <stp>BDP|1979335428716713159</stp>
        <tr r="E17" s="3"/>
      </tp>
      <tp t="s">
        <v>#N/A N/A</v>
        <stp/>
        <stp>BDH|8674491979378560431</stp>
        <tr r="AK13" s="2"/>
      </tp>
      <tp t="s">
        <v>#N/A N/A</v>
        <stp/>
        <stp>BDP|8250290091602977624</stp>
        <tr r="V10" s="3"/>
      </tp>
      <tp t="s">
        <v>#N/A N/A</v>
        <stp/>
        <stp>BDH|6929097808440744191</stp>
        <tr r="AP13" s="2"/>
      </tp>
      <tp t="s">
        <v>#N/A N/A</v>
        <stp/>
        <stp>BDH|4873457303613888409</stp>
        <tr r="AN24" s="4"/>
      </tp>
      <tp t="s">
        <v>#N/A N/A</v>
        <stp/>
        <stp>BDP|3314735184158021335</stp>
        <tr r="AI9" s="3"/>
      </tp>
      <tp t="s">
        <v>#N/A N/A</v>
        <stp/>
        <stp>BDH|4190149836136534720</stp>
        <tr r="J16" s="2"/>
      </tp>
      <tp t="s">
        <v>#N/A N/A</v>
        <stp/>
        <stp>BDH|4717130966915785119</stp>
        <tr r="G25" s="4"/>
      </tp>
      <tp t="s">
        <v>#N/A N/A</v>
        <stp/>
        <stp>BDH|3992700227755882429</stp>
        <tr r="P13" s="2"/>
      </tp>
      <tp t="s">
        <v>#N/A N/A</v>
        <stp/>
        <stp>BDP|7186270720912100221</stp>
        <tr r="AJ16" s="3"/>
      </tp>
      <tp t="s">
        <v>#N/A N/A</v>
        <stp/>
        <stp>BDP|7874288255753144419</stp>
        <tr r="AL16" s="3"/>
      </tp>
      <tp t="s">
        <v>#N/A N/A</v>
        <stp/>
        <stp>BDH|9980684305251663978</stp>
        <tr r="O20" s="2"/>
      </tp>
      <tp t="s">
        <v>#N/A N/A</v>
        <stp/>
        <stp>BDH|3897284675855364431</stp>
        <tr r="Z13" s="2"/>
      </tp>
      <tp t="s">
        <v>#N/A N/A</v>
        <stp/>
        <stp>BDH|9328626385645250532</stp>
        <tr r="V9" s="4"/>
      </tp>
      <tp t="s">
        <v>#N/A N/A</v>
        <stp/>
        <stp>BDH|1397371366107189466</stp>
        <tr r="L22" s="4"/>
      </tp>
      <tp t="s">
        <v>#N/A N/A</v>
        <stp/>
        <stp>BDH|8302360912144683941</stp>
        <tr r="R16" s="4"/>
      </tp>
      <tp t="s">
        <v>#N/A N/A</v>
        <stp/>
        <stp>BDH|6338371850504680373</stp>
        <tr r="I9" s="4"/>
      </tp>
      <tp t="s">
        <v>#N/A N/A</v>
        <stp/>
        <stp>BDH|3212921140541080852</stp>
        <tr r="AD18" s="2"/>
      </tp>
      <tp t="s">
        <v>#N/A N/A</v>
        <stp/>
        <stp>BDH|4839526177311349742</stp>
        <tr r="O9" s="2"/>
      </tp>
      <tp t="s">
        <v>#N/A N/A</v>
        <stp/>
        <stp>BDH|6422589418351945368</stp>
        <tr r="AL20" s="2"/>
      </tp>
      <tp t="s">
        <v>#N/A N/A</v>
        <stp/>
        <stp>BDH|4914175123573709418</stp>
        <tr r="D10" s="4"/>
      </tp>
      <tp t="s">
        <v>#N/A N/A</v>
        <stp/>
        <stp>BDH|8881309076648595401</stp>
        <tr r="AG24" s="2"/>
      </tp>
      <tp t="s">
        <v>#N/A N/A</v>
        <stp/>
        <stp>BDP|1238470695729997510</stp>
        <tr r="AM12" s="3"/>
      </tp>
      <tp t="s">
        <v>#N/A N/A</v>
        <stp/>
        <stp>BDP|5207036160236924503</stp>
        <tr r="V13" s="3"/>
      </tp>
      <tp t="s">
        <v>#N/A N/A</v>
        <stp/>
        <stp>BDP|6238536725664574592</stp>
        <tr r="M13" s="3"/>
      </tp>
      <tp t="s">
        <v>#N/A N/A</v>
        <stp/>
        <stp>BDH|1959668648401797283</stp>
        <tr r="AD10" s="2"/>
      </tp>
      <tp t="s">
        <v>#N/A N/A</v>
        <stp/>
        <stp>BDH|3500440868528153907</stp>
        <tr r="AG7" s="2"/>
      </tp>
      <tp t="s">
        <v>#N/A N/A</v>
        <stp/>
        <stp>BDH|3855207539345877710</stp>
        <tr r="N25" s="4"/>
      </tp>
      <tp t="s">
        <v>#N/A N/A</v>
        <stp/>
        <stp>BDH|7048479445656277187</stp>
        <tr r="S20" s="2"/>
      </tp>
      <tp t="s">
        <v>#N/A N/A</v>
        <stp/>
        <stp>BDP|1852014040177895287</stp>
        <tr r="E12" s="3"/>
      </tp>
      <tp t="s">
        <v>#N/A N/A</v>
        <stp/>
        <stp>BDH|9774895773477327176</stp>
        <tr r="Z24" s="2"/>
      </tp>
      <tp t="s">
        <v>#N/A N/A</v>
        <stp/>
        <stp>BDH|8865662755489137237</stp>
        <tr r="AF26" s="4"/>
      </tp>
      <tp t="s">
        <v>#N/A N/A</v>
        <stp/>
        <stp>BDP|5272787914145394636</stp>
        <tr r="U13" s="3"/>
      </tp>
      <tp t="s">
        <v>#N/A N/A</v>
        <stp/>
        <stp>BDH|1067957064846699890</stp>
        <tr r="H25" s="2"/>
      </tp>
      <tp t="s">
        <v>#N/A N/A</v>
        <stp/>
        <stp>BDH|8654908423122279194</stp>
        <tr r="AK20" s="4"/>
      </tp>
      <tp t="s">
        <v>#N/A N/A</v>
        <stp/>
        <stp>BDP|8907015190785289462</stp>
        <tr r="Q10" s="3"/>
      </tp>
      <tp t="s">
        <v>#N/A N/A</v>
        <stp/>
        <stp>BDP|7140164458186146523</stp>
        <tr r="Z17" s="3"/>
      </tp>
      <tp t="s">
        <v>#N/A N/A</v>
        <stp/>
        <stp>BDH|4024170331245932332</stp>
        <tr r="AM6" s="4"/>
      </tp>
      <tp t="s">
        <v>#N/A N/A</v>
        <stp/>
        <stp>BDH|3099670281609944432</stp>
        <tr r="AF9" s="4"/>
      </tp>
      <tp t="s">
        <v>#N/A N/A</v>
        <stp/>
        <stp>BDH|7893954216619379640</stp>
        <tr r="N20" s="4"/>
      </tp>
      <tp t="s">
        <v>#N/A N/A</v>
        <stp/>
        <stp>BDP|8045687229479979551</stp>
        <tr r="K9" s="3"/>
      </tp>
      <tp t="s">
        <v>#N/A N/A</v>
        <stp/>
        <stp>BDH|8833441557461640808</stp>
        <tr r="M10" s="2"/>
      </tp>
      <tp t="s">
        <v>#N/A N/A</v>
        <stp/>
        <stp>BDP|6565760407984492528</stp>
        <tr r="G17" s="3"/>
      </tp>
      <tp t="s">
        <v>#N/A N/A</v>
        <stp/>
        <stp>BDH|2455570214781006757</stp>
        <tr r="AL20" s="4"/>
      </tp>
      <tp t="s">
        <v>#N/A N/A</v>
        <stp/>
        <stp>BDH|4680467457697645235</stp>
        <tr r="I8" s="4"/>
      </tp>
      <tp t="s">
        <v>#N/A N/A</v>
        <stp/>
        <stp>BDH|1351268922182316360</stp>
        <tr r="AD7" s="4"/>
      </tp>
      <tp t="s">
        <v>#N/A N/A</v>
        <stp/>
        <stp>BDP|8774170568718824705</stp>
        <tr r="L16" s="3"/>
      </tp>
      <tp t="s">
        <v>#N/A N/A</v>
        <stp/>
        <stp>BDH|3005437132821984583</stp>
        <tr r="AO9" s="4"/>
      </tp>
      <tp t="s">
        <v>#N/A N/A</v>
        <stp/>
        <stp>BDH|7522632213808028852</stp>
        <tr r="AC8" s="2"/>
      </tp>
      <tp t="s">
        <v>#N/A N/A</v>
        <stp/>
        <stp>BDH|3095085019314955687</stp>
        <tr r="AN21" s="2"/>
      </tp>
      <tp t="s">
        <v>#N/A N/A</v>
        <stp/>
        <stp>BDH|9361523927227298940</stp>
        <tr r="AB21" s="4"/>
      </tp>
      <tp t="s">
        <v>#N/A N/A</v>
        <stp/>
        <stp>BDH|2267286007968810849</stp>
        <tr r="V10" s="2"/>
      </tp>
      <tp t="s">
        <v>#N/A N/A</v>
        <stp/>
        <stp>BDH|4112055749733862346</stp>
        <tr r="AO12" s="4"/>
      </tp>
      <tp t="s">
        <v>#N/A N/A</v>
        <stp/>
        <stp>BDH|2722212118040903162</stp>
        <tr r="V24" s="2"/>
      </tp>
      <tp t="s">
        <v>#N/A N/A</v>
        <stp/>
        <stp>BDH|1104428235617226153</stp>
        <tr r="AB17" s="4"/>
      </tp>
      <tp t="s">
        <v>#N/A N/A</v>
        <stp/>
        <stp>BDH|6409242363493052154</stp>
        <tr r="C19" s="2"/>
      </tp>
      <tp t="s">
        <v>#N/A N/A</v>
        <stp/>
        <stp>BDH|5059377926923688714</stp>
        <tr r="U13" s="4"/>
      </tp>
      <tp t="s">
        <v>#N/A N/A</v>
        <stp/>
        <stp>BDH|2470520876040637002</stp>
        <tr r="N21" s="4"/>
      </tp>
      <tp t="s">
        <v>#N/A N/A</v>
        <stp/>
        <stp>BDH|9342310485651942388</stp>
        <tr r="L25" s="2"/>
      </tp>
      <tp t="s">
        <v>#N/A N/A</v>
        <stp/>
        <stp>BDP|1005791399328465736</stp>
        <tr r="E10" s="3"/>
      </tp>
      <tp t="s">
        <v>#N/A N/A</v>
        <stp/>
        <stp>BDH|7499825300328414754</stp>
        <tr r="AI17" s="2"/>
      </tp>
      <tp t="s">
        <v>#N/A N/A</v>
        <stp/>
        <stp>BDH|3046657754068076869</stp>
        <tr r="E9" s="2"/>
      </tp>
      <tp t="s">
        <v>#N/A N/A</v>
        <stp/>
        <stp>BDH|6852890885673348534</stp>
        <tr r="E8" s="2"/>
      </tp>
      <tp t="s">
        <v>#N/A N/A</v>
        <stp/>
        <stp>BDH|5100446231930270222</stp>
        <tr r="AK22" s="4"/>
      </tp>
      <tp t="s">
        <v>#N/A N/A</v>
        <stp/>
        <stp>BDP|8257061936328182367</stp>
        <tr r="AA13" s="3"/>
      </tp>
      <tp t="s">
        <v>#N/A N/A</v>
        <stp/>
        <stp>BDP|6179490276575911023</stp>
        <tr r="AP13" s="3"/>
      </tp>
      <tp t="s">
        <v>#N/A N/A</v>
        <stp/>
        <stp>BDH|5015783420670523083</stp>
        <tr r="X12" s="4"/>
      </tp>
      <tp t="s">
        <v>#N/A N/A</v>
        <stp/>
        <stp>BDH|1848682053670545233</stp>
        <tr r="AO19" s="2"/>
      </tp>
    </main>
    <main first="bofaddin.rtdserver">
      <tp t="s">
        <v>#N/A N/A</v>
        <stp/>
        <stp>BDH|87475901169109017</stp>
        <tr r="AO21" s="2"/>
      </tp>
      <tp t="s">
        <v>#N/A N/A</v>
        <stp/>
        <stp>BDH|9211977548836320341</stp>
        <tr r="J13" s="2"/>
      </tp>
      <tp t="s">
        <v>#N/A N/A</v>
        <stp/>
        <stp>BDH|2723762810216808323</stp>
        <tr r="AK16" s="4"/>
      </tp>
      <tp t="s">
        <v>#N/A N/A</v>
        <stp/>
        <stp>BDH|5971241139173789688</stp>
        <tr r="AP20" s="2"/>
      </tp>
      <tp t="s">
        <v>#N/A N/A</v>
        <stp/>
        <stp>BDP|3958233120435332701</stp>
        <tr r="AA16" s="3"/>
      </tp>
      <tp t="s">
        <v>#N/A N/A</v>
        <stp/>
        <stp>BDP|2460371004236654685</stp>
        <tr r="X9" s="3"/>
      </tp>
      <tp t="s">
        <v>#N/A N/A</v>
        <stp/>
        <stp>BDH|2205077711231800354</stp>
        <tr r="L21" s="2"/>
      </tp>
      <tp t="s">
        <v>#N/A N/A</v>
        <stp/>
        <stp>BDH|4338752417914040786</stp>
        <tr r="C20" s="2"/>
      </tp>
      <tp t="s">
        <v>#N/A N/A</v>
        <stp/>
        <stp>BDP|8966712798507781093</stp>
        <tr r="AG10" s="3"/>
      </tp>
      <tp t="s">
        <v>#N/A N/A</v>
        <stp/>
        <stp>BDP|5356729906560831317</stp>
        <tr r="S9" s="3"/>
      </tp>
      <tp t="s">
        <v>#N/A N/A</v>
        <stp/>
        <stp>BDH|2586382804582269259</stp>
        <tr r="AC19" s="2"/>
      </tp>
      <tp t="s">
        <v>#N/A N/A</v>
        <stp/>
        <stp>BDH|3631093744935524309</stp>
        <tr r="L18" s="2"/>
      </tp>
      <tp t="s">
        <v>#N/A N/A</v>
        <stp/>
        <stp>BDH|6773172662516934659</stp>
        <tr r="AP9" s="4"/>
      </tp>
      <tp t="s">
        <v>#N/A N/A</v>
        <stp/>
        <stp>BDP|4534743569157459338</stp>
        <tr r="AA10" s="3"/>
      </tp>
      <tp t="s">
        <v>#N/A N/A</v>
        <stp/>
        <stp>BDP|5063663536498813971</stp>
        <tr r="AC13" s="3"/>
      </tp>
      <tp t="s">
        <v>#N/A N/A</v>
        <stp/>
        <stp>BDH|2966755420602995498</stp>
        <tr r="T13" s="4"/>
      </tp>
      <tp t="s">
        <v>#N/A N/A</v>
        <stp/>
        <stp>BDH|9011485152668490123</stp>
        <tr r="AE21" s="2"/>
      </tp>
      <tp t="s">
        <v>#N/A N/A</v>
        <stp/>
        <stp>BDH|2116543258212185100</stp>
        <tr r="T26" s="2"/>
      </tp>
      <tp t="s">
        <v>#N/A N/A</v>
        <stp/>
        <stp>BDH|3649571155393841108</stp>
        <tr r="T24" s="4"/>
      </tp>
      <tp t="s">
        <v>#N/A N/A</v>
        <stp/>
        <stp>BDH|6917941105898310674</stp>
        <tr r="AB22" s="4"/>
      </tp>
      <tp t="s">
        <v>#N/A N/A</v>
        <stp/>
        <stp>BDH|2500077970836764295</stp>
        <tr r="AP19" s="2"/>
      </tp>
      <tp t="s">
        <v>#N/A N/A</v>
        <stp/>
        <stp>BDH|7315682736320484348</stp>
        <tr r="AL14" s="2"/>
      </tp>
      <tp t="s">
        <v>#N/A N/A</v>
        <stp/>
        <stp>BDH|5929965213535992989</stp>
        <tr r="AH22" s="4"/>
      </tp>
      <tp t="s">
        <v>#N/A N/A</v>
        <stp/>
        <stp>BDH|3064887009129862340</stp>
        <tr r="F9" s="2"/>
      </tp>
      <tp t="s">
        <v>#N/A N/A</v>
        <stp/>
        <stp>BDH|1793654747625042787</stp>
        <tr r="Y7" s="4"/>
      </tp>
      <tp t="s">
        <v>#N/A N/A</v>
        <stp/>
        <stp>BDH|2139210894630040864</stp>
        <tr r="Z9" s="2"/>
      </tp>
      <tp t="s">
        <v>#N/A N/A</v>
        <stp/>
        <stp>BDH|2274984184534594694</stp>
        <tr r="N16" s="2"/>
      </tp>
      <tp t="s">
        <v>#N/A N/A</v>
        <stp/>
        <stp>BDH|3428391061092867568</stp>
        <tr r="N22" s="4"/>
      </tp>
    </main>
    <main first="bofaddin.rtdserver">
      <tp t="s">
        <v>#N/A N/A</v>
        <stp/>
        <stp>BDP|2755612718620479492</stp>
        <tr r="AF17" s="3"/>
      </tp>
      <tp t="s">
        <v>#N/A N/A</v>
        <stp/>
        <stp>BDH|5199048877137722460</stp>
        <tr r="AO18" s="4"/>
      </tp>
      <tp t="s">
        <v>#N/A N/A</v>
        <stp/>
        <stp>BDH|6205329575805050666</stp>
        <tr r="H18" s="2"/>
      </tp>
      <tp t="s">
        <v>#N/A N/A</v>
        <stp/>
        <stp>BDH|4116470306772464376</stp>
        <tr r="E17" s="2"/>
      </tp>
      <tp t="s">
        <v>#N/A N/A</v>
        <stp/>
        <stp>BDH|8667568482915570149</stp>
        <tr r="R21" s="4"/>
      </tp>
      <tp t="s">
        <v>#N/A N/A</v>
        <stp/>
        <stp>BDH|4371307573615083434</stp>
        <tr r="AJ14" s="2"/>
      </tp>
      <tp t="s">
        <v>#N/A N/A</v>
        <stp/>
        <stp>BDH|4582021537966448079</stp>
        <tr r="AH14" s="4"/>
      </tp>
      <tp t="s">
        <v>#N/A N/A</v>
        <stp/>
        <stp>BDP|6732345114544534123</stp>
        <tr r="P9" s="3"/>
      </tp>
      <tp t="s">
        <v>#N/A N/A</v>
        <stp/>
        <stp>BDH|4047752831435664427</stp>
        <tr r="X7" s="2"/>
      </tp>
      <tp t="s">
        <v>#N/A N/A</v>
        <stp/>
        <stp>BDH|7003926725374613913</stp>
        <tr r="P8" s="2"/>
      </tp>
      <tp t="s">
        <v>#N/A N/A</v>
        <stp/>
        <stp>BDH|4544239136604954098</stp>
        <tr r="AI8" s="2"/>
      </tp>
      <tp t="s">
        <v>#N/A N/A</v>
        <stp/>
        <stp>BDH|1704258185642332845</stp>
        <tr r="I14" s="4"/>
      </tp>
      <tp t="s">
        <v>#N/A N/A</v>
        <stp/>
        <stp>BDH|2714756506087014357</stp>
        <tr r="O19" s="2"/>
      </tp>
      <tp t="s">
        <v>#N/A N/A</v>
        <stp/>
        <stp>BDH|8479519264418287227</stp>
        <tr r="AB20" s="2"/>
      </tp>
      <tp t="s">
        <v>#N/A N/A</v>
        <stp/>
        <stp>BDH|1894275963137549381</stp>
        <tr r="AP8" s="2"/>
      </tp>
      <tp t="s">
        <v>#N/A N/A</v>
        <stp/>
        <stp>BDH|4905400371757986105</stp>
        <tr r="G14" s="2"/>
      </tp>
      <tp t="s">
        <v>#N/A N/A</v>
        <stp/>
        <stp>BDH|5203080179551795251</stp>
        <tr r="N10" s="2"/>
      </tp>
      <tp t="s">
        <v>#N/A N/A</v>
        <stp/>
        <stp>BDH|4130421808813485290</stp>
        <tr r="K18" s="4"/>
      </tp>
      <tp t="s">
        <v>#N/A N/A</v>
        <stp/>
        <stp>BDH|4802262739542891694</stp>
        <tr r="S17" s="4"/>
      </tp>
      <tp t="s">
        <v>#N/A N/A</v>
        <stp/>
        <stp>BDH|4352422402538017943</stp>
        <tr r="D17" s="4"/>
      </tp>
      <tp t="s">
        <v>#N/A N/A</v>
        <stp/>
        <stp>BDH|1223179341224101129</stp>
        <tr r="O18" s="4"/>
      </tp>
      <tp t="s">
        <v>#N/A N/A</v>
        <stp/>
        <stp>BDH|3131377824007640436</stp>
        <tr r="K10" s="2"/>
      </tp>
      <tp t="s">
        <v>#N/A N/A</v>
        <stp/>
        <stp>BDH|9362003554435596851</stp>
        <tr r="M13" s="2"/>
      </tp>
      <tp t="s">
        <v>#N/A N/A</v>
        <stp/>
        <stp>BDH|5820483145671934588</stp>
        <tr r="AE13" s="2"/>
      </tp>
      <tp t="s">
        <v>#N/A N/A</v>
        <stp/>
        <stp>BDH|8584840535181006306</stp>
        <tr r="S16" s="2"/>
      </tp>
      <tp t="s">
        <v>#N/A N/A</v>
        <stp/>
        <stp>BDH|2629409975662492229</stp>
        <tr r="U9" s="4"/>
      </tp>
    </main>
    <main first="bofaddin.rtdserver">
      <tp t="s">
        <v>#N/A N/A</v>
        <stp/>
        <stp>BDP|3683580547223669355</stp>
        <tr r="I13" s="3"/>
      </tp>
      <tp t="s">
        <v>#N/A N/A</v>
        <stp/>
        <stp>BDH|9003804504697866460</stp>
        <tr r="AD17" s="4"/>
      </tp>
      <tp t="s">
        <v>#N/A N/A</v>
        <stp/>
        <stp>BDH|9897295581951934030</stp>
        <tr r="AC18" s="2"/>
      </tp>
      <tp t="s">
        <v>#N/A N/A</v>
        <stp/>
        <stp>BDH|5877026304702447509</stp>
        <tr r="AN22" s="4"/>
      </tp>
      <tp t="s">
        <v>#N/A N/A</v>
        <stp/>
        <stp>BDH|3801383840856875020</stp>
        <tr r="AJ9" s="2"/>
      </tp>
      <tp t="s">
        <v>#N/A N/A</v>
        <stp/>
        <stp>BDH|9496860138543564355</stp>
        <tr r="AD13" s="4"/>
      </tp>
      <tp t="s">
        <v>#N/A N/A</v>
        <stp/>
        <stp>BDH|5612903409539330776</stp>
        <tr r="H7" s="2"/>
      </tp>
      <tp t="s">
        <v>#N/A N/A</v>
        <stp/>
        <stp>BDH|1827039045750466710</stp>
        <tr r="AK17" s="2"/>
      </tp>
      <tp t="s">
        <v>#N/A N/A</v>
        <stp/>
        <stp>BDH|1946779246250171024</stp>
        <tr r="AE24" s="4"/>
      </tp>
      <tp t="s">
        <v>#N/A N/A</v>
        <stp/>
        <stp>BDH|9914860452950209646</stp>
        <tr r="AA9" s="4"/>
      </tp>
      <tp t="s">
        <v>#N/A N/A</v>
        <stp/>
        <stp>BDP|1793686500092650717</stp>
        <tr r="AF16" s="3"/>
      </tp>
      <tp t="s">
        <v>#N/A N/A</v>
        <stp/>
        <stp>BDH|5407650859735173115</stp>
        <tr r="F12" s="4"/>
      </tp>
      <tp t="s">
        <v>#N/A N/A</v>
        <stp/>
        <stp>BDH|7922646417241672347</stp>
        <tr r="AH7" s="2"/>
      </tp>
      <tp t="s">
        <v>#N/A N/A</v>
        <stp/>
        <stp>BDH|7700349265701770182</stp>
        <tr r="G16" s="4"/>
      </tp>
      <tp t="s">
        <v>#N/A N/A</v>
        <stp/>
        <stp>BDH|5820521096692483917</stp>
        <tr r="R25" s="2"/>
      </tp>
      <tp t="s">
        <v>#N/A N/A</v>
        <stp/>
        <stp>BDH|5839324270233121029</stp>
        <tr r="J26" s="4"/>
      </tp>
      <tp t="s">
        <v>#N/A N/A</v>
        <stp/>
        <stp>BDP|7988189556255120490</stp>
        <tr r="J16" s="3"/>
      </tp>
      <tp t="s">
        <v>#N/A N/A</v>
        <stp/>
        <stp>BDH|7546607626693539295</stp>
        <tr r="AN26" s="4"/>
      </tp>
      <tp t="s">
        <v>#N/A N/A</v>
        <stp/>
        <stp>BDH|5917978716706388944</stp>
        <tr r="AB18" s="4"/>
      </tp>
      <tp t="s">
        <v>#N/A N/A</v>
        <stp/>
        <stp>BDH|5853081121287673286</stp>
        <tr r="C26" s="4"/>
      </tp>
      <tp t="s">
        <v>#N/A N/A</v>
        <stp/>
        <stp>BDH|7942474218446964604</stp>
        <tr r="H16" s="2"/>
      </tp>
      <tp t="s">
        <v>#N/A N/A</v>
        <stp/>
        <stp>BDH|8384973180483899839</stp>
        <tr r="AJ13" s="4"/>
      </tp>
      <tp t="s">
        <v>#N/A N/A</v>
        <stp/>
        <stp>BDH|4493338047145877455</stp>
        <tr r="AF16" s="2"/>
      </tp>
      <tp t="s">
        <v>#N/A N/A</v>
        <stp/>
        <stp>BDH|4475635699948571166</stp>
        <tr r="AD9" s="2"/>
      </tp>
      <tp t="s">
        <v>#N/A N/A</v>
        <stp/>
        <stp>BDP|8353487184936554089</stp>
        <tr r="M9" s="3"/>
      </tp>
      <tp t="s">
        <v>#N/A N/A</v>
        <stp/>
        <stp>BDH|9555128514153430851</stp>
        <tr r="AB18" s="2"/>
      </tp>
      <tp t="s">
        <v>#N/A N/A</v>
        <stp/>
        <stp>BDP|9027748453799632026</stp>
        <tr r="C16" s="3"/>
      </tp>
      <tp t="s">
        <v>#N/A N/A</v>
        <stp/>
        <stp>BDP|3619123901734655400</stp>
        <tr r="G12" s="3"/>
      </tp>
      <tp t="s">
        <v>#N/A N/A</v>
        <stp/>
        <stp>BDH|9045955545306101022</stp>
        <tr r="AI25" s="2"/>
      </tp>
      <tp t="s">
        <v>#N/A N/A</v>
        <stp/>
        <stp>BDH|5477337365813521141</stp>
        <tr r="K19" s="2"/>
      </tp>
      <tp t="s">
        <v>#N/A N/A</v>
        <stp/>
        <stp>BDH|1074948863344613822</stp>
        <tr r="U7" s="4"/>
      </tp>
      <tp t="s">
        <v>#N/A N/A</v>
        <stp/>
        <stp>BDH|6195544155965836183</stp>
        <tr r="AN10" s="4"/>
      </tp>
      <tp t="s">
        <v>#N/A N/A</v>
        <stp/>
        <stp>BDH|3024487012364238082</stp>
        <tr r="M16" s="2"/>
      </tp>
      <tp t="s">
        <v>#N/A N/A</v>
        <stp/>
        <stp>BDP|2787205485879055336</stp>
        <tr r="S17" s="3"/>
      </tp>
      <tp t="s">
        <v>#N/A N/A</v>
        <stp/>
        <stp>BDH|9086992748424958299</stp>
        <tr r="AF17" s="4"/>
      </tp>
      <tp t="s">
        <v>#N/A N/A</v>
        <stp/>
        <stp>BDH|1381623687384690914</stp>
        <tr r="AO9" s="2"/>
      </tp>
      <tp t="s">
        <v>#N/A N/A</v>
        <stp/>
        <stp>BDH|8131910610781958386</stp>
        <tr r="AE20" s="2"/>
      </tp>
      <tp t="s">
        <v>#N/A N/A</v>
        <stp/>
        <stp>BDH|4898125249172369117</stp>
        <tr r="X16" s="2"/>
      </tp>
      <tp t="s">
        <v>#N/A N/A</v>
        <stp/>
        <stp>BDH|4550594865891918469</stp>
        <tr r="AO17" s="2"/>
      </tp>
      <tp t="s">
        <v>#N/A N/A</v>
        <stp/>
        <stp>BDH|3989226693378943278</stp>
        <tr r="AJ25" s="4"/>
      </tp>
      <tp t="s">
        <v>#N/A N/A</v>
        <stp/>
        <stp>BDH|4561964942103138867</stp>
        <tr r="AI13" s="4"/>
      </tp>
      <tp t="s">
        <v>#N/A N/A</v>
        <stp/>
        <stp>BDH|2201428365662404075</stp>
        <tr r="T16" s="4"/>
      </tp>
      <tp t="s">
        <v>#N/A N/A</v>
        <stp/>
        <stp>BDH|5598570815872134113</stp>
        <tr r="E9" s="4"/>
      </tp>
      <tp t="s">
        <v>#N/A N/A</v>
        <stp/>
        <stp>BDH|7672493045690858554</stp>
        <tr r="I26" s="2"/>
      </tp>
      <tp t="s">
        <v>#N/A N/A</v>
        <stp/>
        <stp>BDH|3787243135097378729</stp>
        <tr r="AI7" s="4"/>
      </tp>
      <tp t="s">
        <v>#N/A N/A</v>
        <stp/>
        <stp>BDH|5434522020195629574</stp>
        <tr r="M12" s="4"/>
      </tp>
      <tp t="s">
        <v>#N/A N/A</v>
        <stp/>
        <stp>BDH|1990089729436592795</stp>
        <tr r="AO8" s="4"/>
      </tp>
      <tp t="s">
        <v>#N/A N/A</v>
        <stp/>
        <stp>BDH|5143105050807569407</stp>
        <tr r="AH13" s="4"/>
      </tp>
      <tp t="s">
        <v>#N/A N/A</v>
        <stp/>
        <stp>BDP|2726146059152986666</stp>
        <tr r="AJ9" s="3"/>
      </tp>
      <tp t="s">
        <v>#N/A N/A</v>
        <stp/>
        <stp>BDP|9473855566792548774</stp>
        <tr r="AL17" s="3"/>
      </tp>
      <tp t="s">
        <v>#N/A N/A</v>
        <stp/>
        <stp>BDH|2646009664830454635</stp>
        <tr r="AC14" s="4"/>
      </tp>
      <tp t="s">
        <v>#N/A N/A</v>
        <stp/>
        <stp>BDH|3741530179982929118</stp>
        <tr r="X22" s="4"/>
      </tp>
      <tp t="s">
        <v>#N/A N/A</v>
        <stp/>
        <stp>BDH|2915008510915591492</stp>
        <tr r="K14" s="2"/>
      </tp>
      <tp t="s">
        <v>#N/A N/A</v>
        <stp/>
        <stp>BDH|9886755028959695762</stp>
        <tr r="Y16" s="4"/>
      </tp>
      <tp t="s">
        <v>#N/A N/A</v>
        <stp/>
        <stp>BDH|2991775320212776639</stp>
        <tr r="P8" s="4"/>
      </tp>
      <tp t="s">
        <v>#N/A N/A</v>
        <stp/>
        <stp>BDH|5898252164844312602</stp>
        <tr r="AH12" s="4"/>
      </tp>
      <tp t="s">
        <v>#N/A N/A</v>
        <stp/>
        <stp>BDH|8355605519909294523</stp>
        <tr r="G8" s="4"/>
      </tp>
      <tp t="s">
        <v>#N/A N/A</v>
        <stp/>
        <stp>BDH|4805553572531013443</stp>
        <tr r="K14" s="4"/>
      </tp>
      <tp t="s">
        <v>#N/A N/A</v>
        <stp/>
        <stp>BDH|9386468709108713609</stp>
        <tr r="R26" s="4"/>
      </tp>
      <tp t="s">
        <v>#N/A N/A</v>
        <stp/>
        <stp>BDP|4696559836703493292</stp>
        <tr r="AH12" s="3"/>
      </tp>
      <tp t="s">
        <v>#N/A N/A</v>
        <stp/>
        <stp>BDP|4856368155917585669</stp>
        <tr r="N17" s="3"/>
      </tp>
      <tp t="s">
        <v>#N/A N/A</v>
        <stp/>
        <stp>BDH|9701560326499752485</stp>
        <tr r="M26" s="4"/>
      </tp>
      <tp t="s">
        <v>#N/A N/A</v>
        <stp/>
        <stp>BDH|8644782984661095526</stp>
        <tr r="AC10" s="4"/>
      </tp>
      <tp t="s">
        <v>#N/A N/A</v>
        <stp/>
        <stp>BDH|7327920801549867411</stp>
        <tr r="Y13" s="2"/>
      </tp>
      <tp t="s">
        <v>#N/A N/A</v>
        <stp/>
        <stp>BDH|5516325505345352085</stp>
        <tr r="X21" s="2"/>
      </tp>
      <tp t="s">
        <v>#N/A N/A</v>
        <stp/>
        <stp>BDH|6957623252521788775</stp>
        <tr r="W14" s="4"/>
      </tp>
      <tp t="s">
        <v>#N/A N/A</v>
        <stp/>
        <stp>BDH|4271344113967269294</stp>
        <tr r="E21" s="4"/>
      </tp>
      <tp t="s">
        <v>#N/A N/A</v>
        <stp/>
        <stp>BDH|6156710906430076290</stp>
        <tr r="AM9" s="2"/>
      </tp>
      <tp t="s">
        <v>#N/A N/A</v>
        <stp/>
        <stp>BDH|2173953989104146438</stp>
        <tr r="AK25" s="2"/>
      </tp>
      <tp t="s">
        <v>#N/A N/A</v>
        <stp/>
        <stp>BDH|6581460512945544587</stp>
        <tr r="AA21" s="4"/>
      </tp>
      <tp t="s">
        <v>#N/A N/A</v>
        <stp/>
        <stp>BDH|6857979487564299062</stp>
        <tr r="P17" s="4"/>
      </tp>
      <tp t="s">
        <v>#N/A N/A</v>
        <stp/>
        <stp>BDH|2661396941290142628</stp>
        <tr r="AI9" s="4"/>
      </tp>
      <tp t="s">
        <v>#N/A N/A</v>
        <stp/>
        <stp>BDH|5504038264285733587</stp>
        <tr r="W9" s="4"/>
      </tp>
      <tp t="s">
        <v>#N/A N/A</v>
        <stp/>
        <stp>BDH|5005816382510745665</stp>
        <tr r="M21" s="2"/>
      </tp>
      <tp t="s">
        <v>#N/A N/A</v>
        <stp/>
        <stp>BDH|5971332327472870570</stp>
        <tr r="AI26" s="4"/>
      </tp>
      <tp t="s">
        <v>#N/A N/A</v>
        <stp/>
        <stp>BDH|6188547587208645060</stp>
        <tr r="Y9" s="4"/>
      </tp>
      <tp t="s">
        <v>#N/A N/A</v>
        <stp/>
        <stp>BDH|3953900130978362287</stp>
        <tr r="AF16" s="4"/>
      </tp>
      <tp t="s">
        <v>#N/A N/A</v>
        <stp/>
        <stp>BDH|6263505320453304138</stp>
        <tr r="AN21" s="4"/>
      </tp>
      <tp t="s">
        <v>#N/A N/A</v>
        <stp/>
        <stp>BDP|7519889065903397985</stp>
        <tr r="AH9" s="3"/>
      </tp>
      <tp t="s">
        <v>#N/A N/A</v>
        <stp/>
        <stp>BDH|8692843692853398908</stp>
        <tr r="AP9" s="2"/>
      </tp>
      <tp t="s">
        <v>#N/A N/A</v>
        <stp/>
        <stp>BDH|9069355090888153878</stp>
        <tr r="AG10" s="2"/>
      </tp>
      <tp t="s">
        <v>#N/A N/A</v>
        <stp/>
        <stp>BDH|8864996767992370662</stp>
        <tr r="AE18" s="2"/>
      </tp>
      <tp t="s">
        <v>#N/A N/A</v>
        <stp/>
        <stp>BDH|2540620480727245868</stp>
        <tr r="AG9" s="2"/>
      </tp>
      <tp t="s">
        <v>#N/A N/A</v>
        <stp/>
        <stp>BDH|1018034074883268665</stp>
        <tr r="AA14" s="2"/>
      </tp>
      <tp t="s">
        <v>#N/A N/A</v>
        <stp/>
        <stp>BDP|2183457071960674234</stp>
        <tr r="AD10" s="3"/>
      </tp>
      <tp t="s">
        <v>#N/A N/A</v>
        <stp/>
        <stp>BDH|5696703136207571548</stp>
        <tr r="H7" s="4"/>
      </tp>
      <tp t="s">
        <v>#N/A N/A</v>
        <stp/>
        <stp>BDH|4978141638504508118</stp>
        <tr r="AI26" s="2"/>
      </tp>
      <tp t="s">
        <v>#N/A N/A</v>
        <stp/>
        <stp>BDH|6352601335260717009</stp>
        <tr r="AA14" s="4"/>
      </tp>
      <tp t="s">
        <v>#N/A N/A</v>
        <stp/>
        <stp>BDP|2269041409559958805</stp>
        <tr r="T13" s="3"/>
      </tp>
      <tp t="s">
        <v>#N/A N/A</v>
        <stp/>
        <stp>BDH|9716865757297603070</stp>
        <tr r="W25" s="4"/>
      </tp>
      <tp t="s">
        <v>#N/A N/A</v>
        <stp/>
        <stp>BDP|4739076609777994048</stp>
        <tr r="E13" s="3"/>
      </tp>
      <tp t="s">
        <v>#N/A N/A</v>
        <stp/>
        <stp>BDP|1050386158744760037</stp>
        <tr r="Y13" s="3"/>
      </tp>
      <tp t="s">
        <v>#N/A N/A</v>
        <stp/>
        <stp>BDH|5865555138277327720</stp>
        <tr r="X8" s="4"/>
      </tp>
      <tp t="s">
        <v>#N/A N/A</v>
        <stp/>
        <stp>BDH|2861212091628979256</stp>
        <tr r="S7" s="4"/>
      </tp>
      <tp t="s">
        <v>#N/A N/A</v>
        <stp/>
        <stp>BDH|4628105750317217407</stp>
        <tr r="Y17" s="4"/>
      </tp>
      <tp t="s">
        <v>#N/A N/A</v>
        <stp/>
        <stp>BDH|7410272515236400165</stp>
        <tr r="AH9" s="4"/>
      </tp>
      <tp t="s">
        <v>#N/A N/A</v>
        <stp/>
        <stp>BDH|8139566767139042146</stp>
        <tr r="E18" s="4"/>
      </tp>
      <tp t="s">
        <v>#N/A N/A</v>
        <stp/>
        <stp>BDP|2061477150866184630</stp>
        <tr r="AA12" s="3"/>
      </tp>
      <tp t="s">
        <v>#N/A N/A</v>
        <stp/>
        <stp>BDP|2369757087498216662</stp>
        <tr r="AN16" s="3"/>
      </tp>
      <tp t="s">
        <v>#N/A N/A</v>
        <stp/>
        <stp>BDH|4409679422486233562</stp>
        <tr r="U18" s="2"/>
      </tp>
      <tp t="s">
        <v>#N/A N/A</v>
        <stp/>
        <stp>BDH|55747196518459825</stp>
        <tr r="AA24" s="2"/>
      </tp>
    </main>
    <main first="bofaddin.rtdserver">
      <tp t="s">
        <v>#N/A N/A</v>
        <stp/>
        <stp>BDH|544785146946391052</stp>
        <tr r="I16" s="4"/>
      </tp>
      <tp t="s">
        <v>#N/A N/A</v>
        <stp/>
        <stp>BDH|262016807166805327</stp>
        <tr r="F24" s="2"/>
      </tp>
      <tp t="s">
        <v>#N/A N/A</v>
        <stp/>
        <stp>BDH|888152532726617130</stp>
        <tr r="J8" s="2"/>
      </tp>
      <tp t="s">
        <v>#N/A N/A</v>
        <stp/>
        <stp>BDH|714582341873332769</stp>
        <tr r="P14" s="2"/>
      </tp>
      <tp t="s">
        <v>#N/A N/A</v>
        <stp/>
        <stp>BDH|139457675421194701</stp>
        <tr r="U6" s="4"/>
      </tp>
      <tp t="s">
        <v>#N/A N/A</v>
        <stp/>
        <stp>BDH|582277553203048101</stp>
        <tr r="K20" s="2"/>
      </tp>
      <tp t="s">
        <v>#N/A N/A</v>
        <stp/>
        <stp>BDH|486816701375272859</stp>
        <tr r="AJ8" s="4"/>
      </tp>
      <tp t="s">
        <v>#N/A N/A</v>
        <stp/>
        <stp>BDH|216716551774698289</stp>
        <tr r="L24" s="2"/>
      </tp>
      <tp t="s">
        <v>#N/A N/A</v>
        <stp/>
        <stp>BDP|624631860685892100</stp>
        <tr r="AH10" s="3"/>
      </tp>
      <tp t="s">
        <v>#N/A N/A</v>
        <stp/>
        <stp>BDH|265116247535896488</stp>
        <tr r="M8" s="2"/>
      </tp>
      <tp t="s">
        <v>#N/A N/A</v>
        <stp/>
        <stp>BDH|593319471869045934</stp>
        <tr r="AI13" s="2"/>
      </tp>
      <tp t="s">
        <v>#N/A N/A</v>
        <stp/>
        <stp>BDH|627638435172321321</stp>
        <tr r="AC7" s="2"/>
      </tp>
      <tp t="s">
        <v>#N/A N/A</v>
        <stp/>
        <stp>BDH|611747929816148788</stp>
        <tr r="AB6" s="4"/>
      </tp>
      <tp t="s">
        <v>#N/A N/A</v>
        <stp/>
        <stp>BDH|796362563437876534</stp>
        <tr r="E7" s="4"/>
      </tp>
      <tp t="s">
        <v>#N/A N/A</v>
        <stp/>
        <stp>BDH|331121918627614054</stp>
        <tr r="AI18" s="2"/>
      </tp>
      <tp t="s">
        <v>#N/A N/A</v>
        <stp/>
        <stp>BDH|187402530290360076</stp>
        <tr r="X25" s="2"/>
      </tp>
      <tp t="s">
        <v>#N/A N/A</v>
        <stp/>
        <stp>BDH|981262338530640634</stp>
        <tr r="AF10" s="4"/>
      </tp>
      <tp t="s">
        <v>#N/A N/A</v>
        <stp/>
        <stp>BDP|761804321824051958</stp>
        <tr r="I16" s="3"/>
      </tp>
    </main>
    <main first="bofaddin.rtdserver">
      <tp t="s">
        <v>#N/A N/A</v>
        <stp/>
        <stp>BDP|899932774101290967</stp>
        <tr r="Z12" s="3"/>
      </tp>
      <tp t="s">
        <v>#N/A N/A</v>
        <stp/>
        <stp>BDP|864612860100479691</stp>
        <tr r="Q12" s="3"/>
      </tp>
      <tp t="s">
        <v>#N/A N/A</v>
        <stp/>
        <stp>BDH|952802471019978063</stp>
        <tr r="Q10" s="4"/>
      </tp>
      <tp t="s">
        <v>#N/A N/A</v>
        <stp/>
        <stp>BDH|303696859796889399</stp>
        <tr r="R24" s="2"/>
      </tp>
      <tp t="s">
        <v>#N/A N/A</v>
        <stp/>
        <stp>BDH|798613978941930645</stp>
        <tr r="I13" s="2"/>
      </tp>
    </main>
    <main first="bofaddin.rtdserver">
      <tp t="s">
        <v>#N/A N/A</v>
        <stp/>
        <stp>BDH|619850289836142769</stp>
        <tr r="AK17" s="4"/>
      </tp>
      <tp t="s">
        <v>#N/A N/A</v>
        <stp/>
        <stp>BDH|398782532747647272</stp>
        <tr r="AH21" s="4"/>
      </tp>
      <tp t="s">
        <v>#N/A N/A</v>
        <stp/>
        <stp>BDH|937794449732586041</stp>
        <tr r="Z24" s="4"/>
      </tp>
      <tp t="s">
        <v>#N/A N/A</v>
        <stp/>
        <stp>BDH|486139175447171090</stp>
        <tr r="V17" s="2"/>
      </tp>
      <tp t="s">
        <v>#N/A N/A</v>
        <stp/>
        <stp>BDH|907442559878325874</stp>
        <tr r="AD24" s="4"/>
      </tp>
      <tp t="s">
        <v>#N/A N/A</v>
        <stp/>
        <stp>BDH|972298303826055522</stp>
        <tr r="X25" s="4"/>
      </tp>
    </main>
    <main first="bofaddin.rtdserver">
      <tp t="s">
        <v>#N/A N/A</v>
        <stp/>
        <stp>BDH|661004736515682686</stp>
        <tr r="R24" s="4"/>
      </tp>
      <tp t="s">
        <v>#N/A N/A</v>
        <stp/>
        <stp>BDH|928518544519161856</stp>
        <tr r="Q12" s="4"/>
      </tp>
      <tp t="s">
        <v>#N/A N/A</v>
        <stp/>
        <stp>BDH|661785952346636439</stp>
        <tr r="S25" s="2"/>
      </tp>
      <tp t="s">
        <v>#N/A N/A</v>
        <stp/>
        <stp>BDH|435081131860852325</stp>
        <tr r="AK7" s="4"/>
      </tp>
      <tp t="s">
        <v>#N/A N/A</v>
        <stp/>
        <stp>BDH|222437829250996635</stp>
        <tr r="I12" s="4"/>
      </tp>
    </main>
    <main first="bofaddin.rtdserver">
      <tp t="s">
        <v>#N/A N/A</v>
        <stp/>
        <stp>BDH|418131148373118531</stp>
        <tr r="T16" s="2"/>
      </tp>
      <tp t="s">
        <v>#N/A N/A</v>
        <stp/>
        <stp>BDH|265641409532874780</stp>
        <tr r="AA13" s="2"/>
      </tp>
      <tp t="s">
        <v>#N/A N/A</v>
        <stp/>
        <stp>BDP|744358908006640646</stp>
        <tr r="O13" s="3"/>
      </tp>
      <tp t="s">
        <v>#N/A N/A</v>
        <stp/>
        <stp>BDH|868592659614414755</stp>
        <tr r="O25" s="4"/>
      </tp>
      <tp t="s">
        <v>#N/A N/A</v>
        <stp/>
        <stp>BDH|523461823811815422</stp>
        <tr r="R10" s="2"/>
      </tp>
      <tp t="s">
        <v>#N/A N/A</v>
        <stp/>
        <stp>BDH|252249836434275640</stp>
        <tr r="D8" s="2"/>
      </tp>
      <tp t="s">
        <v>#N/A N/A</v>
        <stp/>
        <stp>BDH|745120817755181644</stp>
        <tr r="AJ10" s="4"/>
      </tp>
    </main>
    <main first="bofaddin.rtdserver">
      <tp t="s">
        <v>#N/A N/A</v>
        <stp/>
        <stp>BDH|710601417535985047</stp>
        <tr r="N7" s="2"/>
      </tp>
      <tp t="s">
        <v>#N/A N/A</v>
        <stp/>
        <stp>BDH|615676632312728505</stp>
        <tr r="C22" s="4"/>
      </tp>
      <tp t="s">
        <v>#N/A N/A</v>
        <stp/>
        <stp>BDH|472613627796187047</stp>
        <tr r="R18" s="2"/>
      </tp>
      <tp t="s">
        <v>#N/A N/A</v>
        <stp/>
        <stp>BDH|271535166040513102</stp>
        <tr r="AB14" s="4"/>
      </tp>
    </main>
    <main first="bofaddin.rtdserver">
      <tp t="s">
        <v>#N/A N/A</v>
        <stp/>
        <stp>BDH|112713481002102081</stp>
        <tr r="O14" s="2"/>
      </tp>
      <tp t="s">
        <v>#N/A N/A</v>
        <stp/>
        <stp>BDH|240102583682829630</stp>
        <tr r="F10" s="2"/>
      </tp>
      <tp t="s">
        <v>#N/A N/A</v>
        <stp/>
        <stp>BDH|640726639871041887</stp>
        <tr r="L9" s="4"/>
      </tp>
    </main>
    <main first="bofaddin.rtdserver">
      <tp t="s">
        <v>#N/A N/A</v>
        <stp/>
        <stp>BDH|428580990527795706</stp>
        <tr r="AM13" s="4"/>
      </tp>
      <tp t="s">
        <v>#N/A N/A</v>
        <stp/>
        <stp>BDH|271829170241881289</stp>
        <tr r="O26" s="4"/>
      </tp>
      <tp t="s">
        <v>#N/A N/A</v>
        <stp/>
        <stp>BDP|428122277678334227</stp>
        <tr r="AE16" s="3"/>
      </tp>
      <tp t="s">
        <v>#N/A N/A</v>
        <stp/>
        <stp>BDH|385335993846461060</stp>
        <tr r="AM8" s="2"/>
      </tp>
    </main>
    <main first="bofaddin.rtdserver">
      <tp t="s">
        <v>#N/A N/A</v>
        <stp/>
        <stp>BDH|693437108378909394</stp>
        <tr r="O6" s="4"/>
      </tp>
    </main>
    <main first="bofaddin.rtdserver">
      <tp t="s">
        <v>#N/A N/A</v>
        <stp/>
        <stp>BDH|709151266379784159</stp>
        <tr r="AL24" s="2"/>
      </tp>
      <tp t="s">
        <v>#N/A N/A</v>
        <stp/>
        <stp>BDH|511516858508155638</stp>
        <tr r="AF7" s="4"/>
      </tp>
    </main>
    <main first="bofaddin.rtdserver">
      <tp t="s">
        <v>#N/A N/A</v>
        <stp/>
        <stp>BDH|923227737248484719</stp>
        <tr r="U25" s="4"/>
      </tp>
      <tp t="s">
        <v>#N/A N/A</v>
        <stp/>
        <stp>BDH|995905064911776010</stp>
        <tr r="AA20" s="4"/>
      </tp>
      <tp t="s">
        <v>#N/A N/A</v>
        <stp/>
        <stp>BDP|119925087276826976</stp>
        <tr r="AJ12" s="3"/>
      </tp>
      <tp t="s">
        <v>#N/A N/A</v>
        <stp/>
        <stp>BDH|960702789941131039</stp>
        <tr r="T8" s="4"/>
      </tp>
      <tp t="s">
        <v>#N/A N/A</v>
        <stp/>
        <stp>BDP|336908623933270602</stp>
        <tr r="M16" s="3"/>
      </tp>
    </main>
    <main first="bofaddin.rtdserver">
      <tp t="s">
        <v>#N/A N/A</v>
        <stp/>
        <stp>BDH|310556781667782398</stp>
        <tr r="AK16" s="2"/>
      </tp>
      <tp t="s">
        <v>#N/A N/A</v>
        <stp/>
        <stp>BDP|979746544289127272</stp>
        <tr r="J13" s="3"/>
      </tp>
      <tp t="s">
        <v>#N/A N/A</v>
        <stp/>
        <stp>BDH|697717289194473325</stp>
        <tr r="AB25" s="2"/>
      </tp>
      <tp t="s">
        <v>#N/A N/A</v>
        <stp/>
        <stp>BDH|490975718566284635</stp>
        <tr r="L14" s="2"/>
      </tp>
      <tp t="s">
        <v>#N/A N/A</v>
        <stp/>
        <stp>BDH|526527364942429925</stp>
        <tr r="D16" s="4"/>
      </tp>
    </main>
    <main first="bofaddin.rtdserver">
      <tp t="s">
        <v>#N/A N/A</v>
        <stp/>
        <stp>BDH|303167425929919163</stp>
        <tr r="V25" s="4"/>
      </tp>
      <tp t="s">
        <v>#N/A N/A</v>
        <stp/>
        <stp>BDH|325602529136436961</stp>
        <tr r="G20" s="4"/>
      </tp>
      <tp t="s">
        <v>#N/A N/A</v>
        <stp/>
        <stp>BDH|563064714363421930</stp>
        <tr r="AG14" s="2"/>
      </tp>
      <tp t="s">
        <v>#N/A N/A</v>
        <stp/>
        <stp>BDH|116024410122992881</stp>
        <tr r="M9" s="2"/>
      </tp>
      <tp t="s">
        <v>#N/A N/A</v>
        <stp/>
        <stp>BDH|358892225646526782</stp>
        <tr r="AA25" s="4"/>
      </tp>
      <tp t="s">
        <v>#N/A N/A</v>
        <stp/>
        <stp>BDH|560486489533000463</stp>
        <tr r="J14" s="4"/>
      </tp>
    </main>
    <main first="bofaddin.rtdserver">
      <tp t="s">
        <v>#N/A N/A</v>
        <stp/>
        <stp>BDH|270270708701130904</stp>
        <tr r="AC12" s="4"/>
      </tp>
      <tp t="s">
        <v>#N/A N/A</v>
        <stp/>
        <stp>BDH|527713432577467991</stp>
        <tr r="AN6" s="4"/>
      </tp>
      <tp t="s">
        <v>#N/A N/A</v>
        <stp/>
        <stp>BDH|183704177543684958</stp>
        <tr r="I16" s="2"/>
      </tp>
      <tp t="s">
        <v>#N/A N/A</v>
        <stp/>
        <stp>BDH|457906271562188656</stp>
        <tr r="AJ12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20.2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x14ac:dyDescent="0.25">
      <c r="A4" s="11" t="s">
        <v>2</v>
      </c>
      <c r="B4" s="11"/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  <c r="R4" s="12" t="s">
        <v>18</v>
      </c>
      <c r="S4" s="12" t="s">
        <v>19</v>
      </c>
      <c r="T4" s="12" t="s">
        <v>20</v>
      </c>
      <c r="U4" s="12" t="s">
        <v>21</v>
      </c>
      <c r="V4" s="12" t="s">
        <v>22</v>
      </c>
      <c r="W4" s="12" t="s">
        <v>23</v>
      </c>
      <c r="X4" s="12" t="s">
        <v>24</v>
      </c>
      <c r="Y4" s="12" t="s">
        <v>25</v>
      </c>
      <c r="Z4" s="12" t="s">
        <v>26</v>
      </c>
      <c r="AA4" s="12" t="s">
        <v>27</v>
      </c>
      <c r="AB4" s="12" t="s">
        <v>28</v>
      </c>
      <c r="AC4" s="12" t="s">
        <v>29</v>
      </c>
      <c r="AD4" s="12" t="s">
        <v>30</v>
      </c>
      <c r="AE4" s="12" t="s">
        <v>31</v>
      </c>
      <c r="AF4" s="12" t="s">
        <v>32</v>
      </c>
      <c r="AG4" s="12" t="s">
        <v>33</v>
      </c>
      <c r="AH4" s="12" t="s">
        <v>34</v>
      </c>
      <c r="AI4" s="12" t="s">
        <v>35</v>
      </c>
      <c r="AJ4" s="12" t="s">
        <v>36</v>
      </c>
      <c r="AK4" s="12" t="s">
        <v>37</v>
      </c>
      <c r="AL4" s="12" t="s">
        <v>38</v>
      </c>
      <c r="AM4" s="12" t="s">
        <v>39</v>
      </c>
      <c r="AN4" s="12" t="s">
        <v>40</v>
      </c>
      <c r="AO4" s="12" t="s">
        <v>41</v>
      </c>
      <c r="AP4" s="12" t="s">
        <v>42</v>
      </c>
    </row>
    <row r="5" spans="1:42" x14ac:dyDescent="0.25">
      <c r="A5" s="17" t="s">
        <v>43</v>
      </c>
      <c r="B5" s="17"/>
      <c r="C5" s="13" t="s">
        <v>44</v>
      </c>
      <c r="D5" s="13" t="s">
        <v>45</v>
      </c>
      <c r="E5" s="13" t="s">
        <v>46</v>
      </c>
      <c r="F5" s="13" t="s">
        <v>47</v>
      </c>
      <c r="G5" s="13" t="s">
        <v>48</v>
      </c>
      <c r="H5" s="13" t="s">
        <v>49</v>
      </c>
      <c r="I5" s="13" t="s">
        <v>50</v>
      </c>
      <c r="J5" s="13" t="s">
        <v>51</v>
      </c>
      <c r="K5" s="13" t="s">
        <v>52</v>
      </c>
      <c r="L5" s="13" t="s">
        <v>53</v>
      </c>
      <c r="M5" s="13" t="s">
        <v>54</v>
      </c>
      <c r="N5" s="13" t="s">
        <v>55</v>
      </c>
      <c r="O5" s="13" t="s">
        <v>56</v>
      </c>
      <c r="P5" s="13" t="s">
        <v>57</v>
      </c>
      <c r="Q5" s="13" t="s">
        <v>58</v>
      </c>
      <c r="R5" s="13" t="s">
        <v>59</v>
      </c>
      <c r="S5" s="13" t="s">
        <v>60</v>
      </c>
      <c r="T5" s="13" t="s">
        <v>61</v>
      </c>
      <c r="U5" s="13" t="s">
        <v>62</v>
      </c>
      <c r="V5" s="13" t="s">
        <v>63</v>
      </c>
      <c r="W5" s="13" t="s">
        <v>64</v>
      </c>
      <c r="X5" s="13" t="s">
        <v>65</v>
      </c>
      <c r="Y5" s="13" t="s">
        <v>66</v>
      </c>
      <c r="Z5" s="13" t="s">
        <v>67</v>
      </c>
      <c r="AA5" s="13" t="s">
        <v>68</v>
      </c>
      <c r="AB5" s="13" t="s">
        <v>69</v>
      </c>
      <c r="AC5" s="13" t="s">
        <v>70</v>
      </c>
      <c r="AD5" s="13" t="s">
        <v>71</v>
      </c>
      <c r="AE5" s="13" t="s">
        <v>72</v>
      </c>
      <c r="AF5" s="13" t="s">
        <v>73</v>
      </c>
      <c r="AG5" s="13" t="s">
        <v>74</v>
      </c>
      <c r="AH5" s="13" t="s">
        <v>75</v>
      </c>
      <c r="AI5" s="13" t="s">
        <v>76</v>
      </c>
      <c r="AJ5" s="13" t="s">
        <v>77</v>
      </c>
      <c r="AK5" s="13" t="s">
        <v>78</v>
      </c>
      <c r="AL5" s="13" t="s">
        <v>79</v>
      </c>
      <c r="AM5" s="13" t="s">
        <v>80</v>
      </c>
      <c r="AN5" s="13" t="s">
        <v>81</v>
      </c>
      <c r="AO5" s="13" t="s">
        <v>82</v>
      </c>
      <c r="AP5" s="13" t="s">
        <v>83</v>
      </c>
    </row>
    <row r="6" spans="1:42" x14ac:dyDescent="0.25">
      <c r="A6" s="14" t="s">
        <v>84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x14ac:dyDescent="0.25">
      <c r="A7" s="18" t="s">
        <v>85</v>
      </c>
      <c r="B7" s="18" t="s">
        <v>86</v>
      </c>
      <c r="C7" s="21">
        <f>_xll.BDH("NFLX US Equity","RETURN_COM_EQY","FQ2 2011","FQ2 2011","Currency=USD","Period=FQ","BEST_FPERIOD_OVERRIDE=FQ","FILING_STATUS=MR","FA_ADJUSTED=GAAP","Sort=A","Dates=H","DateFormat=P","Fill=—","Direction=H","UseDPDF=Y")</f>
        <v>83.618499999999997</v>
      </c>
      <c r="D7" s="21">
        <f>_xll.BDH("NFLX US Equity","RETURN_COM_EQY","FQ3 2011","FQ3 2011","Currency=USD","Period=FQ","BEST_FPERIOD_OVERRIDE=FQ","FILING_STATUS=MR","FA_ADJUSTED=GAAP","Sort=A","Dates=H","DateFormat=P","Fill=—","Direction=H","UseDPDF=Y")</f>
        <v>82.023399999999995</v>
      </c>
      <c r="E7" s="21">
        <f>_xll.BDH("NFLX US Equity","RETURN_COM_EQY","FQ4 2011","FQ4 2011","Currency=USD","Period=FQ","BEST_FPERIOD_OVERRIDE=FQ","FILING_STATUS=MR","FA_ADJUSTED=GAAP","Sort=A","Dates=H","DateFormat=P","Fill=—","Direction=H","UseDPDF=Y")</f>
        <v>48.474200000000003</v>
      </c>
      <c r="F7" s="21">
        <f>_xll.BDH("NFLX US Equity","RETURN_COM_EQY","FQ1 2012","FQ1 2012","Currency=USD","Period=FQ","BEST_FPERIOD_OVERRIDE=FQ","FILING_STATUS=MR","FA_ADJUSTED=GAAP","Sort=A","Dates=H","DateFormat=P","Fill=—","Direction=H","UseDPDF=Y")</f>
        <v>34.353099999999998</v>
      </c>
      <c r="G7" s="21">
        <f>_xll.BDH("NFLX US Equity","RETURN_COM_EQY","FQ2 2012","FQ2 2012","Currency=USD","Period=FQ","BEST_FPERIOD_OVERRIDE=FQ","FILING_STATUS=MR","FA_ADJUSTED=GAAP","Sort=A","Dates=H","DateFormat=P","Fill=—","Direction=H","UseDPDF=Y")</f>
        <v>19.419499999999999</v>
      </c>
      <c r="H7" s="21">
        <f>_xll.BDH("NFLX US Equity","RETURN_COM_EQY","FQ3 2012","FQ3 2012","Currency=USD","Period=FQ","BEST_FPERIOD_OVERRIDE=FQ","FILING_STATUS=MR","FA_ADJUSTED=GAAP","Sort=A","Dates=H","DateFormat=P","Fill=—","Direction=H","UseDPDF=Y")</f>
        <v>8.0481999999999996</v>
      </c>
      <c r="I7" s="21">
        <f>_xll.BDH("NFLX US Equity","RETURN_COM_EQY","FQ4 2012","FQ4 2012","Currency=USD","Period=FQ","BEST_FPERIOD_OVERRIDE=FQ","FILING_STATUS=MR","FA_ADJUSTED=GAAP","Sort=A","Dates=H","DateFormat=P","Fill=—","Direction=H","UseDPDF=Y")</f>
        <v>2.4723999999999999</v>
      </c>
      <c r="J7" s="21">
        <f>_xll.BDH("NFLX US Equity","RETURN_COM_EQY","FQ1 2013","FQ1 2013","Currency=USD","Period=FQ","BEST_FPERIOD_OVERRIDE=FQ","FILING_STATUS=MR","FA_ADJUSTED=GAAP","Sort=A","Dates=H","DateFormat=P","Fill=—","Direction=H","UseDPDF=Y")</f>
        <v>3.3089</v>
      </c>
      <c r="K7" s="21">
        <f>_xll.BDH("NFLX US Equity","RETURN_COM_EQY","FQ2 2013","FQ2 2013","Currency=USD","Period=FQ","BEST_FPERIOD_OVERRIDE=FQ","FILING_STATUS=MR","FA_ADJUSTED=GAAP","Sort=A","Dates=H","DateFormat=P","Fill=—","Direction=H","UseDPDF=Y")</f>
        <v>5.3216999999999999</v>
      </c>
      <c r="L7" s="21">
        <f>_xll.BDH("NFLX US Equity","RETURN_COM_EQY","FQ3 2013","FQ3 2013","Currency=USD","Period=FQ","BEST_FPERIOD_OVERRIDE=FQ","FILING_STATUS=MR","FA_ADJUSTED=GAAP","Sort=A","Dates=H","DateFormat=P","Fill=—","Direction=H","UseDPDF=Y")</f>
        <v>7.4827000000000004</v>
      </c>
      <c r="M7" s="21">
        <f>_xll.BDH("NFLX US Equity","RETURN_COM_EQY","FQ4 2013","FQ4 2013","Currency=USD","Period=FQ","BEST_FPERIOD_OVERRIDE=FQ","FILING_STATUS=MR","FA_ADJUSTED=GAAP","Sort=A","Dates=H","DateFormat=P","Fill=—","Direction=H","UseDPDF=Y")</f>
        <v>10.8172</v>
      </c>
      <c r="N7" s="21">
        <f>_xll.BDH("NFLX US Equity","RETURN_COM_EQY","FQ1 2014","FQ1 2014","Currency=USD","Period=FQ","BEST_FPERIOD_OVERRIDE=FQ","FILING_STATUS=MR","FA_ADJUSTED=GAAP","Sort=A","Dates=H","DateFormat=P","Fill=—","Direction=H","UseDPDF=Y")</f>
        <v>14.212899999999999</v>
      </c>
      <c r="O7" s="21">
        <f>_xll.BDH("NFLX US Equity","RETURN_COM_EQY","FQ2 2014","FQ2 2014","Currency=USD","Period=FQ","BEST_FPERIOD_OVERRIDE=FQ","FILING_STATUS=MR","FA_ADJUSTED=GAAP","Sort=A","Dates=H","DateFormat=P","Fill=—","Direction=H","UseDPDF=Y")</f>
        <v>15.0535</v>
      </c>
      <c r="P7" s="21">
        <f>_xll.BDH("NFLX US Equity","RETURN_COM_EQY","FQ3 2014","FQ3 2014","Currency=USD","Period=FQ","BEST_FPERIOD_OVERRIDE=FQ","FILING_STATUS=MR","FA_ADJUSTED=GAAP","Sort=A","Dates=H","DateFormat=P","Fill=—","Direction=H","UseDPDF=Y")</f>
        <v>15.83</v>
      </c>
      <c r="Q7" s="21">
        <f>_xll.BDH("NFLX US Equity","RETURN_COM_EQY","FQ4 2014","FQ4 2014","Currency=USD","Period=FQ","BEST_FPERIOD_OVERRIDE=FQ","FILING_STATUS=MR","FA_ADJUSTED=GAAP","Sort=A","Dates=H","DateFormat=P","Fill=—","Direction=H","UseDPDF=Y")</f>
        <v>16.720600000000001</v>
      </c>
      <c r="R7" s="21">
        <f>_xll.BDH("NFLX US Equity","RETURN_COM_EQY","FQ1 2015","FQ1 2015","Currency=USD","Period=FQ","BEST_FPERIOD_OVERRIDE=FQ","FILING_STATUS=MR","FA_ADJUSTED=GAAP","Sort=A","Dates=H","DateFormat=P","Fill=—","Direction=H","UseDPDF=Y")</f>
        <v>14.014799999999999</v>
      </c>
      <c r="S7" s="21">
        <f>_xll.BDH("NFLX US Equity","RETURN_COM_EQY","FQ2 2015","FQ2 2015","Currency=USD","Period=FQ","BEST_FPERIOD_OVERRIDE=FQ","FILING_STATUS=MR","FA_ADJUSTED=GAAP","Sort=A","Dates=H","DateFormat=P","Fill=—","Direction=H","UseDPDF=Y")</f>
        <v>10.582599999999999</v>
      </c>
      <c r="T7" s="21">
        <f>_xll.BDH("NFLX US Equity","RETURN_COM_EQY","FQ3 2015","FQ3 2015","Currency=USD","Period=FQ","BEST_FPERIOD_OVERRIDE=FQ","FILING_STATUS=MR","FA_ADJUSTED=GAAP","Sort=A","Dates=H","DateFormat=P","Fill=—","Direction=H","UseDPDF=Y")</f>
        <v>8.3672000000000004</v>
      </c>
      <c r="U7" s="21">
        <f>_xll.BDH("NFLX US Equity","RETURN_COM_EQY","FQ4 2015","FQ4 2015","Currency=USD","Period=FQ","BEST_FPERIOD_OVERRIDE=FQ","FILING_STATUS=MR","FA_ADJUSTED=GAAP","Sort=A","Dates=H","DateFormat=P","Fill=—","Direction=H","UseDPDF=Y")</f>
        <v>6.0101000000000004</v>
      </c>
      <c r="V7" s="21">
        <f>_xll.BDH("NFLX US Equity","RETURN_COM_EQY","FQ1 2016","FQ1 2016","Currency=USD","Period=FQ","BEST_FPERIOD_OVERRIDE=FQ","FILING_STATUS=MR","FA_ADJUSTED=GAAP","Sort=A","Dates=H","DateFormat=P","Fill=—","Direction=H","UseDPDF=Y")</f>
        <v>5.9909999999999997</v>
      </c>
      <c r="W7" s="21">
        <f>_xll.BDH("NFLX US Equity","RETURN_COM_EQY","FQ2 2016","FQ2 2016","Currency=USD","Period=FQ","BEST_FPERIOD_OVERRIDE=FQ","FILING_STATUS=MR","FA_ADJUSTED=GAAP","Sort=A","Dates=H","DateFormat=P","Fill=—","Direction=H","UseDPDF=Y")</f>
        <v>6.3411</v>
      </c>
      <c r="X7" s="21">
        <f>_xll.BDH("NFLX US Equity","RETURN_COM_EQY","FQ3 2016","FQ3 2016","Currency=USD","Period=FQ","BEST_FPERIOD_OVERRIDE=FQ","FILING_STATUS=MR","FA_ADJUSTED=GAAP","Sort=A","Dates=H","DateFormat=P","Fill=—","Direction=H","UseDPDF=Y")</f>
        <v>6.9462999999999999</v>
      </c>
      <c r="Y7" s="21">
        <f>_xll.BDH("NFLX US Equity","RETURN_COM_EQY","FQ4 2016","FQ4 2016","Currency=USD","Period=FQ","BEST_FPERIOD_OVERRIDE=FQ","FILING_STATUS=MR","FA_ADJUSTED=GAAP","Sort=A","Dates=H","DateFormat=P","Fill=—","Direction=H","UseDPDF=Y")</f>
        <v>7.6144999999999996</v>
      </c>
      <c r="Z7" s="21">
        <f>_xll.BDH("NFLX US Equity","RETURN_COM_EQY","FQ1 2017","FQ1 2017","Currency=USD","Period=FQ","BEST_FPERIOD_OVERRIDE=FQ","FILING_STATUS=MR","FA_ADJUSTED=GAAP","Sort=A","Dates=H","DateFormat=P","Fill=—","Direction=H","UseDPDF=Y")</f>
        <v>12.747999999999999</v>
      </c>
      <c r="AA7" s="21">
        <f>_xll.BDH("NFLX US Equity","RETURN_COM_EQY","FQ2 2017","FQ2 2017","Currency=USD","Period=FQ","BEST_FPERIOD_OVERRIDE=FQ","FILING_STATUS=MR","FA_ADJUSTED=GAAP","Sort=A","Dates=H","DateFormat=P","Fill=—","Direction=H","UseDPDF=Y")</f>
        <v>13.099299999999999</v>
      </c>
      <c r="AB7" s="21">
        <f>_xll.BDH("NFLX US Equity","RETURN_COM_EQY","FQ3 2017","FQ3 2017","Currency=USD","Period=FQ","BEST_FPERIOD_OVERRIDE=FQ","FILING_STATUS=MR","FA_ADJUSTED=GAAP","Sort=A","Dates=H","DateFormat=P","Fill=—","Direction=H","UseDPDF=Y")</f>
        <v>15.0319</v>
      </c>
      <c r="AC7" s="21">
        <f>_xll.BDH("NFLX US Equity","RETURN_COM_EQY","FQ4 2017","FQ4 2017","Currency=USD","Period=FQ","BEST_FPERIOD_OVERRIDE=FQ","FILING_STATUS=MR","FA_ADJUSTED=GAAP","Sort=A","Dates=H","DateFormat=P","Fill=—","Direction=H","UseDPDF=Y")</f>
        <v>17.8521</v>
      </c>
      <c r="AD7" s="21">
        <f>_xll.BDH("NFLX US Equity","RETURN_COM_EQY","FQ1 2018","FQ1 2018","Currency=USD","Period=FQ","BEST_FPERIOD_OVERRIDE=FQ","FILING_STATUS=MR","FA_ADJUSTED=GAAP","Sort=A","Dates=H","DateFormat=P","Fill=—","Direction=H","UseDPDF=Y")</f>
        <v>19.181899999999999</v>
      </c>
      <c r="AE7" s="21">
        <f>_xll.BDH("NFLX US Equity","RETURN_COM_EQY","FQ2 2018","FQ2 2018","Currency=USD","Period=FQ","BEST_FPERIOD_OVERRIDE=FQ","FILING_STATUS=MR","FA_ADJUSTED=GAAP","Sort=A","Dates=H","DateFormat=P","Fill=—","Direction=H","UseDPDF=Y")</f>
        <v>26.010400000000001</v>
      </c>
      <c r="AF7" s="21">
        <f>_xll.BDH("NFLX US Equity","RETURN_COM_EQY","FQ3 2018","FQ3 2018","Currency=USD","Period=FQ","BEST_FPERIOD_OVERRIDE=FQ","FILING_STATUS=MR","FA_ADJUSTED=GAAP","Sort=A","Dates=H","DateFormat=P","Fill=—","Direction=H","UseDPDF=Y")</f>
        <v>30.2944</v>
      </c>
      <c r="AG7" s="21">
        <f>_xll.BDH("NFLX US Equity","RETURN_COM_EQY","FQ4 2018","FQ4 2018","Currency=USD","Period=FQ","BEST_FPERIOD_OVERRIDE=FQ","FILING_STATUS=MR","FA_ADJUSTED=GAAP","Sort=A","Dates=H","DateFormat=P","Fill=—","Direction=H","UseDPDF=Y")</f>
        <v>27.4636</v>
      </c>
      <c r="AH7" s="21">
        <f>_xll.BDH("NFLX US Equity","RETURN_COM_EQY","FQ1 2019","FQ1 2019","Currency=USD","Period=FQ","BEST_FPERIOD_OVERRIDE=FQ","FILING_STATUS=MR","FA_ADJUSTED=GAAP","Sort=A","Dates=H","DateFormat=P","Fill=—","Direction=H","UseDPDF=Y")</f>
        <v>26.022200000000002</v>
      </c>
      <c r="AI7" s="21">
        <f>_xll.BDH("NFLX US Equity","RETURN_COM_EQY","FQ2 2019","FQ2 2019","Currency=USD","Period=FQ","BEST_FPERIOD_OVERRIDE=FQ","FILING_STATUS=MR","FA_ADJUSTED=GAAP","Sort=A","Dates=H","DateFormat=P","Fill=—","Direction=H","UseDPDF=Y")</f>
        <v>21.721499999999999</v>
      </c>
      <c r="AJ7" s="21">
        <f>_xll.BDH("NFLX US Equity","RETURN_COM_EQY","FQ3 2019","FQ3 2019","Currency=USD","Period=FQ","BEST_FPERIOD_OVERRIDE=FQ","FILING_STATUS=MR","FA_ADJUSTED=GAAP","Sort=A","Dates=H","DateFormat=P","Fill=—","Direction=H","UseDPDF=Y")</f>
        <v>23.820399999999999</v>
      </c>
      <c r="AK7" s="21">
        <f>_xll.BDH("NFLX US Equity","RETURN_COM_EQY","FQ4 2019","FQ4 2019","Currency=USD","Period=FQ","BEST_FPERIOD_OVERRIDE=FQ","FILING_STATUS=MR","FA_ADJUSTED=GAAP","Sort=A","Dates=H","DateFormat=P","Fill=—","Direction=H","UseDPDF=Y")</f>
        <v>29.123000000000001</v>
      </c>
      <c r="AL7" s="21">
        <f>_xll.BDH("NFLX US Equity","RETURN_COM_EQY","FQ1 2020","FQ1 2020","Currency=USD","Period=FQ","BEST_FPERIOD_OVERRIDE=FQ","FILING_STATUS=MR","FA_ADJUSTED=GAAP","Sort=A","Dates=H","DateFormat=P","Fill=—","Direction=H","UseDPDF=Y")</f>
        <v>31.6309</v>
      </c>
      <c r="AM7" s="21">
        <f>_xll.BDH("NFLX US Equity","RETURN_COM_EQY","FQ2 2020","FQ2 2020","Currency=USD","Period=FQ","BEST_FPERIOD_OVERRIDE=FQ","FILING_STATUS=MR","FA_ADJUSTED=GAAP","Sort=A","Dates=H","DateFormat=P","Fill=—","Direction=H","UseDPDF=Y")</f>
        <v>34.733499999999999</v>
      </c>
      <c r="AN7" s="21">
        <f>_xll.BDH("NFLX US Equity","RETURN_COM_EQY","FQ3 2020","FQ3 2020","Currency=USD","Period=FQ","BEST_FPERIOD_OVERRIDE=FQ","FILING_STATUS=MR","FA_ADJUSTED=GAAP","Sort=A","Dates=H","DateFormat=P","Fill=—","Direction=H","UseDPDF=Y")</f>
        <v>32.6402</v>
      </c>
      <c r="AO7" s="21">
        <f>_xll.BDH("NFLX US Equity","RETURN_COM_EQY","FQ4 2020","FQ4 2020","Currency=USD","Period=FQ","BEST_FPERIOD_OVERRIDE=FQ","FILING_STATUS=MR","FA_ADJUSTED=GAAP","Sort=A","Dates=H","DateFormat=P","Fill=—","Direction=H","UseDPDF=Y")</f>
        <v>29.616900000000001</v>
      </c>
      <c r="AP7" s="21">
        <f>_xll.BDH("NFLX US Equity","RETURN_COM_EQY","FQ1 2021","FQ1 2021","Currency=USD","Period=FQ","BEST_FPERIOD_OVERRIDE=FQ","FILING_STATUS=MR","FA_ADJUSTED=GAAP","Sort=A","Dates=H","DateFormat=P","Fill=—","Direction=H","UseDPDF=Y")</f>
        <v>35.307200000000002</v>
      </c>
    </row>
    <row r="8" spans="1:42" x14ac:dyDescent="0.25">
      <c r="A8" s="18" t="s">
        <v>87</v>
      </c>
      <c r="B8" s="18" t="s">
        <v>88</v>
      </c>
      <c r="C8" s="21">
        <f>_xll.BDH("NFLX US Equity","RETURN_ON_ASSET","FQ2 2011","FQ2 2011","Currency=USD","Period=FQ","BEST_FPERIOD_OVERRIDE=FQ","FILING_STATUS=MR","FA_ADJUSTED=GAAP","Sort=A","Dates=H","DateFormat=P","Fill=—","Direction=H","UseDPDF=Y")</f>
        <v>18.855699999999999</v>
      </c>
      <c r="D8" s="21">
        <f>_xll.BDH("NFLX US Equity","RETURN_ON_ASSET","FQ3 2011","FQ3 2011","Currency=USD","Period=FQ","BEST_FPERIOD_OVERRIDE=FQ","FILING_STATUS=MR","FA_ADJUSTED=GAAP","Sort=A","Dates=H","DateFormat=P","Fill=—","Direction=H","UseDPDF=Y")</f>
        <v>17.424299999999999</v>
      </c>
      <c r="E8" s="21">
        <f>_xll.BDH("NFLX US Equity","RETURN_ON_ASSET","FQ4 2011","FQ4 2011","Currency=USD","Period=FQ","BEST_FPERIOD_OVERRIDE=FQ","FILING_STATUS=MR","FA_ADJUSTED=GAAP","Sort=A","Dates=H","DateFormat=P","Fill=—","Direction=H","UseDPDF=Y")</f>
        <v>11.1632</v>
      </c>
      <c r="F8" s="21">
        <f>_xll.BDH("NFLX US Equity","RETURN_ON_ASSET","FQ1 2012","FQ1 2012","Currency=USD","Period=FQ","BEST_FPERIOD_OVERRIDE=FQ","FILING_STATUS=MR","FA_ADJUSTED=GAAP","Sort=A","Dates=H","DateFormat=P","Fill=—","Direction=H","UseDPDF=Y")</f>
        <v>7.0585000000000004</v>
      </c>
      <c r="G8" s="21">
        <f>_xll.BDH("NFLX US Equity","RETURN_ON_ASSET","FQ2 2012","FQ2 2012","Currency=USD","Period=FQ","BEST_FPERIOD_OVERRIDE=FQ","FILING_STATUS=MR","FA_ADJUSTED=GAAP","Sort=A","Dates=H","DateFormat=P","Fill=—","Direction=H","UseDPDF=Y")</f>
        <v>3.9318</v>
      </c>
      <c r="H8" s="21">
        <f>_xll.BDH("NFLX US Equity","RETURN_ON_ASSET","FQ3 2012","FQ3 2012","Currency=USD","Period=FQ","BEST_FPERIOD_OVERRIDE=FQ","FILING_STATUS=MR","FA_ADJUSTED=GAAP","Sort=A","Dates=H","DateFormat=P","Fill=—","Direction=H","UseDPDF=Y")</f>
        <v>1.5415000000000001</v>
      </c>
      <c r="I8" s="21">
        <f>_xll.BDH("NFLX US Equity","RETURN_ON_ASSET","FQ4 2012","FQ4 2012","Currency=USD","Period=FQ","BEST_FPERIOD_OVERRIDE=FQ","FILING_STATUS=MR","FA_ADJUSTED=GAAP","Sort=A","Dates=H","DateFormat=P","Fill=—","Direction=H","UseDPDF=Y")</f>
        <v>0.48749999999999999</v>
      </c>
      <c r="J8" s="21">
        <f>_xll.BDH("NFLX US Equity","RETURN_ON_ASSET","FQ1 2013","FQ1 2013","Currency=USD","Period=FQ","BEST_FPERIOD_OVERRIDE=FQ","FILING_STATUS=MR","FA_ADJUSTED=GAAP","Sort=A","Dates=H","DateFormat=P","Fill=—","Direction=H","UseDPDF=Y")</f>
        <v>0.62280000000000002</v>
      </c>
      <c r="K8" s="21">
        <f>_xll.BDH("NFLX US Equity","RETURN_ON_ASSET","FQ2 2013","FQ2 2013","Currency=USD","Period=FQ","BEST_FPERIOD_OVERRIDE=FQ","FILING_STATUS=MR","FA_ADJUSTED=GAAP","Sort=A","Dates=H","DateFormat=P","Fill=—","Direction=H","UseDPDF=Y")</f>
        <v>1.1994</v>
      </c>
      <c r="L8" s="21">
        <f>_xll.BDH("NFLX US Equity","RETURN_ON_ASSET","FQ3 2013","FQ3 2013","Currency=USD","Period=FQ","BEST_FPERIOD_OVERRIDE=FQ","FILING_STATUS=MR","FA_ADJUSTED=GAAP","Sort=A","Dates=H","DateFormat=P","Fill=—","Direction=H","UseDPDF=Y")</f>
        <v>1.6505000000000001</v>
      </c>
      <c r="M8" s="21">
        <f>_xll.BDH("NFLX US Equity","RETURN_ON_ASSET","FQ4 2013","FQ4 2013","Currency=USD","Period=FQ","BEST_FPERIOD_OVERRIDE=FQ","FILING_STATUS=MR","FA_ADJUSTED=GAAP","Sort=A","Dates=H","DateFormat=P","Fill=—","Direction=H","UseDPDF=Y")</f>
        <v>2.3965000000000001</v>
      </c>
      <c r="N8" s="21">
        <f>_xll.BDH("NFLX US Equity","RETURN_ON_ASSET","FQ1 2014","FQ1 2014","Currency=USD","Period=FQ","BEST_FPERIOD_OVERRIDE=FQ","FILING_STATUS=MR","FA_ADJUSTED=GAAP","Sort=A","Dates=H","DateFormat=P","Fill=—","Direction=H","UseDPDF=Y")</f>
        <v>3.1278999999999999</v>
      </c>
      <c r="O8" s="21">
        <f>_xll.BDH("NFLX US Equity","RETURN_ON_ASSET","FQ2 2014","FQ2 2014","Currency=USD","Period=FQ","BEST_FPERIOD_OVERRIDE=FQ","FILING_STATUS=MR","FA_ADJUSTED=GAAP","Sort=A","Dates=H","DateFormat=P","Fill=—","Direction=H","UseDPDF=Y")</f>
        <v>3.7824</v>
      </c>
      <c r="P8" s="21">
        <f>_xll.BDH("NFLX US Equity","RETURN_ON_ASSET","FQ3 2014","FQ3 2014","Currency=USD","Period=FQ","BEST_FPERIOD_OVERRIDE=FQ","FILING_STATUS=MR","FA_ADJUSTED=GAAP","Sort=A","Dates=H","DateFormat=P","Fill=—","Direction=H","UseDPDF=Y")</f>
        <v>3.9701</v>
      </c>
      <c r="Q8" s="21">
        <f>_xll.BDH("NFLX US Equity","RETURN_ON_ASSET","FQ4 2014","FQ4 2014","Currency=USD","Period=FQ","BEST_FPERIOD_OVERRIDE=FQ","FILING_STATUS=MR","FA_ADJUSTED=GAAP","Sort=A","Dates=H","DateFormat=P","Fill=—","Direction=H","UseDPDF=Y")</f>
        <v>4.2842000000000002</v>
      </c>
      <c r="R8" s="21">
        <f>_xll.BDH("NFLX US Equity","RETURN_ON_ASSET","FQ1 2015","FQ1 2015","Currency=USD","Period=FQ","BEST_FPERIOD_OVERRIDE=FQ","FILING_STATUS=MR","FA_ADJUSTED=GAAP","Sort=A","Dates=H","DateFormat=P","Fill=—","Direction=H","UseDPDF=Y")</f>
        <v>3.1053000000000002</v>
      </c>
      <c r="S8" s="21">
        <f>_xll.BDH("NFLX US Equity","RETURN_ON_ASSET","FQ2 2015","FQ2 2015","Currency=USD","Period=FQ","BEST_FPERIOD_OVERRIDE=FQ","FILING_STATUS=MR","FA_ADJUSTED=GAAP","Sort=A","Dates=H","DateFormat=P","Fill=—","Direction=H","UseDPDF=Y")</f>
        <v>2.4116</v>
      </c>
      <c r="T8" s="21">
        <f>_xll.BDH("NFLX US Equity","RETURN_ON_ASSET","FQ3 2015","FQ3 2015","Currency=USD","Period=FQ","BEST_FPERIOD_OVERRIDE=FQ","FILING_STATUS=MR","FA_ADJUSTED=GAAP","Sort=A","Dates=H","DateFormat=P","Fill=—","Direction=H","UseDPDF=Y")</f>
        <v>1.9506999999999999</v>
      </c>
      <c r="U8" s="21">
        <f>_xll.BDH("NFLX US Equity","RETURN_ON_ASSET","FQ4 2015","FQ4 2015","Currency=USD","Period=FQ","BEST_FPERIOD_OVERRIDE=FQ","FILING_STATUS=MR","FA_ADJUSTED=GAAP","Sort=A","Dates=H","DateFormat=P","Fill=—","Direction=H","UseDPDF=Y")</f>
        <v>1.4222999999999999</v>
      </c>
      <c r="V8" s="21">
        <f>_xll.BDH("NFLX US Equity","RETURN_ON_ASSET","FQ1 2016","FQ1 2016","Currency=USD","Period=FQ","BEST_FPERIOD_OVERRIDE=FQ","FILING_STATUS=MR","FA_ADJUSTED=GAAP","Sort=A","Dates=H","DateFormat=P","Fill=—","Direction=H","UseDPDF=Y")</f>
        <v>1.2349999999999999</v>
      </c>
      <c r="W8" s="21">
        <f>_xll.BDH("NFLX US Equity","RETURN_ON_ASSET","FQ2 2016","FQ2 2016","Currency=USD","Period=FQ","BEST_FPERIOD_OVERRIDE=FQ","FILING_STATUS=MR","FA_ADJUSTED=GAAP","Sort=A","Dates=H","DateFormat=P","Fill=—","Direction=H","UseDPDF=Y")</f>
        <v>1.3273999999999999</v>
      </c>
      <c r="X8" s="21">
        <f>_xll.BDH("NFLX US Equity","RETURN_ON_ASSET","FQ3 2016","FQ3 2016","Currency=USD","Period=FQ","BEST_FPERIOD_OVERRIDE=FQ","FILING_STATUS=MR","FA_ADJUSTED=GAAP","Sort=A","Dates=H","DateFormat=P","Fill=—","Direction=H","UseDPDF=Y")</f>
        <v>1.4652000000000001</v>
      </c>
      <c r="Y8" s="21">
        <f>_xll.BDH("NFLX US Equity","RETURN_ON_ASSET","FQ4 2016","FQ4 2016","Currency=USD","Period=FQ","BEST_FPERIOD_OVERRIDE=FQ","FILING_STATUS=MR","FA_ADJUSTED=GAAP","Sort=A","Dates=H","DateFormat=P","Fill=—","Direction=H","UseDPDF=Y")</f>
        <v>1.5693999999999999</v>
      </c>
      <c r="Z8" s="21">
        <f>_xll.BDH("NFLX US Equity","RETURN_ON_ASSET","FQ1 2017","FQ1 2017","Currency=USD","Period=FQ","BEST_FPERIOD_OVERRIDE=FQ","FILING_STATUS=MR","FA_ADJUSTED=GAAP","Sort=A","Dates=H","DateFormat=P","Fill=—","Direction=H","UseDPDF=Y")</f>
        <v>2.6324999999999998</v>
      </c>
      <c r="AA8" s="21">
        <f>_xll.BDH("NFLX US Equity","RETURN_ON_ASSET","FQ2 2017","FQ2 2017","Currency=USD","Period=FQ","BEST_FPERIOD_OVERRIDE=FQ","FILING_STATUS=MR","FA_ADJUSTED=GAAP","Sort=A","Dates=H","DateFormat=P","Fill=—","Direction=H","UseDPDF=Y")</f>
        <v>2.5760999999999998</v>
      </c>
      <c r="AB8" s="21">
        <f>_xll.BDH("NFLX US Equity","RETURN_ON_ASSET","FQ3 2017","FQ3 2017","Currency=USD","Period=FQ","BEST_FPERIOD_OVERRIDE=FQ","FILING_STATUS=MR","FA_ADJUSTED=GAAP","Sort=A","Dates=H","DateFormat=P","Fill=—","Direction=H","UseDPDF=Y")</f>
        <v>3.0045999999999999</v>
      </c>
      <c r="AC8" s="21">
        <f>_xll.BDH("NFLX US Equity","RETURN_ON_ASSET","FQ4 2017","FQ4 2017","Currency=USD","Period=FQ","BEST_FPERIOD_OVERRIDE=FQ","FILING_STATUS=MR","FA_ADJUSTED=GAAP","Sort=A","Dates=H","DateFormat=P","Fill=—","Direction=H","UseDPDF=Y")</f>
        <v>3.4291</v>
      </c>
      <c r="AD8" s="21">
        <f>_xll.BDH("NFLX US Equity","RETURN_ON_ASSET","FQ1 2018","FQ1 2018","Currency=USD","Period=FQ","BEST_FPERIOD_OVERRIDE=FQ","FILING_STATUS=MR","FA_ADJUSTED=GAAP","Sort=A","Dates=H","DateFormat=P","Fill=—","Direction=H","UseDPDF=Y")</f>
        <v>3.8875000000000002</v>
      </c>
      <c r="AE8" s="21">
        <f>_xll.BDH("NFLX US Equity","RETURN_ON_ASSET","FQ2 2018","FQ2 2018","Currency=USD","Period=FQ","BEST_FPERIOD_OVERRIDE=FQ","FILING_STATUS=MR","FA_ADJUSTED=GAAP","Sort=A","Dates=H","DateFormat=P","Fill=—","Direction=H","UseDPDF=Y")</f>
        <v>5.0514000000000001</v>
      </c>
      <c r="AF8" s="21">
        <f>_xll.BDH("NFLX US Equity","RETURN_ON_ASSET","FQ3 2018","FQ3 2018","Currency=USD","Period=FQ","BEST_FPERIOD_OVERRIDE=FQ","FILING_STATUS=MR","FA_ADJUSTED=GAAP","Sort=A","Dates=H","DateFormat=P","Fill=—","Direction=H","UseDPDF=Y")</f>
        <v>6.2644000000000002</v>
      </c>
      <c r="AG8" s="21">
        <f>_xll.BDH("NFLX US Equity","RETURN_ON_ASSET","FQ4 2018","FQ4 2018","Currency=USD","Period=FQ","BEST_FPERIOD_OVERRIDE=FQ","FILING_STATUS=MR","FA_ADJUSTED=GAAP","Sort=A","Dates=H","DateFormat=P","Fill=—","Direction=H","UseDPDF=Y")</f>
        <v>5.3848000000000003</v>
      </c>
      <c r="AH8" s="21">
        <f>_xll.BDH("NFLX US Equity","RETURN_ON_ASSET","FQ1 2019","FQ1 2019","Currency=USD","Period=FQ","BEST_FPERIOD_OVERRIDE=FQ","FILING_STATUS=MR","FA_ADJUSTED=GAAP","Sort=A","Dates=H","DateFormat=P","Fill=—","Direction=H","UseDPDF=Y")</f>
        <v>5.3414999999999999</v>
      </c>
      <c r="AI8" s="21">
        <f>_xll.BDH("NFLX US Equity","RETURN_ON_ASSET","FQ2 2019","FQ2 2019","Currency=USD","Period=FQ","BEST_FPERIOD_OVERRIDE=FQ","FILING_STATUS=MR","FA_ADJUSTED=GAAP","Sort=A","Dates=H","DateFormat=P","Fill=—","Direction=H","UseDPDF=Y")</f>
        <v>4.3588000000000005</v>
      </c>
      <c r="AJ8" s="21">
        <f>_xll.BDH("NFLX US Equity","RETURN_ON_ASSET","FQ3 2019","FQ3 2019","Currency=USD","Period=FQ","BEST_FPERIOD_OVERRIDE=FQ","FILING_STATUS=MR","FA_ADJUSTED=GAAP","Sort=A","Dates=H","DateFormat=P","Fill=—","Direction=H","UseDPDF=Y")</f>
        <v>5.2069000000000001</v>
      </c>
      <c r="AK8" s="21">
        <f>_xll.BDH("NFLX US Equity","RETURN_ON_ASSET","FQ4 2019","FQ4 2019","Currency=USD","Period=FQ","BEST_FPERIOD_OVERRIDE=FQ","FILING_STATUS=MR","FA_ADJUSTED=GAAP","Sort=A","Dates=H","DateFormat=P","Fill=—","Direction=H","UseDPDF=Y")</f>
        <v>6.2282000000000002</v>
      </c>
      <c r="AL8" s="21">
        <f>_xll.BDH("NFLX US Equity","RETURN_ON_ASSET","FQ1 2020","FQ1 2020","Currency=USD","Period=FQ","BEST_FPERIOD_OVERRIDE=FQ","FILING_STATUS=MR","FA_ADJUSTED=GAAP","Sort=A","Dates=H","DateFormat=P","Fill=—","Direction=H","UseDPDF=Y")</f>
        <v>7.1676000000000002</v>
      </c>
      <c r="AM8" s="21">
        <f>_xll.BDH("NFLX US Equity","RETURN_ON_ASSET","FQ2 2020","FQ2 2020","Currency=USD","Period=FQ","BEST_FPERIOD_OVERRIDE=FQ","FILING_STATUS=MR","FA_ADJUSTED=GAAP","Sort=A","Dates=H","DateFormat=P","Fill=—","Direction=H","UseDPDF=Y")</f>
        <v>7.9631999999999996</v>
      </c>
      <c r="AN8" s="21">
        <f>_xll.BDH("NFLX US Equity","RETURN_ON_ASSET","FQ3 2020","FQ3 2020","Currency=USD","Period=FQ","BEST_FPERIOD_OVERRIDE=FQ","FILING_STATUS=MR","FA_ADJUSTED=GAAP","Sort=A","Dates=H","DateFormat=P","Fill=—","Direction=H","UseDPDF=Y")</f>
        <v>8.0679999999999996</v>
      </c>
      <c r="AO8" s="21">
        <f>_xll.BDH("NFLX US Equity","RETURN_ON_ASSET","FQ4 2020","FQ4 2020","Currency=USD","Period=FQ","BEST_FPERIOD_OVERRIDE=FQ","FILING_STATUS=MR","FA_ADJUSTED=GAAP","Sort=A","Dates=H","DateFormat=P","Fill=—","Direction=H","UseDPDF=Y")</f>
        <v>7.5389999999999997</v>
      </c>
      <c r="AP8" s="21">
        <f>_xll.BDH("NFLX US Equity","RETURN_ON_ASSET","FQ1 2021","FQ1 2021","Currency=USD","Period=FQ","BEST_FPERIOD_OVERRIDE=FQ","FILING_STATUS=MR","FA_ADJUSTED=GAAP","Sort=A","Dates=H","DateFormat=P","Fill=—","Direction=H","UseDPDF=Y")</f>
        <v>9.9997000000000007</v>
      </c>
    </row>
    <row r="9" spans="1:42" x14ac:dyDescent="0.25">
      <c r="A9" s="18" t="s">
        <v>89</v>
      </c>
      <c r="B9" s="18" t="s">
        <v>90</v>
      </c>
      <c r="C9" s="21">
        <f>_xll.BDH("NFLX US Equity","RETURN_ON_CAP","FQ2 2011","FQ2 2011","Currency=USD","Period=FQ","BEST_FPERIOD_OVERRIDE=FQ","FILING_STATUS=MR","FA_ADJUSTED=GAAP","Sort=A","Dates=H","DateFormat=P","Fill=—","Direction=H","UseDPDF=Y")</f>
        <v>45.921900000000001</v>
      </c>
      <c r="D9" s="21">
        <f>_xll.BDH("NFLX US Equity","RETURN_ON_CAP","FQ3 2011","FQ3 2011","Currency=USD","Period=FQ","BEST_FPERIOD_OVERRIDE=FQ","FILING_STATUS=MR","FA_ADJUSTED=GAAP","Sort=A","Dates=H","DateFormat=P","Fill=—","Direction=H","UseDPDF=Y")</f>
        <v>47.651000000000003</v>
      </c>
      <c r="E9" s="21">
        <f>_xll.BDH("NFLX US Equity","RETURN_ON_CAP","FQ4 2011","FQ4 2011","Currency=USD","Period=FQ","BEST_FPERIOD_OVERRIDE=FQ","FILING_STATUS=MR","FA_ADJUSTED=GAAP","Sort=A","Dates=H","DateFormat=P","Fill=—","Direction=H","UseDPDF=Y")</f>
        <v>34.870800000000003</v>
      </c>
      <c r="F9" s="21">
        <f>_xll.BDH("NFLX US Equity","RETURN_ON_CAP","FQ1 2012","FQ1 2012","Currency=USD","Period=FQ","BEST_FPERIOD_OVERRIDE=FQ","FILING_STATUS=MR","FA_ADJUSTED=GAAP","Sort=A","Dates=H","DateFormat=P","Fill=—","Direction=H","UseDPDF=Y")</f>
        <v>25.324300000000001</v>
      </c>
      <c r="G9" s="21">
        <f>_xll.BDH("NFLX US Equity","RETURN_ON_CAP","FQ2 2012","FQ2 2012","Currency=USD","Period=FQ","BEST_FPERIOD_OVERRIDE=FQ","FILING_STATUS=MR","FA_ADJUSTED=GAAP","Sort=A","Dates=H","DateFormat=P","Fill=—","Direction=H","UseDPDF=Y")</f>
        <v>15.374499999999999</v>
      </c>
      <c r="H9" s="21">
        <f>_xll.BDH("NFLX US Equity","RETURN_ON_CAP","FQ3 2012","FQ3 2012","Currency=USD","Period=FQ","BEST_FPERIOD_OVERRIDE=FQ","FILING_STATUS=MR","FA_ADJUSTED=GAAP","Sort=A","Dates=H","DateFormat=P","Fill=—","Direction=H","UseDPDF=Y")</f>
        <v>7.3647999999999998</v>
      </c>
      <c r="I9" s="21">
        <f>_xll.BDH("NFLX US Equity","RETURN_ON_CAP","FQ4 2012","FQ4 2012","Currency=USD","Period=FQ","BEST_FPERIOD_OVERRIDE=FQ","FILING_STATUS=MR","FA_ADJUSTED=GAAP","Sort=A","Dates=H","DateFormat=P","Fill=—","Direction=H","UseDPDF=Y")</f>
        <v>3.1219999999999999</v>
      </c>
      <c r="J9" s="21">
        <f>_xll.BDH("NFLX US Equity","RETURN_ON_CAP","FQ1 2013","FQ1 2013","Currency=USD","Period=FQ","BEST_FPERIOD_OVERRIDE=FQ","FILING_STATUS=MR","FA_ADJUSTED=GAAP","Sort=A","Dates=H","DateFormat=P","Fill=—","Direction=H","UseDPDF=Y")</f>
        <v>3.5148999999999999</v>
      </c>
      <c r="K9" s="21">
        <f>_xll.BDH("NFLX US Equity","RETURN_ON_CAP","FQ2 2013","FQ2 2013","Currency=USD","Period=FQ","BEST_FPERIOD_OVERRIDE=FQ","FILING_STATUS=MR","FA_ADJUSTED=GAAP","Sort=A","Dates=H","DateFormat=P","Fill=—","Direction=H","UseDPDF=Y")</f>
        <v>5.0763999999999996</v>
      </c>
      <c r="L9" s="21">
        <f>_xll.BDH("NFLX US Equity","RETURN_ON_CAP","FQ3 2013","FQ3 2013","Currency=USD","Period=FQ","BEST_FPERIOD_OVERRIDE=FQ","FILING_STATUS=MR","FA_ADJUSTED=GAAP","Sort=A","Dates=H","DateFormat=P","Fill=—","Direction=H","UseDPDF=Y")</f>
        <v>6.7930999999999999</v>
      </c>
      <c r="M9" s="21">
        <f>_xll.BDH("NFLX US Equity","RETURN_ON_CAP","FQ4 2013","FQ4 2013","Currency=USD","Period=FQ","BEST_FPERIOD_OVERRIDE=FQ","FILING_STATUS=MR","FA_ADJUSTED=GAAP","Sort=A","Dates=H","DateFormat=P","Fill=—","Direction=H","UseDPDF=Y")</f>
        <v>9.3628999999999998</v>
      </c>
      <c r="N9" s="21">
        <f>_xll.BDH("NFLX US Equity","RETURN_ON_CAP","FQ1 2014","FQ1 2014","Currency=USD","Period=FQ","BEST_FPERIOD_OVERRIDE=FQ","FILING_STATUS=MR","FA_ADJUSTED=GAAP","Sort=A","Dates=H","DateFormat=P","Fill=—","Direction=H","UseDPDF=Y")</f>
        <v>9.9275000000000002</v>
      </c>
      <c r="O9" s="21">
        <f>_xll.BDH("NFLX US Equity","RETURN_ON_CAP","FQ2 2014","FQ2 2014","Currency=USD","Period=FQ","BEST_FPERIOD_OVERRIDE=FQ","FILING_STATUS=MR","FA_ADJUSTED=GAAP","Sort=A","Dates=H","DateFormat=P","Fill=—","Direction=H","UseDPDF=Y")</f>
        <v>11.0845</v>
      </c>
      <c r="P9" s="21">
        <f>_xll.BDH("NFLX US Equity","RETURN_ON_CAP","FQ3 2014","FQ3 2014","Currency=USD","Period=FQ","BEST_FPERIOD_OVERRIDE=FQ","FILING_STATUS=MR","FA_ADJUSTED=GAAP","Sort=A","Dates=H","DateFormat=P","Fill=—","Direction=H","UseDPDF=Y")</f>
        <v>11.966699999999999</v>
      </c>
      <c r="Q9" s="21">
        <f>_xll.BDH("NFLX US Equity","RETURN_ON_CAP","FQ4 2014","FQ4 2014","Currency=USD","Period=FQ","BEST_FPERIOD_OVERRIDE=FQ","FILING_STATUS=MR","FA_ADJUSTED=GAAP","Sort=A","Dates=H","DateFormat=P","Fill=—","Direction=H","UseDPDF=Y")</f>
        <v>13.247999999999999</v>
      </c>
      <c r="R9" s="21">
        <f>_xll.BDH("NFLX US Equity","RETURN_ON_CAP","FQ1 2015","FQ1 2015","Currency=USD","Period=FQ","BEST_FPERIOD_OVERRIDE=FQ","FILING_STATUS=MR","FA_ADJUSTED=GAAP","Sort=A","Dates=H","DateFormat=P","Fill=—","Direction=H","UseDPDF=Y")</f>
        <v>8.6883999999999997</v>
      </c>
      <c r="S9" s="21">
        <f>_xll.BDH("NFLX US Equity","RETURN_ON_CAP","FQ2 2015","FQ2 2015","Currency=USD","Period=FQ","BEST_FPERIOD_OVERRIDE=FQ","FILING_STATUS=MR","FA_ADJUSTED=GAAP","Sort=A","Dates=H","DateFormat=P","Fill=—","Direction=H","UseDPDF=Y")</f>
        <v>7.7727000000000004</v>
      </c>
      <c r="T9" s="21">
        <f>_xll.BDH("NFLX US Equity","RETURN_ON_CAP","FQ3 2015","FQ3 2015","Currency=USD","Period=FQ","BEST_FPERIOD_OVERRIDE=FQ","FILING_STATUS=MR","FA_ADJUSTED=GAAP","Sort=A","Dates=H","DateFormat=P","Fill=—","Direction=H","UseDPDF=Y")</f>
        <v>7.5339</v>
      </c>
      <c r="U9" s="21">
        <f>_xll.BDH("NFLX US Equity","RETURN_ON_CAP","FQ4 2015","FQ4 2015","Currency=USD","Period=FQ","BEST_FPERIOD_OVERRIDE=FQ","FILING_STATUS=MR","FA_ADJUSTED=GAAP","Sort=A","Dates=H","DateFormat=P","Fill=—","Direction=H","UseDPDF=Y")</f>
        <v>6.4429999999999996</v>
      </c>
      <c r="V9" s="21">
        <f>_xll.BDH("NFLX US Equity","RETURN_ON_CAP","FQ1 2016","FQ1 2016","Currency=USD","Period=FQ","BEST_FPERIOD_OVERRIDE=FQ","FILING_STATUS=MR","FA_ADJUSTED=GAAP","Sort=A","Dates=H","DateFormat=P","Fill=—","Direction=H","UseDPDF=Y")</f>
        <v>5.5918999999999999</v>
      </c>
      <c r="W9" s="21">
        <f>_xll.BDH("NFLX US Equity","RETURN_ON_CAP","FQ2 2016","FQ2 2016","Currency=USD","Period=FQ","BEST_FPERIOD_OVERRIDE=FQ","FILING_STATUS=MR","FA_ADJUSTED=GAAP","Sort=A","Dates=H","DateFormat=P","Fill=—","Direction=H","UseDPDF=Y")</f>
        <v>5.8727999999999998</v>
      </c>
      <c r="X9" s="21">
        <f>_xll.BDH("NFLX US Equity","RETURN_ON_CAP","FQ3 2016","FQ3 2016","Currency=USD","Period=FQ","BEST_FPERIOD_OVERRIDE=FQ","FILING_STATUS=MR","FA_ADJUSTED=GAAP","Sort=A","Dates=H","DateFormat=P","Fill=—","Direction=H","UseDPDF=Y")</f>
        <v>6.0052000000000003</v>
      </c>
      <c r="Y9" s="21">
        <f>_xll.BDH("NFLX US Equity","RETURN_ON_CAP","FQ4 2016","FQ4 2016","Currency=USD","Period=FQ","BEST_FPERIOD_OVERRIDE=FQ","FILING_STATUS=MR","FA_ADJUSTED=GAAP","Sort=A","Dates=H","DateFormat=P","Fill=—","Direction=H","UseDPDF=Y")</f>
        <v>5.5316000000000001</v>
      </c>
      <c r="Z9" s="21">
        <f>_xll.BDH("NFLX US Equity","RETURN_ON_CAP","FQ1 2017","FQ1 2017","Currency=USD","Period=FQ","BEST_FPERIOD_OVERRIDE=FQ","FILING_STATUS=MR","FA_ADJUSTED=GAAP","Sort=A","Dates=H","DateFormat=P","Fill=—","Direction=H","UseDPDF=Y")</f>
        <v>8.3356999999999992</v>
      </c>
      <c r="AA9" s="21">
        <f>_xll.BDH("NFLX US Equity","RETURN_ON_CAP","FQ2 2017","FQ2 2017","Currency=USD","Period=FQ","BEST_FPERIOD_OVERRIDE=FQ","FILING_STATUS=MR","FA_ADJUSTED=GAAP","Sort=A","Dates=H","DateFormat=P","Fill=—","Direction=H","UseDPDF=Y")</f>
        <v>8.2173999999999996</v>
      </c>
      <c r="AB9" s="21">
        <f>_xll.BDH("NFLX US Equity","RETURN_ON_CAP","FQ3 2017","FQ3 2017","Currency=USD","Period=FQ","BEST_FPERIOD_OVERRIDE=FQ","FILING_STATUS=MR","FA_ADJUSTED=GAAP","Sort=A","Dates=H","DateFormat=P","Fill=—","Direction=H","UseDPDF=Y")</f>
        <v>9.8292000000000002</v>
      </c>
      <c r="AC9" s="21">
        <f>_xll.BDH("NFLX US Equity","RETURN_ON_CAP","FQ4 2017","FQ4 2017","Currency=USD","Period=FQ","BEST_FPERIOD_OVERRIDE=FQ","FILING_STATUS=MR","FA_ADJUSTED=GAAP","Sort=A","Dates=H","DateFormat=P","Fill=—","Direction=H","UseDPDF=Y")</f>
        <v>8.8526000000000007</v>
      </c>
      <c r="AD9" s="21">
        <f>_xll.BDH("NFLX US Equity","RETURN_ON_CAP","FQ1 2018","FQ1 2018","Currency=USD","Period=FQ","BEST_FPERIOD_OVERRIDE=FQ","FILING_STATUS=MR","FA_ADJUSTED=GAAP","Sort=A","Dates=H","DateFormat=P","Fill=—","Direction=H","UseDPDF=Y")</f>
        <v>10.486800000000001</v>
      </c>
      <c r="AE9" s="21">
        <f>_xll.BDH("NFLX US Equity","RETURN_ON_CAP","FQ2 2018","FQ2 2018","Currency=USD","Period=FQ","BEST_FPERIOD_OVERRIDE=FQ","FILING_STATUS=MR","FA_ADJUSTED=GAAP","Sort=A","Dates=H","DateFormat=P","Fill=—","Direction=H","UseDPDF=Y")</f>
        <v>11.943999999999999</v>
      </c>
      <c r="AF9" s="21">
        <f>_xll.BDH("NFLX US Equity","RETURN_ON_CAP","FQ3 2018","FQ3 2018","Currency=USD","Period=FQ","BEST_FPERIOD_OVERRIDE=FQ","FILING_STATUS=MR","FA_ADJUSTED=GAAP","Sort=A","Dates=H","DateFormat=P","Fill=—","Direction=H","UseDPDF=Y")</f>
        <v>14.4023</v>
      </c>
      <c r="AG9" s="21">
        <f>_xll.BDH("NFLX US Equity","RETURN_ON_CAP","FQ4 2018","FQ4 2018","Currency=USD","Period=FQ","BEST_FPERIOD_OVERRIDE=FQ","FILING_STATUS=MR","FA_ADJUSTED=GAAP","Sort=A","Dates=H","DateFormat=P","Fill=—","Direction=H","UseDPDF=Y")</f>
        <v>12.6675</v>
      </c>
      <c r="AH9" s="21">
        <f>_xll.BDH("NFLX US Equity","RETURN_ON_CAP","FQ1 2019","FQ1 2019","Currency=USD","Period=FQ","BEST_FPERIOD_OVERRIDE=FQ","FILING_STATUS=MR","FA_ADJUSTED=GAAP","Sort=A","Dates=H","DateFormat=P","Fill=—","Direction=H","UseDPDF=Y")</f>
        <v>12.513500000000001</v>
      </c>
      <c r="AI9" s="21">
        <f>_xll.BDH("NFLX US Equity","RETURN_ON_CAP","FQ2 2019","FQ2 2019","Currency=USD","Period=FQ","BEST_FPERIOD_OVERRIDE=FQ","FILING_STATUS=MR","FA_ADJUSTED=GAAP","Sort=A","Dates=H","DateFormat=P","Fill=—","Direction=H","UseDPDF=Y")</f>
        <v>9.7102000000000004</v>
      </c>
      <c r="AJ9" s="21">
        <f>_xll.BDH("NFLX US Equity","RETURN_ON_CAP","FQ3 2019","FQ3 2019","Currency=USD","Period=FQ","BEST_FPERIOD_OVERRIDE=FQ","FILING_STATUS=MR","FA_ADJUSTED=GAAP","Sort=A","Dates=H","DateFormat=P","Fill=—","Direction=H","UseDPDF=Y")</f>
        <v>10.7584</v>
      </c>
      <c r="AK9" s="21">
        <f>_xll.BDH("NFLX US Equity","RETURN_ON_CAP","FQ4 2019","FQ4 2019","Currency=USD","Period=FQ","BEST_FPERIOD_OVERRIDE=FQ","FILING_STATUS=MR","FA_ADJUSTED=GAAP","Sort=A","Dates=H","DateFormat=P","Fill=—","Direction=H","UseDPDF=Y")</f>
        <v>12.3056</v>
      </c>
      <c r="AL9" s="21">
        <f>_xll.BDH("NFLX US Equity","RETURN_ON_CAP","FQ1 2020","FQ1 2020","Currency=USD","Period=FQ","BEST_FPERIOD_OVERRIDE=FQ","FILING_STATUS=MR","FA_ADJUSTED=GAAP","Sort=A","Dates=H","DateFormat=P","Fill=—","Direction=H","UseDPDF=Y")</f>
        <v>13.6845</v>
      </c>
      <c r="AM9" s="21">
        <f>_xll.BDH("NFLX US Equity","RETURN_ON_CAP","FQ2 2020","FQ2 2020","Currency=USD","Period=FQ","BEST_FPERIOD_OVERRIDE=FQ","FILING_STATUS=MR","FA_ADJUSTED=GAAP","Sort=A","Dates=H","DateFormat=P","Fill=—","Direction=H","UseDPDF=Y")</f>
        <v>14.176</v>
      </c>
      <c r="AN9" s="21">
        <f>_xll.BDH("NFLX US Equity","RETURN_ON_CAP","FQ3 2020","FQ3 2020","Currency=USD","Period=FQ","BEST_FPERIOD_OVERRIDE=FQ","FILING_STATUS=MR","FA_ADJUSTED=GAAP","Sort=A","Dates=H","DateFormat=P","Fill=—","Direction=H","UseDPDF=Y")</f>
        <v>14.5068</v>
      </c>
      <c r="AO9" s="21">
        <f>_xll.BDH("NFLX US Equity","RETURN_ON_CAP","FQ4 2020","FQ4 2020","Currency=USD","Period=FQ","BEST_FPERIOD_OVERRIDE=FQ","FILING_STATUS=MR","FA_ADJUSTED=GAAP","Sort=A","Dates=H","DateFormat=P","Fill=—","Direction=H","UseDPDF=Y")</f>
        <v>12.792</v>
      </c>
      <c r="AP9" s="21">
        <f>_xll.BDH("NFLX US Equity","RETURN_ON_CAP","FQ1 2021","FQ1 2021","Currency=USD","Period=FQ","BEST_FPERIOD_OVERRIDE=FQ","FILING_STATUS=MR","FA_ADJUSTED=GAAP","Sort=A","Dates=H","DateFormat=P","Fill=—","Direction=H","UseDPDF=Y")</f>
        <v>15.9785</v>
      </c>
    </row>
    <row r="10" spans="1:42" x14ac:dyDescent="0.25">
      <c r="A10" s="18" t="s">
        <v>91</v>
      </c>
      <c r="B10" s="18" t="s">
        <v>92</v>
      </c>
      <c r="C10" s="21">
        <f>_xll.BDH("NFLX US Equity","RETURN_ON_INV_CAPITAL","FQ2 2011","FQ2 2011","Currency=USD","Period=FQ","BEST_FPERIOD_OVERRIDE=FQ","FILING_STATUS=MR","FA_ADJUSTED=GAAP","Sort=A","Dates=H","DateFormat=P","Fill=—","Direction=H","UseDPDF=Y")</f>
        <v>45.459499999999998</v>
      </c>
      <c r="D10" s="21">
        <f>_xll.BDH("NFLX US Equity","RETURN_ON_INV_CAPITAL","FQ3 2011","FQ3 2011","Currency=USD","Period=FQ","BEST_FPERIOD_OVERRIDE=FQ","FILING_STATUS=MR","FA_ADJUSTED=GAAP","Sort=A","Dates=H","DateFormat=P","Fill=—","Direction=H","UseDPDF=Y")</f>
        <v>47.106400000000001</v>
      </c>
      <c r="E10" s="21">
        <f>_xll.BDH("NFLX US Equity","RETURN_ON_INV_CAPITAL","FQ4 2011","FQ4 2011","Currency=USD","Period=FQ","BEST_FPERIOD_OVERRIDE=FQ","FILING_STATUS=MR","FA_ADJUSTED=GAAP","Sort=A","Dates=H","DateFormat=P","Fill=—","Direction=H","UseDPDF=Y")</f>
        <v>33.140300000000003</v>
      </c>
      <c r="F10" s="21">
        <f>_xll.BDH("NFLX US Equity","RETURN_ON_INV_CAPITAL","FQ1 2012","FQ1 2012","Currency=USD","Period=FQ","BEST_FPERIOD_OVERRIDE=FQ","FILING_STATUS=MR","FA_ADJUSTED=GAAP","Sort=A","Dates=H","DateFormat=P","Fill=—","Direction=H","UseDPDF=Y")</f>
        <v>25.086400000000001</v>
      </c>
      <c r="G10" s="21">
        <f>_xll.BDH("NFLX US Equity","RETURN_ON_INV_CAPITAL","FQ2 2012","FQ2 2012","Currency=USD","Period=FQ","BEST_FPERIOD_OVERRIDE=FQ","FILING_STATUS=MR","FA_ADJUSTED=GAAP","Sort=A","Dates=H","DateFormat=P","Fill=—","Direction=H","UseDPDF=Y")</f>
        <v>15.223700000000001</v>
      </c>
      <c r="H10" s="21">
        <f>_xll.BDH("NFLX US Equity","RETURN_ON_INV_CAPITAL","FQ3 2012","FQ3 2012","Currency=USD","Period=FQ","BEST_FPERIOD_OVERRIDE=FQ","FILING_STATUS=MR","FA_ADJUSTED=GAAP","Sort=A","Dates=H","DateFormat=P","Fill=—","Direction=H","UseDPDF=Y")</f>
        <v>7.3639999999999999</v>
      </c>
      <c r="I10" s="21">
        <f>_xll.BDH("NFLX US Equity","RETURN_ON_INV_CAPITAL","FQ4 2012","FQ4 2012","Currency=USD","Period=FQ","BEST_FPERIOD_OVERRIDE=FQ","FILING_STATUS=MR","FA_ADJUSTED=GAAP","Sort=A","Dates=H","DateFormat=P","Fill=—","Direction=H","UseDPDF=Y")</f>
        <v>2.9874999999999998</v>
      </c>
      <c r="J10" s="21">
        <f>_xll.BDH("NFLX US Equity","RETURN_ON_INV_CAPITAL","FQ1 2013","FQ1 2013","Currency=USD","Period=FQ","BEST_FPERIOD_OVERRIDE=FQ","FILING_STATUS=MR","FA_ADJUSTED=GAAP","Sort=A","Dates=H","DateFormat=P","Fill=—","Direction=H","UseDPDF=Y")</f>
        <v>4.8189000000000002</v>
      </c>
      <c r="K10" s="21">
        <f>_xll.BDH("NFLX US Equity","RETURN_ON_INV_CAPITAL","FQ2 2013","FQ2 2013","Currency=USD","Period=FQ","BEST_FPERIOD_OVERRIDE=FQ","FILING_STATUS=MR","FA_ADJUSTED=GAAP","Sort=A","Dates=H","DateFormat=P","Fill=—","Direction=H","UseDPDF=Y")</f>
        <v>6.3497000000000003</v>
      </c>
      <c r="L10" s="21">
        <f>_xll.BDH("NFLX US Equity","RETURN_ON_INV_CAPITAL","FQ3 2013","FQ3 2013","Currency=USD","Period=FQ","BEST_FPERIOD_OVERRIDE=FQ","FILING_STATUS=MR","FA_ADJUSTED=GAAP","Sort=A","Dates=H","DateFormat=P","Fill=—","Direction=H","UseDPDF=Y")</f>
        <v>8.0526</v>
      </c>
      <c r="M10" s="21">
        <f>_xll.BDH("NFLX US Equity","RETURN_ON_INV_CAPITAL","FQ4 2013","FQ4 2013","Currency=USD","Period=FQ","BEST_FPERIOD_OVERRIDE=FQ","FILING_STATUS=MR","FA_ADJUSTED=GAAP","Sort=A","Dates=H","DateFormat=P","Fill=—","Direction=H","UseDPDF=Y")</f>
        <v>10.3529</v>
      </c>
      <c r="N10" s="21">
        <f>_xll.BDH("NFLX US Equity","RETURN_ON_INV_CAPITAL","FQ1 2014","FQ1 2014","Currency=USD","Period=FQ","BEST_FPERIOD_OVERRIDE=FQ","FILING_STATUS=MR","FA_ADJUSTED=GAAP","Sort=A","Dates=H","DateFormat=P","Fill=—","Direction=H","UseDPDF=Y")</f>
        <v>10.020099999999999</v>
      </c>
      <c r="O10" s="21">
        <f>_xll.BDH("NFLX US Equity","RETURN_ON_INV_CAPITAL","FQ2 2014","FQ2 2014","Currency=USD","Period=FQ","BEST_FPERIOD_OVERRIDE=FQ","FILING_STATUS=MR","FA_ADJUSTED=GAAP","Sort=A","Dates=H","DateFormat=P","Fill=—","Direction=H","UseDPDF=Y")</f>
        <v>11.0449</v>
      </c>
      <c r="P10" s="21">
        <f>_xll.BDH("NFLX US Equity","RETURN_ON_INV_CAPITAL","FQ3 2014","FQ3 2014","Currency=USD","Period=FQ","BEST_FPERIOD_OVERRIDE=FQ","FILING_STATUS=MR","FA_ADJUSTED=GAAP","Sort=A","Dates=H","DateFormat=P","Fill=—","Direction=H","UseDPDF=Y")</f>
        <v>11.9031</v>
      </c>
      <c r="Q10" s="21">
        <f>_xll.BDH("NFLX US Equity","RETURN_ON_INV_CAPITAL","FQ4 2014","FQ4 2014","Currency=USD","Period=FQ","BEST_FPERIOD_OVERRIDE=FQ","FILING_STATUS=MR","FA_ADJUSTED=GAAP","Sort=A","Dates=H","DateFormat=P","Fill=—","Direction=H","UseDPDF=Y")</f>
        <v>13.467499999999999</v>
      </c>
      <c r="R10" s="21">
        <f>_xll.BDH("NFLX US Equity","RETURN_ON_INV_CAPITAL","FQ1 2015","FQ1 2015","Currency=USD","Period=FQ","BEST_FPERIOD_OVERRIDE=FQ","FILING_STATUS=MR","FA_ADJUSTED=GAAP","Sort=A","Dates=H","DateFormat=P","Fill=—","Direction=H","UseDPDF=Y")</f>
        <v>9.0891000000000002</v>
      </c>
      <c r="S10" s="21">
        <f>_xll.BDH("NFLX US Equity","RETURN_ON_INV_CAPITAL","FQ2 2015","FQ2 2015","Currency=USD","Period=FQ","BEST_FPERIOD_OVERRIDE=FQ","FILING_STATUS=MR","FA_ADJUSTED=GAAP","Sort=A","Dates=H","DateFormat=P","Fill=—","Direction=H","UseDPDF=Y")</f>
        <v>7.8993000000000002</v>
      </c>
      <c r="T10" s="21">
        <f>_xll.BDH("NFLX US Equity","RETURN_ON_INV_CAPITAL","FQ3 2015","FQ3 2015","Currency=USD","Period=FQ","BEST_FPERIOD_OVERRIDE=FQ","FILING_STATUS=MR","FA_ADJUSTED=GAAP","Sort=A","Dates=H","DateFormat=P","Fill=—","Direction=H","UseDPDF=Y")</f>
        <v>7.1847000000000003</v>
      </c>
      <c r="U10" s="21">
        <f>_xll.BDH("NFLX US Equity","RETURN_ON_INV_CAPITAL","FQ4 2015","FQ4 2015","Currency=USD","Period=FQ","BEST_FPERIOD_OVERRIDE=FQ","FILING_STATUS=MR","FA_ADJUSTED=GAAP","Sort=A","Dates=H","DateFormat=P","Fill=—","Direction=H","UseDPDF=Y")</f>
        <v>6.7103999999999999</v>
      </c>
      <c r="V10" s="21">
        <f>_xll.BDH("NFLX US Equity","RETURN_ON_INV_CAPITAL","FQ1 2016","FQ1 2016","Currency=USD","Period=FQ","BEST_FPERIOD_OVERRIDE=FQ","FILING_STATUS=MR","FA_ADJUSTED=GAAP","Sort=A","Dates=H","DateFormat=P","Fill=—","Direction=H","UseDPDF=Y")</f>
        <v>4.6966000000000001</v>
      </c>
      <c r="W10" s="21">
        <f>_xll.BDH("NFLX US Equity","RETURN_ON_INV_CAPITAL","FQ2 2016","FQ2 2016","Currency=USD","Period=FQ","BEST_FPERIOD_OVERRIDE=FQ","FILING_STATUS=MR","FA_ADJUSTED=GAAP","Sort=A","Dates=H","DateFormat=P","Fill=—","Direction=H","UseDPDF=Y")</f>
        <v>4.7417999999999996</v>
      </c>
      <c r="X10" s="21">
        <f>_xll.BDH("NFLX US Equity","RETURN_ON_INV_CAPITAL","FQ3 2016","FQ3 2016","Currency=USD","Period=FQ","BEST_FPERIOD_OVERRIDE=FQ","FILING_STATUS=MR","FA_ADJUSTED=GAAP","Sort=A","Dates=H","DateFormat=P","Fill=—","Direction=H","UseDPDF=Y")</f>
        <v>4.9912999999999998</v>
      </c>
      <c r="Y10" s="21">
        <f>_xll.BDH("NFLX US Equity","RETURN_ON_INV_CAPITAL","FQ4 2016","FQ4 2016","Currency=USD","Period=FQ","BEST_FPERIOD_OVERRIDE=FQ","FILING_STATUS=MR","FA_ADJUSTED=GAAP","Sort=A","Dates=H","DateFormat=P","Fill=—","Direction=H","UseDPDF=Y")</f>
        <v>5.3394000000000004</v>
      </c>
      <c r="Z10" s="21">
        <f>_xll.BDH("NFLX US Equity","RETURN_ON_INV_CAPITAL","FQ1 2017","FQ1 2017","Currency=USD","Period=FQ","BEST_FPERIOD_OVERRIDE=FQ","FILING_STATUS=MR","FA_ADJUSTED=GAAP","Sort=A","Dates=H","DateFormat=P","Fill=—","Direction=H","UseDPDF=Y")</f>
        <v>8.0420999999999996</v>
      </c>
      <c r="AA10" s="21">
        <f>_xll.BDH("NFLX US Equity","RETURN_ON_INV_CAPITAL","FQ2 2017","FQ2 2017","Currency=USD","Period=FQ","BEST_FPERIOD_OVERRIDE=FQ","FILING_STATUS=MR","FA_ADJUSTED=GAAP","Sort=A","Dates=H","DateFormat=P","Fill=—","Direction=H","UseDPDF=Y")</f>
        <v>8.7035999999999998</v>
      </c>
      <c r="AB10" s="21">
        <f>_xll.BDH("NFLX US Equity","RETURN_ON_INV_CAPITAL","FQ3 2017","FQ3 2017","Currency=USD","Period=FQ","BEST_FPERIOD_OVERRIDE=FQ","FILING_STATUS=MR","FA_ADJUSTED=GAAP","Sort=A","Dates=H","DateFormat=P","Fill=—","Direction=H","UseDPDF=Y")</f>
        <v>10.769299999999999</v>
      </c>
      <c r="AC10" s="21">
        <f>_xll.BDH("NFLX US Equity","RETURN_ON_INV_CAPITAL","FQ4 2017","FQ4 2017","Currency=USD","Period=FQ","BEST_FPERIOD_OVERRIDE=FQ","FILING_STATUS=MR","FA_ADJUSTED=GAAP","Sort=A","Dates=H","DateFormat=P","Fill=—","Direction=H","UseDPDF=Y")</f>
        <v>11.053100000000001</v>
      </c>
      <c r="AD10" s="21">
        <f>_xll.BDH("NFLX US Equity","RETURN_ON_INV_CAPITAL","FQ1 2018","FQ1 2018","Currency=USD","Period=FQ","BEST_FPERIOD_OVERRIDE=FQ","FILING_STATUS=MR","FA_ADJUSTED=GAAP","Sort=A","Dates=H","DateFormat=P","Fill=—","Direction=H","UseDPDF=Y")</f>
        <v>12.779400000000001</v>
      </c>
      <c r="AE10" s="21">
        <f>_xll.BDH("NFLX US Equity","RETURN_ON_INV_CAPITAL","FQ2 2018","FQ2 2018","Currency=USD","Period=FQ","BEST_FPERIOD_OVERRIDE=FQ","FILING_STATUS=MR","FA_ADJUSTED=GAAP","Sort=A","Dates=H","DateFormat=P","Fill=—","Direction=H","UseDPDF=Y")</f>
        <v>12.773099999999999</v>
      </c>
      <c r="AF10" s="21">
        <f>_xll.BDH("NFLX US Equity","RETURN_ON_INV_CAPITAL","FQ3 2018","FQ3 2018","Currency=USD","Period=FQ","BEST_FPERIOD_OVERRIDE=FQ","FILING_STATUS=MR","FA_ADJUSTED=GAAP","Sort=A","Dates=H","DateFormat=P","Fill=—","Direction=H","UseDPDF=Y")</f>
        <v>14.746</v>
      </c>
      <c r="AG10" s="21">
        <f>_xll.BDH("NFLX US Equity","RETURN_ON_INV_CAPITAL","FQ4 2018","FQ4 2018","Currency=USD","Period=FQ","BEST_FPERIOD_OVERRIDE=FQ","FILING_STATUS=MR","FA_ADJUSTED=GAAP","Sort=A","Dates=H","DateFormat=P","Fill=—","Direction=H","UseDPDF=Y")</f>
        <v>12.6579</v>
      </c>
      <c r="AH10" s="21">
        <f>_xll.BDH("NFLX US Equity","RETURN_ON_INV_CAPITAL","FQ1 2019","FQ1 2019","Currency=USD","Period=FQ","BEST_FPERIOD_OVERRIDE=FQ","FILING_STATUS=MR","FA_ADJUSTED=GAAP","Sort=A","Dates=H","DateFormat=P","Fill=—","Direction=H","UseDPDF=Y")</f>
        <v>11.0863</v>
      </c>
      <c r="AI10" s="21">
        <f>_xll.BDH("NFLX US Equity","RETURN_ON_INV_CAPITAL","FQ2 2019","FQ2 2019","Currency=USD","Period=FQ","BEST_FPERIOD_OVERRIDE=FQ","FILING_STATUS=MR","FA_ADJUSTED=GAAP","Sort=A","Dates=H","DateFormat=P","Fill=—","Direction=H","UseDPDF=Y")</f>
        <v>9.1305999999999994</v>
      </c>
      <c r="AJ10" s="21">
        <f>_xll.BDH("NFLX US Equity","RETURN_ON_INV_CAPITAL","FQ3 2019","FQ3 2019","Currency=USD","Period=FQ","BEST_FPERIOD_OVERRIDE=FQ","FILING_STATUS=MR","FA_ADJUSTED=GAAP","Sort=A","Dates=H","DateFormat=P","Fill=—","Direction=H","UseDPDF=Y")</f>
        <v>9.7796000000000003</v>
      </c>
      <c r="AK10" s="21">
        <f>_xll.BDH("NFLX US Equity","RETURN_ON_INV_CAPITAL","FQ4 2019","FQ4 2019","Currency=USD","Period=FQ","BEST_FPERIOD_OVERRIDE=FQ","FILING_STATUS=MR","FA_ADJUSTED=GAAP","Sort=A","Dates=H","DateFormat=P","Fill=—","Direction=H","UseDPDF=Y")</f>
        <v>11.937799999999999</v>
      </c>
      <c r="AL10" s="21">
        <f>_xll.BDH("NFLX US Equity","RETURN_ON_INV_CAPITAL","FQ1 2020","FQ1 2020","Currency=USD","Period=FQ","BEST_FPERIOD_OVERRIDE=FQ","FILING_STATUS=MR","FA_ADJUSTED=GAAP","Sort=A","Dates=H","DateFormat=P","Fill=—","Direction=H","UseDPDF=Y")</f>
        <v>13.2135</v>
      </c>
      <c r="AM10" s="21">
        <f>_xll.BDH("NFLX US Equity","RETURN_ON_INV_CAPITAL","FQ2 2020","FQ2 2020","Currency=USD","Period=FQ","BEST_FPERIOD_OVERRIDE=FQ","FILING_STATUS=MR","FA_ADJUSTED=GAAP","Sort=A","Dates=H","DateFormat=P","Fill=—","Direction=H","UseDPDF=Y")</f>
        <v>14.1335</v>
      </c>
      <c r="AN10" s="21">
        <f>_xll.BDH("NFLX US Equity","RETURN_ON_INV_CAPITAL","FQ3 2020","FQ3 2020","Currency=USD","Period=FQ","BEST_FPERIOD_OVERRIDE=FQ","FILING_STATUS=MR","FA_ADJUSTED=GAAP","Sort=A","Dates=H","DateFormat=P","Fill=—","Direction=H","UseDPDF=Y")</f>
        <v>15.840400000000001</v>
      </c>
      <c r="AO10" s="21">
        <f>_xll.BDH("NFLX US Equity","RETURN_ON_INV_CAPITAL","FQ4 2020","FQ4 2020","Currency=USD","Period=FQ","BEST_FPERIOD_OVERRIDE=FQ","FILING_STATUS=MR","FA_ADJUSTED=GAAP","Sort=A","Dates=H","DateFormat=P","Fill=—","Direction=H","UseDPDF=Y")</f>
        <v>15.043100000000001</v>
      </c>
      <c r="AP10" s="21">
        <f>_xll.BDH("NFLX US Equity","RETURN_ON_INV_CAPITAL","FQ1 2021","FQ1 2021","Currency=USD","Period=FQ","BEST_FPERIOD_OVERRIDE=FQ","FILING_STATUS=MR","FA_ADJUSTED=GAAP","Sort=A","Dates=H","DateFormat=P","Fill=—","Direction=H","UseDPDF=Y")</f>
        <v>17.081499999999998</v>
      </c>
    </row>
    <row r="11" spans="1:42" x14ac:dyDescent="0.25">
      <c r="A11" s="1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</row>
    <row r="12" spans="1:42" x14ac:dyDescent="0.25">
      <c r="A12" s="14" t="s">
        <v>93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x14ac:dyDescent="0.25">
      <c r="A13" s="18" t="s">
        <v>94</v>
      </c>
      <c r="B13" s="18" t="s">
        <v>95</v>
      </c>
      <c r="C13" s="21">
        <f>_xll.BDH("NFLX US Equity","GROSS_MARGIN","FQ2 2011","FQ2 2011","Currency=USD","Period=FQ","BEST_FPERIOD_OVERRIDE=FQ","FILING_STATUS=MR","FA_ADJUSTED=GAAP","Sort=A","Dates=H","DateFormat=P","Fill=—","Direction=H","UseDPDF=Y")</f>
        <v>37.868099999999998</v>
      </c>
      <c r="D13" s="21">
        <f>_xll.BDH("NFLX US Equity","GROSS_MARGIN","FQ3 2011","FQ3 2011","Currency=USD","Period=FQ","BEST_FPERIOD_OVERRIDE=FQ","FILING_STATUS=MR","FA_ADJUSTED=GAAP","Sort=A","Dates=H","DateFormat=P","Fill=—","Direction=H","UseDPDF=Y")</f>
        <v>34.705300000000001</v>
      </c>
      <c r="E13" s="21">
        <f>_xll.BDH("NFLX US Equity","GROSS_MARGIN","FQ4 2011","FQ4 2011","Currency=USD","Period=FQ","BEST_FPERIOD_OVERRIDE=FQ","FILING_STATUS=MR","FA_ADJUSTED=GAAP","Sort=A","Dates=H","DateFormat=P","Fill=—","Direction=H","UseDPDF=Y")</f>
        <v>34.311199999999999</v>
      </c>
      <c r="F13" s="21">
        <f>_xll.BDH("NFLX US Equity","GROSS_MARGIN","FQ1 2012","FQ1 2012","Currency=USD","Period=FQ","BEST_FPERIOD_OVERRIDE=FQ","FILING_STATUS=MR","FA_ADJUSTED=GAAP","Sort=A","Dates=H","DateFormat=P","Fill=—","Direction=H","UseDPDF=Y")</f>
        <v>28.266300000000001</v>
      </c>
      <c r="G13" s="21">
        <f>_xll.BDH("NFLX US Equity","GROSS_MARGIN","FQ2 2012","FQ2 2012","Currency=USD","Period=FQ","BEST_FPERIOD_OVERRIDE=FQ","FILING_STATUS=MR","FA_ADJUSTED=GAAP","Sort=A","Dates=H","DateFormat=P","Fill=—","Direction=H","UseDPDF=Y")</f>
        <v>27.636700000000001</v>
      </c>
      <c r="H13" s="21">
        <f>_xll.BDH("NFLX US Equity","GROSS_MARGIN","FQ3 2012","FQ3 2012","Currency=USD","Period=FQ","BEST_FPERIOD_OVERRIDE=FQ","FILING_STATUS=MR","FA_ADJUSTED=GAAP","Sort=A","Dates=H","DateFormat=P","Fill=—","Direction=H","UseDPDF=Y")</f>
        <v>26.787500000000001</v>
      </c>
      <c r="I13" s="21">
        <f>_xll.BDH("NFLX US Equity","GROSS_MARGIN","FQ4 2012","FQ4 2012","Currency=USD","Period=FQ","BEST_FPERIOD_OVERRIDE=FQ","FILING_STATUS=MR","FA_ADJUSTED=GAAP","Sort=A","Dates=H","DateFormat=P","Fill=—","Direction=H","UseDPDF=Y")</f>
        <v>26.381900000000002</v>
      </c>
      <c r="J13" s="21">
        <f>_xll.BDH("NFLX US Equity","GROSS_MARGIN","FQ1 2013","FQ1 2013","Currency=USD","Period=FQ","BEST_FPERIOD_OVERRIDE=FQ","FILING_STATUS=MR","FA_ADJUSTED=GAAP","Sort=A","Dates=H","DateFormat=P","Fill=—","Direction=H","UseDPDF=Y")</f>
        <v>28.029299999999999</v>
      </c>
      <c r="K13" s="21">
        <f>_xll.BDH("NFLX US Equity","GROSS_MARGIN","FQ2 2013","FQ2 2013","Currency=USD","Period=FQ","BEST_FPERIOD_OVERRIDE=FQ","FILING_STATUS=MR","FA_ADJUSTED=GAAP","Sort=A","Dates=H","DateFormat=P","Fill=—","Direction=H","UseDPDF=Y")</f>
        <v>28.8672</v>
      </c>
      <c r="L13" s="21">
        <f>_xll.BDH("NFLX US Equity","GROSS_MARGIN","FQ3 2013","FQ3 2013","Currency=USD","Period=FQ","BEST_FPERIOD_OVERRIDE=FQ","FILING_STATUS=MR","FA_ADJUSTED=GAAP","Sort=A","Dates=H","DateFormat=P","Fill=—","Direction=H","UseDPDF=Y")</f>
        <v>27.7667</v>
      </c>
      <c r="M13" s="21">
        <f>_xll.BDH("NFLX US Equity","GROSS_MARGIN","FQ4 2013","FQ4 2013","Currency=USD","Period=FQ","BEST_FPERIOD_OVERRIDE=FQ","FILING_STATUS=MR","FA_ADJUSTED=GAAP","Sort=A","Dates=H","DateFormat=P","Fill=—","Direction=H","UseDPDF=Y")</f>
        <v>30.92</v>
      </c>
      <c r="N13" s="21">
        <f>_xll.BDH("NFLX US Equity","GROSS_MARGIN","FQ1 2014","FQ1 2014","Currency=USD","Period=FQ","BEST_FPERIOD_OVERRIDE=FQ","FILING_STATUS=MR","FA_ADJUSTED=GAAP","Sort=A","Dates=H","DateFormat=P","Fill=—","Direction=H","UseDPDF=Y")</f>
        <v>31.565000000000001</v>
      </c>
      <c r="O13" s="21">
        <f>_xll.BDH("NFLX US Equity","GROSS_MARGIN","FQ2 2014","FQ2 2014","Currency=USD","Period=FQ","BEST_FPERIOD_OVERRIDE=FQ","FILING_STATUS=MR","FA_ADJUSTED=GAAP","Sort=A","Dates=H","DateFormat=P","Fill=—","Direction=H","UseDPDF=Y")</f>
        <v>31.7485</v>
      </c>
      <c r="P13" s="21">
        <f>_xll.BDH("NFLX US Equity","GROSS_MARGIN","FQ3 2014","FQ3 2014","Currency=USD","Period=FQ","BEST_FPERIOD_OVERRIDE=FQ","FILING_STATUS=MR","FA_ADJUSTED=GAAP","Sort=A","Dates=H","DateFormat=P","Fill=—","Direction=H","UseDPDF=Y")</f>
        <v>32.285200000000003</v>
      </c>
      <c r="Q13" s="21">
        <f>_xll.BDH("NFLX US Equity","GROSS_MARGIN","FQ4 2014","FQ4 2014","Currency=USD","Period=FQ","BEST_FPERIOD_OVERRIDE=FQ","FILING_STATUS=MR","FA_ADJUSTED=GAAP","Sort=A","Dates=H","DateFormat=P","Fill=—","Direction=H","UseDPDF=Y")</f>
        <v>31.682300000000001</v>
      </c>
      <c r="R13" s="21">
        <f>_xll.BDH("NFLX US Equity","GROSS_MARGIN","FQ1 2015","FQ1 2015","Currency=USD","Period=FQ","BEST_FPERIOD_OVERRIDE=FQ","FILING_STATUS=MR","FA_ADJUSTED=GAAP","Sort=A","Dates=H","DateFormat=P","Fill=—","Direction=H","UseDPDF=Y")</f>
        <v>33.482799999999997</v>
      </c>
      <c r="S13" s="21">
        <f>_xll.BDH("NFLX US Equity","GROSS_MARGIN","FQ2 2015","FQ2 2015","Currency=USD","Period=FQ","BEST_FPERIOD_OVERRIDE=FQ","FILING_STATUS=MR","FA_ADJUSTED=GAAP","Sort=A","Dates=H","DateFormat=P","Fill=—","Direction=H","UseDPDF=Y")</f>
        <v>31.7957</v>
      </c>
      <c r="T13" s="21">
        <f>_xll.BDH("NFLX US Equity","GROSS_MARGIN","FQ3 2015","FQ3 2015","Currency=USD","Period=FQ","BEST_FPERIOD_OVERRIDE=FQ","FILING_STATUS=MR","FA_ADJUSTED=GAAP","Sort=A","Dates=H","DateFormat=P","Fill=—","Direction=H","UseDPDF=Y")</f>
        <v>32.467300000000002</v>
      </c>
      <c r="U13" s="21">
        <f>_xll.BDH("NFLX US Equity","GROSS_MARGIN","FQ4 2015","FQ4 2015","Currency=USD","Period=FQ","BEST_FPERIOD_OVERRIDE=FQ","FILING_STATUS=MR","FA_ADJUSTED=GAAP","Sort=A","Dates=H","DateFormat=P","Fill=—","Direction=H","UseDPDF=Y")</f>
        <v>31.479099999999999</v>
      </c>
      <c r="V13" s="21">
        <f>_xll.BDH("NFLX US Equity","GROSS_MARGIN","FQ1 2016","FQ1 2016","Currency=USD","Period=FQ","BEST_FPERIOD_OVERRIDE=FQ","FILING_STATUS=MR","FA_ADJUSTED=GAAP","Sort=A","Dates=H","DateFormat=P","Fill=—","Direction=H","UseDPDF=Y")</f>
        <v>27.5397</v>
      </c>
      <c r="W13" s="21">
        <f>_xll.BDH("NFLX US Equity","GROSS_MARGIN","FQ2 2016","FQ2 2016","Currency=USD","Period=FQ","BEST_FPERIOD_OVERRIDE=FQ","FILING_STATUS=MR","FA_ADJUSTED=GAAP","Sort=A","Dates=H","DateFormat=P","Fill=—","Direction=H","UseDPDF=Y")</f>
        <v>27.541599999999999</v>
      </c>
      <c r="X13" s="21">
        <f>_xll.BDH("NFLX US Equity","GROSS_MARGIN","FQ3 2016","FQ3 2016","Currency=USD","Period=FQ","BEST_FPERIOD_OVERRIDE=FQ","FILING_STATUS=MR","FA_ADJUSTED=GAAP","Sort=A","Dates=H","DateFormat=P","Fill=—","Direction=H","UseDPDF=Y")</f>
        <v>30.408899999999999</v>
      </c>
      <c r="Y13" s="21">
        <f>_xll.BDH("NFLX US Equity","GROSS_MARGIN","FQ4 2016","FQ4 2016","Currency=USD","Period=FQ","BEST_FPERIOD_OVERRIDE=FQ","FILING_STATUS=MR","FA_ADJUSTED=GAAP","Sort=A","Dates=H","DateFormat=P","Fill=—","Direction=H","UseDPDF=Y")</f>
        <v>30.587800000000001</v>
      </c>
      <c r="Z13" s="21">
        <f>_xll.BDH("NFLX US Equity","GROSS_MARGIN","FQ1 2017","FQ1 2017","Currency=USD","Period=FQ","BEST_FPERIOD_OVERRIDE=FQ","FILING_STATUS=MR","FA_ADJUSTED=GAAP","Sort=A","Dates=H","DateFormat=P","Fill=—","Direction=H","UseDPDF=Y")</f>
        <v>33.979100000000003</v>
      </c>
      <c r="AA13" s="21">
        <f>_xll.BDH("NFLX US Equity","GROSS_MARGIN","FQ2 2017","FQ2 2017","Currency=USD","Period=FQ","BEST_FPERIOD_OVERRIDE=FQ","FILING_STATUS=MR","FA_ADJUSTED=GAAP","Sort=A","Dates=H","DateFormat=P","Fill=—","Direction=H","UseDPDF=Y")</f>
        <v>28.4968</v>
      </c>
      <c r="AB13" s="21">
        <f>_xll.BDH("NFLX US Equity","GROSS_MARGIN","FQ3 2017","FQ3 2017","Currency=USD","Period=FQ","BEST_FPERIOD_OVERRIDE=FQ","FILING_STATUS=MR","FA_ADJUSTED=GAAP","Sort=A","Dates=H","DateFormat=P","Fill=—","Direction=H","UseDPDF=Y")</f>
        <v>30.105899999999998</v>
      </c>
      <c r="AC13" s="21">
        <f>_xll.BDH("NFLX US Equity","GROSS_MARGIN","FQ4 2017","FQ4 2017","Currency=USD","Period=FQ","BEST_FPERIOD_OVERRIDE=FQ","FILING_STATUS=MR","FA_ADJUSTED=GAAP","Sort=A","Dates=H","DateFormat=P","Fill=—","Direction=H","UseDPDF=Y")</f>
        <v>32.6081</v>
      </c>
      <c r="AD13" s="21">
        <f>_xll.BDH("NFLX US Equity","GROSS_MARGIN","FQ1 2018","FQ1 2018","Currency=USD","Period=FQ","BEST_FPERIOD_OVERRIDE=FQ","FILING_STATUS=MR","FA_ADJUSTED=GAAP","Sort=A","Dates=H","DateFormat=P","Fill=—","Direction=H","UseDPDF=Y")</f>
        <v>37.836599999999997</v>
      </c>
      <c r="AE13" s="21">
        <f>_xll.BDH("NFLX US Equity","GROSS_MARGIN","FQ2 2018","FQ2 2018","Currency=USD","Period=FQ","BEST_FPERIOD_OVERRIDE=FQ","FILING_STATUS=MR","FA_ADJUSTED=GAAP","Sort=A","Dates=H","DateFormat=P","Fill=—","Direction=H","UseDPDF=Y")</f>
        <v>38.513800000000003</v>
      </c>
      <c r="AF13" s="21">
        <f>_xll.BDH("NFLX US Equity","GROSS_MARGIN","FQ3 2018","FQ3 2018","Currency=USD","Period=FQ","BEST_FPERIOD_OVERRIDE=FQ","FILING_STATUS=MR","FA_ADJUSTED=GAAP","Sort=A","Dates=H","DateFormat=P","Fill=—","Direction=H","UseDPDF=Y")</f>
        <v>36.7119</v>
      </c>
      <c r="AG13" s="21">
        <f>_xll.BDH("NFLX US Equity","GROSS_MARGIN","FQ4 2018","FQ4 2018","Currency=USD","Period=FQ","BEST_FPERIOD_OVERRIDE=FQ","FILING_STATUS=MR","FA_ADJUSTED=GAAP","Sort=A","Dates=H","DateFormat=P","Fill=—","Direction=H","UseDPDF=Y")</f>
        <v>34.714500000000001</v>
      </c>
      <c r="AH13" s="21">
        <f>_xll.BDH("NFLX US Equity","GROSS_MARGIN","FQ1 2019","FQ1 2019","Currency=USD","Period=FQ","BEST_FPERIOD_OVERRIDE=FQ","FILING_STATUS=MR","FA_ADJUSTED=GAAP","Sort=A","Dates=H","DateFormat=P","Fill=—","Direction=H","UseDPDF=Y")</f>
        <v>36.504800000000003</v>
      </c>
      <c r="AI13" s="21">
        <f>_xll.BDH("NFLX US Equity","GROSS_MARGIN","FQ2 2019","FQ2 2019","Currency=USD","Period=FQ","BEST_FPERIOD_OVERRIDE=FQ","FILING_STATUS=MR","FA_ADJUSTED=GAAP","Sort=A","Dates=H","DateFormat=P","Fill=—","Direction=H","UseDPDF=Y")</f>
        <v>38.948099999999997</v>
      </c>
      <c r="AJ13" s="21">
        <f>_xll.BDH("NFLX US Equity","GROSS_MARGIN","FQ3 2019","FQ3 2019","Currency=USD","Period=FQ","BEST_FPERIOD_OVERRIDE=FQ","FILING_STATUS=MR","FA_ADJUSTED=GAAP","Sort=A","Dates=H","DateFormat=P","Fill=—","Direction=H","UseDPDF=Y")</f>
        <v>40.934699999999999</v>
      </c>
      <c r="AK13" s="21">
        <f>_xll.BDH("NFLX US Equity","GROSS_MARGIN","FQ4 2019","FQ4 2019","Currency=USD","Period=FQ","BEST_FPERIOD_OVERRIDE=FQ","FILING_STATUS=MR","FA_ADJUSTED=GAAP","Sort=A","Dates=H","DateFormat=P","Fill=—","Direction=H","UseDPDF=Y")</f>
        <v>36.606000000000002</v>
      </c>
      <c r="AL13" s="21">
        <f>_xll.BDH("NFLX US Equity","GROSS_MARGIN","FQ1 2020","FQ1 2020","Currency=USD","Period=FQ","BEST_FPERIOD_OVERRIDE=FQ","FILING_STATUS=MR","FA_ADJUSTED=GAAP","Sort=A","Dates=H","DateFormat=P","Fill=—","Direction=H","UseDPDF=Y")</f>
        <v>37.588500000000003</v>
      </c>
      <c r="AM13" s="21">
        <f>_xll.BDH("NFLX US Equity","GROSS_MARGIN","FQ2 2020","FQ2 2020","Currency=USD","Period=FQ","BEST_FPERIOD_OVERRIDE=FQ","FILING_STATUS=MR","FA_ADJUSTED=GAAP","Sort=A","Dates=H","DateFormat=P","Fill=—","Direction=H","UseDPDF=Y")</f>
        <v>40.736199999999997</v>
      </c>
      <c r="AN13" s="21">
        <f>_xll.BDH("NFLX US Equity","GROSS_MARGIN","FQ3 2020","FQ3 2020","Currency=USD","Period=FQ","BEST_FPERIOD_OVERRIDE=FQ","FILING_STATUS=MR","FA_ADJUSTED=GAAP","Sort=A","Dates=H","DateFormat=P","Fill=—","Direction=H","UseDPDF=Y")</f>
        <v>39.901000000000003</v>
      </c>
      <c r="AO13" s="21">
        <f>_xll.BDH("NFLX US Equity","GROSS_MARGIN","FQ4 2020","FQ4 2020","Currency=USD","Period=FQ","BEST_FPERIOD_OVERRIDE=FQ","FILING_STATUS=MR","FA_ADJUSTED=GAAP","Sort=A","Dates=H","DateFormat=P","Fill=—","Direction=H","UseDPDF=Y")</f>
        <v>37.313600000000001</v>
      </c>
      <c r="AP13" s="21">
        <f>_xll.BDH("NFLX US Equity","GROSS_MARGIN","FQ1 2021","FQ1 2021","Currency=USD","Period=FQ","BEST_FPERIOD_OVERRIDE=FQ","FILING_STATUS=MR","FA_ADJUSTED=GAAP","Sort=A","Dates=H","DateFormat=P","Fill=—","Direction=H","UseDPDF=Y")</f>
        <v>45.9953</v>
      </c>
    </row>
    <row r="14" spans="1:42" x14ac:dyDescent="0.25">
      <c r="A14" s="18" t="s">
        <v>96</v>
      </c>
      <c r="B14" s="18" t="s">
        <v>97</v>
      </c>
      <c r="C14" s="21">
        <f>_xll.BDH("NFLX US Equity","EBITDA_TO_REVENUE","FQ2 2011","FQ2 2011","Currency=USD","Period=FQ","BEST_FPERIOD_OVERRIDE=FQ","FILING_STATUS=MR","FA_ADJUSTED=GAAP","Sort=A","Dates=H","DateFormat=P","Fill=—","Direction=H","UseDPDF=Y")</f>
        <v>15.888199999999999</v>
      </c>
      <c r="D14" s="21">
        <f>_xll.BDH("NFLX US Equity","EBITDA_TO_REVENUE","FQ3 2011","FQ3 2011","Currency=USD","Period=FQ","BEST_FPERIOD_OVERRIDE=FQ","FILING_STATUS=MR","FA_ADJUSTED=GAAP","Sort=A","Dates=H","DateFormat=P","Fill=—","Direction=H","UseDPDF=Y")</f>
        <v>13.2331</v>
      </c>
      <c r="E14" s="21">
        <f>_xll.BDH("NFLX US Equity","EBITDA_TO_REVENUE","FQ4 2011","FQ4 2011","Currency=USD","Period=FQ","BEST_FPERIOD_OVERRIDE=FQ","FILING_STATUS=MR","FA_ADJUSTED=GAAP","Sort=A","Dates=H","DateFormat=P","Fill=—","Direction=H","UseDPDF=Y")</f>
        <v>8.4170999999999996</v>
      </c>
      <c r="F14" s="21">
        <f>_xll.BDH("NFLX US Equity","EBITDA_TO_REVENUE","FQ1 2012","FQ1 2012","Currency=USD","Period=FQ","BEST_FPERIOD_OVERRIDE=FQ","FILING_STATUS=MR","FA_ADJUSTED=GAAP","Sort=A","Dates=H","DateFormat=P","Fill=—","Direction=H","UseDPDF=Y")</f>
        <v>1.0803</v>
      </c>
      <c r="G14" s="21">
        <f>_xll.BDH("NFLX US Equity","EBITDA_TO_REVENUE","FQ2 2012","FQ2 2012","Currency=USD","Period=FQ","BEST_FPERIOD_OVERRIDE=FQ","FILING_STATUS=MR","FA_ADJUSTED=GAAP","Sort=A","Dates=H","DateFormat=P","Fill=—","Direction=H","UseDPDF=Y")</f>
        <v>3.0592000000000001</v>
      </c>
      <c r="H14" s="21">
        <f>_xll.BDH("NFLX US Equity","EBITDA_TO_REVENUE","FQ3 2012","FQ3 2012","Currency=USD","Period=FQ","BEST_FPERIOD_OVERRIDE=FQ","FILING_STATUS=MR","FA_ADJUSTED=GAAP","Sort=A","Dates=H","DateFormat=P","Fill=—","Direction=H","UseDPDF=Y")</f>
        <v>3.0122</v>
      </c>
      <c r="I14" s="21">
        <f>_xll.BDH("NFLX US Equity","EBITDA_TO_REVENUE","FQ4 2012","FQ4 2012","Currency=USD","Period=FQ","BEST_FPERIOD_OVERRIDE=FQ","FILING_STATUS=MR","FA_ADJUSTED=GAAP","Sort=A","Dates=H","DateFormat=P","Fill=—","Direction=H","UseDPDF=Y")</f>
        <v>3.3431999999999999</v>
      </c>
      <c r="J14" s="21">
        <f>_xll.BDH("NFLX US Equity","EBITDA_TO_REVENUE","FQ1 2013","FQ1 2013","Currency=USD","Period=FQ","BEST_FPERIOD_OVERRIDE=FQ","FILING_STATUS=MR","FA_ADJUSTED=GAAP","Sort=A","Dates=H","DateFormat=P","Fill=—","Direction=H","UseDPDF=Y")</f>
        <v>4.2846000000000002</v>
      </c>
      <c r="K14" s="21">
        <f>_xll.BDH("NFLX US Equity","EBITDA_TO_REVENUE","FQ2 2013","FQ2 2013","Currency=USD","Period=FQ","BEST_FPERIOD_OVERRIDE=FQ","FILING_STATUS=MR","FA_ADJUSTED=GAAP","Sort=A","Dates=H","DateFormat=P","Fill=—","Direction=H","UseDPDF=Y")</f>
        <v>6.4657999999999998</v>
      </c>
      <c r="L14" s="21">
        <f>_xll.BDH("NFLX US Equity","EBITDA_TO_REVENUE","FQ3 2013","FQ3 2013","Currency=USD","Period=FQ","BEST_FPERIOD_OVERRIDE=FQ","FILING_STATUS=MR","FA_ADJUSTED=GAAP","Sort=A","Dates=H","DateFormat=P","Fill=—","Direction=H","UseDPDF=Y")</f>
        <v>6.2</v>
      </c>
      <c r="M14" s="21">
        <f>_xll.BDH("NFLX US Equity","EBITDA_TO_REVENUE","FQ4 2013","FQ4 2013","Currency=USD","Period=FQ","BEST_FPERIOD_OVERRIDE=FQ","FILING_STATUS=MR","FA_ADJUSTED=GAAP","Sort=A","Dates=H","DateFormat=P","Fill=—","Direction=H","UseDPDF=Y")</f>
        <v>8.0947999999999993</v>
      </c>
      <c r="N14" s="21">
        <f>_xll.BDH("NFLX US Equity","EBITDA_TO_REVENUE","FQ1 2014","FQ1 2014","Currency=USD","Period=FQ","BEST_FPERIOD_OVERRIDE=FQ","FILING_STATUS=MR","FA_ADJUSTED=GAAP","Sort=A","Dates=H","DateFormat=P","Fill=—","Direction=H","UseDPDF=Y")</f>
        <v>8.6590000000000007</v>
      </c>
      <c r="O14" s="21">
        <f>_xll.BDH("NFLX US Equity","EBITDA_TO_REVENUE","FQ2 2014","FQ2 2014","Currency=USD","Period=FQ","BEST_FPERIOD_OVERRIDE=FQ","FILING_STATUS=MR","FA_ADJUSTED=GAAP","Sort=A","Dates=H","DateFormat=P","Fill=—","Direction=H","UseDPDF=Y")</f>
        <v>10.636800000000001</v>
      </c>
      <c r="P14" s="21">
        <f>_xll.BDH("NFLX US Equity","EBITDA_TO_REVENUE","FQ3 2014","FQ3 2014","Currency=USD","Period=FQ","BEST_FPERIOD_OVERRIDE=FQ","FILING_STATUS=MR","FA_ADJUSTED=GAAP","Sort=A","Dates=H","DateFormat=P","Fill=—","Direction=H","UseDPDF=Y")</f>
        <v>8.8521000000000001</v>
      </c>
      <c r="Q14" s="21">
        <f>_xll.BDH("NFLX US Equity","EBITDA_TO_REVENUE","FQ4 2014","FQ4 2014","Currency=USD","Period=FQ","BEST_FPERIOD_OVERRIDE=FQ","FILING_STATUS=MR","FA_ADJUSTED=GAAP","Sort=A","Dates=H","DateFormat=P","Fill=—","Direction=H","UseDPDF=Y")</f>
        <v>5.3449999999999998</v>
      </c>
      <c r="R14" s="21">
        <f>_xll.BDH("NFLX US Equity","EBITDA_TO_REVENUE","FQ1 2015","FQ1 2015","Currency=USD","Period=FQ","BEST_FPERIOD_OVERRIDE=FQ","FILING_STATUS=MR","FA_ADJUSTED=GAAP","Sort=A","Dates=H","DateFormat=P","Fill=—","Direction=H","UseDPDF=Y")</f>
        <v>7.1592000000000002</v>
      </c>
      <c r="S14" s="21">
        <f>_xll.BDH("NFLX US Equity","EBITDA_TO_REVENUE","FQ2 2015","FQ2 2015","Currency=USD","Period=FQ","BEST_FPERIOD_OVERRIDE=FQ","FILING_STATUS=MR","FA_ADJUSTED=GAAP","Sort=A","Dates=H","DateFormat=P","Fill=—","Direction=H","UseDPDF=Y")</f>
        <v>5.4973999999999998</v>
      </c>
      <c r="T14" s="21">
        <f>_xll.BDH("NFLX US Equity","EBITDA_TO_REVENUE","FQ3 2015","FQ3 2015","Currency=USD","Period=FQ","BEST_FPERIOD_OVERRIDE=FQ","FILING_STATUS=MR","FA_ADJUSTED=GAAP","Sort=A","Dates=H","DateFormat=P","Fill=—","Direction=H","UseDPDF=Y")</f>
        <v>5.1593999999999998</v>
      </c>
      <c r="U14" s="21">
        <f>_xll.BDH("NFLX US Equity","EBITDA_TO_REVENUE","FQ4 2015","FQ4 2015","Currency=USD","Period=FQ","BEST_FPERIOD_OVERRIDE=FQ","FILING_STATUS=MR","FA_ADJUSTED=GAAP","Sort=A","Dates=H","DateFormat=P","Fill=—","Direction=H","UseDPDF=Y")</f>
        <v>4.1342999999999996</v>
      </c>
      <c r="V14" s="21">
        <f>_xll.BDH("NFLX US Equity","EBITDA_TO_REVENUE","FQ1 2016","FQ1 2016","Currency=USD","Period=FQ","BEST_FPERIOD_OVERRIDE=FQ","FILING_STATUS=MR","FA_ADJUSTED=GAAP","Sort=A","Dates=H","DateFormat=P","Fill=—","Direction=H","UseDPDF=Y")</f>
        <v>3.2818999999999998</v>
      </c>
      <c r="W14" s="21">
        <f>_xll.BDH("NFLX US Equity","EBITDA_TO_REVENUE","FQ2 2016","FQ2 2016","Currency=USD","Period=FQ","BEST_FPERIOD_OVERRIDE=FQ","FILING_STATUS=MR","FA_ADJUSTED=GAAP","Sort=A","Dates=H","DateFormat=P","Fill=—","Direction=H","UseDPDF=Y")</f>
        <v>4.0138999999999996</v>
      </c>
      <c r="X14" s="21">
        <f>_xll.BDH("NFLX US Equity","EBITDA_TO_REVENUE","FQ3 2016","FQ3 2016","Currency=USD","Period=FQ","BEST_FPERIOD_OVERRIDE=FQ","FILING_STATUS=MR","FA_ADJUSTED=GAAP","Sort=A","Dates=H","DateFormat=P","Fill=—","Direction=H","UseDPDF=Y")</f>
        <v>5.2591999999999999</v>
      </c>
      <c r="Y14" s="21">
        <f>_xll.BDH("NFLX US Equity","EBITDA_TO_REVENUE","FQ4 2016","FQ4 2016","Currency=USD","Period=FQ","BEST_FPERIOD_OVERRIDE=FQ","FILING_STATUS=MR","FA_ADJUSTED=GAAP","Sort=A","Dates=H","DateFormat=P","Fill=—","Direction=H","UseDPDF=Y")</f>
        <v>6.7858999999999998</v>
      </c>
      <c r="Z14" s="21">
        <f>_xll.BDH("NFLX US Equity","EBITDA_TO_REVENUE","FQ1 2017","FQ1 2017","Currency=USD","Period=FQ","BEST_FPERIOD_OVERRIDE=FQ","FILING_STATUS=MR","FA_ADJUSTED=GAAP","Sort=A","Dates=H","DateFormat=P","Fill=—","Direction=H","UseDPDF=Y")</f>
        <v>10.315799999999999</v>
      </c>
      <c r="AA14" s="21">
        <f>_xll.BDH("NFLX US Equity","EBITDA_TO_REVENUE","FQ2 2017","FQ2 2017","Currency=USD","Period=FQ","BEST_FPERIOD_OVERRIDE=FQ","FILING_STATUS=MR","FA_ADJUSTED=GAAP","Sort=A","Dates=H","DateFormat=P","Fill=—","Direction=H","UseDPDF=Y")</f>
        <v>5.2542999999999997</v>
      </c>
      <c r="AB14" s="21">
        <f>_xll.BDH("NFLX US Equity","EBITDA_TO_REVENUE","FQ3 2017","FQ3 2017","Currency=USD","Period=FQ","BEST_FPERIOD_OVERRIDE=FQ","FILING_STATUS=MR","FA_ADJUSTED=GAAP","Sort=A","Dates=H","DateFormat=P","Fill=—","Direction=H","UseDPDF=Y")</f>
        <v>7.6340000000000003</v>
      </c>
      <c r="AC14" s="21">
        <f>_xll.BDH("NFLX US Equity","EBITDA_TO_REVENUE","FQ4 2017","FQ4 2017","Currency=USD","Period=FQ","BEST_FPERIOD_OVERRIDE=FQ","FILING_STATUS=MR","FA_ADJUSTED=GAAP","Sort=A","Dates=H","DateFormat=P","Fill=—","Direction=H","UseDPDF=Y")</f>
        <v>8.0460999999999991</v>
      </c>
      <c r="AD14" s="21">
        <f>_xll.BDH("NFLX US Equity","EBITDA_TO_REVENUE","FQ1 2018","FQ1 2018","Currency=USD","Period=FQ","BEST_FPERIOD_OVERRIDE=FQ","FILING_STATUS=MR","FA_ADJUSTED=GAAP","Sort=A","Dates=H","DateFormat=P","Fill=—","Direction=H","UseDPDF=Y")</f>
        <v>12.5814</v>
      </c>
      <c r="AE14" s="21">
        <f>_xll.BDH("NFLX US Equity","EBITDA_TO_REVENUE","FQ2 2018","FQ2 2018","Currency=USD","Period=FQ","BEST_FPERIOD_OVERRIDE=FQ","FILING_STATUS=MR","FA_ADJUSTED=GAAP","Sort=A","Dates=H","DateFormat=P","Fill=—","Direction=H","UseDPDF=Y")</f>
        <v>12.3347</v>
      </c>
      <c r="AF14" s="21">
        <f>_xll.BDH("NFLX US Equity","EBITDA_TO_REVENUE","FQ3 2018","FQ3 2018","Currency=USD","Period=FQ","BEST_FPERIOD_OVERRIDE=FQ","FILING_STATUS=MR","FA_ADJUSTED=GAAP","Sort=A","Dates=H","DateFormat=P","Fill=—","Direction=H","UseDPDF=Y")</f>
        <v>12.547700000000001</v>
      </c>
      <c r="AG14" s="21">
        <f>_xll.BDH("NFLX US Equity","EBITDA_TO_REVENUE","FQ4 2018","FQ4 2018","Currency=USD","Period=FQ","BEST_FPERIOD_OVERRIDE=FQ","FILING_STATUS=MR","FA_ADJUSTED=GAAP","Sort=A","Dates=H","DateFormat=P","Fill=—","Direction=H","UseDPDF=Y")</f>
        <v>5.7080000000000002</v>
      </c>
      <c r="AH14" s="21">
        <f>_xll.BDH("NFLX US Equity","EBITDA_TO_REVENUE","FQ1 2019","FQ1 2019","Currency=USD","Period=FQ","BEST_FPERIOD_OVERRIDE=FQ","FILING_STATUS=MR","FA_ADJUSTED=GAAP","Sort=A","Dates=H","DateFormat=P","Fill=—","Direction=H","UseDPDF=Y")</f>
        <v>11.626799999999999</v>
      </c>
      <c r="AI14" s="21">
        <f>_xll.BDH("NFLX US Equity","EBITDA_TO_REVENUE","FQ2 2019","FQ2 2019","Currency=USD","Period=FQ","BEST_FPERIOD_OVERRIDE=FQ","FILING_STATUS=MR","FA_ADJUSTED=GAAP","Sort=A","Dates=H","DateFormat=P","Fill=—","Direction=H","UseDPDF=Y")</f>
        <v>15.841900000000001</v>
      </c>
      <c r="AJ14" s="21">
        <f>_xll.BDH("NFLX US Equity","EBITDA_TO_REVENUE","FQ3 2019","FQ3 2019","Currency=USD","Period=FQ","BEST_FPERIOD_OVERRIDE=FQ","FILING_STATUS=MR","FA_ADJUSTED=GAAP","Sort=A","Dates=H","DateFormat=P","Fill=—","Direction=H","UseDPDF=Y")</f>
        <v>20.285299999999999</v>
      </c>
      <c r="AK14" s="21">
        <f>_xll.BDH("NFLX US Equity","EBITDA_TO_REVENUE","FQ4 2019","FQ4 2019","Currency=USD","Period=FQ","BEST_FPERIOD_OVERRIDE=FQ","FILING_STATUS=MR","FA_ADJUSTED=GAAP","Sort=A","Dates=H","DateFormat=P","Fill=—","Direction=H","UseDPDF=Y")</f>
        <v>10.1753</v>
      </c>
      <c r="AL14" s="21">
        <f>_xll.BDH("NFLX US Equity","EBITDA_TO_REVENUE","FQ1 2020","FQ1 2020","Currency=USD","Period=FQ","BEST_FPERIOD_OVERRIDE=FQ","FILING_STATUS=MR","FA_ADJUSTED=GAAP","Sort=A","Dates=H","DateFormat=P","Fill=—","Direction=H","UseDPDF=Y")</f>
        <v>17.108599999999999</v>
      </c>
      <c r="AM14" s="21">
        <f>_xll.BDH("NFLX US Equity","EBITDA_TO_REVENUE","FQ2 2020","FQ2 2020","Currency=USD","Period=FQ","BEST_FPERIOD_OVERRIDE=FQ","FILING_STATUS=MR","FA_ADJUSTED=GAAP","Sort=A","Dates=H","DateFormat=P","Fill=—","Direction=H","UseDPDF=Y")</f>
        <v>22.5199</v>
      </c>
      <c r="AN14" s="21">
        <f>_xll.BDH("NFLX US Equity","EBITDA_TO_REVENUE","FQ3 2020","FQ3 2020","Currency=USD","Period=FQ","BEST_FPERIOD_OVERRIDE=FQ","FILING_STATUS=MR","FA_ADJUSTED=GAAP","Sort=A","Dates=H","DateFormat=P","Fill=—","Direction=H","UseDPDF=Y")</f>
        <v>20.8752</v>
      </c>
      <c r="AO14" s="21">
        <f>_xll.BDH("NFLX US Equity","EBITDA_TO_REVENUE","FQ4 2020","FQ4 2020","Currency=USD","Period=FQ","BEST_FPERIOD_OVERRIDE=FQ","FILING_STATUS=MR","FA_ADJUSTED=GAAP","Sort=A","Dates=H","DateFormat=P","Fill=—","Direction=H","UseDPDF=Y")</f>
        <v>14.8423</v>
      </c>
      <c r="AP14" s="21">
        <f>_xll.BDH("NFLX US Equity","EBITDA_TO_REVENUE","FQ1 2021","FQ1 2021","Currency=USD","Period=FQ","BEST_FPERIOD_OVERRIDE=FQ","FILING_STATUS=MR","FA_ADJUSTED=GAAP","Sort=A","Dates=H","DateFormat=P","Fill=—","Direction=H","UseDPDF=Y")</f>
        <v>27.858699999999999</v>
      </c>
    </row>
    <row r="15" spans="1:42" x14ac:dyDescent="0.25">
      <c r="A15" s="19" t="s">
        <v>98</v>
      </c>
      <c r="B15" s="19" t="s">
        <v>97</v>
      </c>
      <c r="C15" s="23">
        <v>-4.6867036332799303</v>
      </c>
      <c r="D15" s="23">
        <v>-6.35826447786902</v>
      </c>
      <c r="E15" s="23">
        <v>-42.809690754627503</v>
      </c>
      <c r="F15" s="23">
        <v>-93.073509691482499</v>
      </c>
      <c r="G15" s="23">
        <v>-80.745663702287899</v>
      </c>
      <c r="H15" s="23">
        <v>-77.237504030604399</v>
      </c>
      <c r="I15" s="23">
        <v>-60.281127804515002</v>
      </c>
      <c r="J15" s="23">
        <v>296.63007053857399</v>
      </c>
      <c r="K15" s="23">
        <v>111.35664620032399</v>
      </c>
      <c r="L15" s="23">
        <v>105.83050869965</v>
      </c>
      <c r="M15" s="23">
        <v>142.130267745401</v>
      </c>
      <c r="N15" s="23">
        <v>102.09415688987301</v>
      </c>
      <c r="O15" s="23">
        <v>64.510420048263498</v>
      </c>
      <c r="P15" s="23">
        <v>42.775297314228403</v>
      </c>
      <c r="Q15" s="23">
        <v>-33.970883430570197</v>
      </c>
      <c r="R15" s="23">
        <v>-17.321032142398899</v>
      </c>
      <c r="S15" s="23">
        <v>-48.3170383997359</v>
      </c>
      <c r="T15" s="23">
        <v>-41.715825562746502</v>
      </c>
      <c r="U15" s="23">
        <v>-22.650437272402101</v>
      </c>
      <c r="V15" s="23">
        <v>-54.158058244453201</v>
      </c>
      <c r="W15" s="23">
        <v>-26.985780280116</v>
      </c>
      <c r="X15" s="23">
        <v>1.93549199900762</v>
      </c>
      <c r="Y15" s="23">
        <v>64.136296932707097</v>
      </c>
      <c r="Z15" s="23">
        <v>214.32489016281099</v>
      </c>
      <c r="AA15" s="23">
        <v>30.903508050753501</v>
      </c>
      <c r="AB15" s="23">
        <v>45.1551836879202</v>
      </c>
      <c r="AC15" s="23">
        <v>18.571557831391701</v>
      </c>
      <c r="AD15" s="23">
        <v>21.961851281495498</v>
      </c>
      <c r="AE15" s="23">
        <v>134.75170758546901</v>
      </c>
      <c r="AF15" s="23">
        <v>64.365225754316597</v>
      </c>
      <c r="AG15" s="23">
        <v>-29.058692344613998</v>
      </c>
      <c r="AH15" s="23">
        <v>-7.5875974564648603</v>
      </c>
      <c r="AI15" s="23">
        <v>28.433860513865199</v>
      </c>
      <c r="AJ15" s="23">
        <v>61.665363239398097</v>
      </c>
      <c r="AK15" s="23">
        <v>78.263697771576801</v>
      </c>
      <c r="AL15" s="23">
        <v>47.1487246406179</v>
      </c>
      <c r="AM15" s="23">
        <v>42.154172435651297</v>
      </c>
      <c r="AN15" s="23">
        <v>2.9081796162702598</v>
      </c>
      <c r="AO15" s="23">
        <v>45.8649538983464</v>
      </c>
      <c r="AP15" s="23">
        <v>62.834158803579399</v>
      </c>
    </row>
    <row r="16" spans="1:42" x14ac:dyDescent="0.25">
      <c r="A16" s="18" t="s">
        <v>99</v>
      </c>
      <c r="B16" s="18" t="s">
        <v>100</v>
      </c>
      <c r="C16" s="21">
        <f>_xll.BDH("NFLX US Equity","OPER_MARGIN","FQ2 2011","FQ2 2011","Currency=USD","Period=FQ","BEST_FPERIOD_OVERRIDE=FQ","FILING_STATUS=MR","FA_ADJUSTED=GAAP","Sort=A","Dates=H","DateFormat=P","Fill=—","Direction=H","UseDPDF=Y")</f>
        <v>14.597099999999999</v>
      </c>
      <c r="D16" s="21">
        <f>_xll.BDH("NFLX US Equity","OPER_MARGIN","FQ3 2011","FQ3 2011","Currency=USD","Period=FQ","BEST_FPERIOD_OVERRIDE=FQ","FILING_STATUS=MR","FA_ADJUSTED=GAAP","Sort=A","Dates=H","DateFormat=P","Fill=—","Direction=H","UseDPDF=Y")</f>
        <v>11.7836</v>
      </c>
      <c r="E16" s="21">
        <f>_xll.BDH("NFLX US Equity","OPER_MARGIN","FQ4 2011","FQ4 2011","Currency=USD","Period=FQ","BEST_FPERIOD_OVERRIDE=FQ","FILING_STATUS=MR","FA_ADJUSTED=GAAP","Sort=A","Dates=H","DateFormat=P","Fill=—","Direction=H","UseDPDF=Y")</f>
        <v>7.0663999999999998</v>
      </c>
      <c r="F16" s="21">
        <f>_xll.BDH("NFLX US Equity","OPER_MARGIN","FQ1 2012","FQ1 2012","Currency=USD","Period=FQ","BEST_FPERIOD_OVERRIDE=FQ","FILING_STATUS=MR","FA_ADJUSTED=GAAP","Sort=A","Dates=H","DateFormat=P","Fill=—","Direction=H","UseDPDF=Y")</f>
        <v>-0.2225</v>
      </c>
      <c r="G16" s="21">
        <f>_xll.BDH("NFLX US Equity","OPER_MARGIN","FQ2 2012","FQ2 2012","Currency=USD","Period=FQ","BEST_FPERIOD_OVERRIDE=FQ","FILING_STATUS=MR","FA_ADJUSTED=GAAP","Sort=A","Dates=H","DateFormat=P","Fill=—","Direction=H","UseDPDF=Y")</f>
        <v>1.8168</v>
      </c>
      <c r="H16" s="21">
        <f>_xll.BDH("NFLX US Equity","OPER_MARGIN","FQ3 2012","FQ3 2012","Currency=USD","Period=FQ","BEST_FPERIOD_OVERRIDE=FQ","FILING_STATUS=MR","FA_ADJUSTED=GAAP","Sort=A","Dates=H","DateFormat=P","Fill=—","Direction=H","UseDPDF=Y")</f>
        <v>1.7827</v>
      </c>
      <c r="I16" s="21">
        <f>_xll.BDH("NFLX US Equity","OPER_MARGIN","FQ4 2012","FQ4 2012","Currency=USD","Period=FQ","BEST_FPERIOD_OVERRIDE=FQ","FILING_STATUS=MR","FA_ADJUSTED=GAAP","Sort=A","Dates=H","DateFormat=P","Fill=—","Direction=H","UseDPDF=Y")</f>
        <v>2.0775999999999999</v>
      </c>
      <c r="J16" s="21">
        <f>_xll.BDH("NFLX US Equity","OPER_MARGIN","FQ1 2013","FQ1 2013","Currency=USD","Period=FQ","BEST_FPERIOD_OVERRIDE=FQ","FILING_STATUS=MR","FA_ADJUSTED=GAAP","Sort=A","Dates=H","DateFormat=P","Fill=—","Direction=H","UseDPDF=Y")</f>
        <v>3.1076999999999999</v>
      </c>
      <c r="K16" s="21">
        <f>_xll.BDH("NFLX US Equity","OPER_MARGIN","FQ2 2013","FQ2 2013","Currency=USD","Period=FQ","BEST_FPERIOD_OVERRIDE=FQ","FILING_STATUS=MR","FA_ADJUSTED=GAAP","Sort=A","Dates=H","DateFormat=P","Fill=—","Direction=H","UseDPDF=Y")</f>
        <v>5.3411999999999997</v>
      </c>
      <c r="L16" s="21">
        <f>_xll.BDH("NFLX US Equity","OPER_MARGIN","FQ3 2013","FQ3 2013","Currency=USD","Period=FQ","BEST_FPERIOD_OVERRIDE=FQ","FILING_STATUS=MR","FA_ADJUSTED=GAAP","Sort=A","Dates=H","DateFormat=P","Fill=—","Direction=H","UseDPDF=Y")</f>
        <v>5.1646000000000001</v>
      </c>
      <c r="M16" s="21">
        <f>_xll.BDH("NFLX US Equity","OPER_MARGIN","FQ4 2013","FQ4 2013","Currency=USD","Period=FQ","BEST_FPERIOD_OVERRIDE=FQ","FILING_STATUS=MR","FA_ADJUSTED=GAAP","Sort=A","Dates=H","DateFormat=P","Fill=—","Direction=H","UseDPDF=Y")</f>
        <v>7.0019</v>
      </c>
      <c r="N16" s="21">
        <f>_xll.BDH("NFLX US Equity","OPER_MARGIN","FQ1 2014","FQ1 2014","Currency=USD","Period=FQ","BEST_FPERIOD_OVERRIDE=FQ","FILING_STATUS=MR","FA_ADJUSTED=GAAP","Sort=A","Dates=H","DateFormat=P","Fill=—","Direction=H","UseDPDF=Y")</f>
        <v>7.6840999999999999</v>
      </c>
      <c r="O16" s="21">
        <f>_xll.BDH("NFLX US Equity","OPER_MARGIN","FQ2 2014","FQ2 2014","Currency=USD","Period=FQ","BEST_FPERIOD_OVERRIDE=FQ","FILING_STATUS=MR","FA_ADJUSTED=GAAP","Sort=A","Dates=H","DateFormat=P","Fill=—","Direction=H","UseDPDF=Y")</f>
        <v>9.6686999999999994</v>
      </c>
      <c r="P16" s="21">
        <f>_xll.BDH("NFLX US Equity","OPER_MARGIN","FQ3 2014","FQ3 2014","Currency=USD","Period=FQ","BEST_FPERIOD_OVERRIDE=FQ","FILING_STATUS=MR","FA_ADJUSTED=GAAP","Sort=A","Dates=H","DateFormat=P","Fill=—","Direction=H","UseDPDF=Y")</f>
        <v>7.8334000000000001</v>
      </c>
      <c r="Q16" s="21">
        <f>_xll.BDH("NFLX US Equity","OPER_MARGIN","FQ4 2014","FQ4 2014","Currency=USD","Period=FQ","BEST_FPERIOD_OVERRIDE=FQ","FILING_STATUS=MR","FA_ADJUSTED=GAAP","Sort=A","Dates=H","DateFormat=P","Fill=—","Direction=H","UseDPDF=Y")</f>
        <v>4.3810000000000002</v>
      </c>
      <c r="R16" s="21">
        <f>_xll.BDH("NFLX US Equity","OPER_MARGIN","FQ1 2015","FQ1 2015","Currency=USD","Period=FQ","BEST_FPERIOD_OVERRIDE=FQ","FILING_STATUS=MR","FA_ADJUSTED=GAAP","Sort=A","Dates=H","DateFormat=P","Fill=—","Direction=H","UseDPDF=Y")</f>
        <v>6.1950000000000003</v>
      </c>
      <c r="S16" s="21">
        <f>_xll.BDH("NFLX US Equity","OPER_MARGIN","FQ2 2015","FQ2 2015","Currency=USD","Period=FQ","BEST_FPERIOD_OVERRIDE=FQ","FILING_STATUS=MR","FA_ADJUSTED=GAAP","Sort=A","Dates=H","DateFormat=P","Fill=—","Direction=H","UseDPDF=Y")</f>
        <v>4.5501000000000005</v>
      </c>
      <c r="T16" s="21">
        <f>_xll.BDH("NFLX US Equity","OPER_MARGIN","FQ3 2015","FQ3 2015","Currency=USD","Period=FQ","BEST_FPERIOD_OVERRIDE=FQ","FILING_STATUS=MR","FA_ADJUSTED=GAAP","Sort=A","Dates=H","DateFormat=P","Fill=—","Direction=H","UseDPDF=Y")</f>
        <v>4.2362000000000002</v>
      </c>
      <c r="U16" s="21">
        <f>_xll.BDH("NFLX US Equity","OPER_MARGIN","FQ4 2015","FQ4 2015","Currency=USD","Period=FQ","BEST_FPERIOD_OVERRIDE=FQ","FILING_STATUS=MR","FA_ADJUSTED=GAAP","Sort=A","Dates=H","DateFormat=P","Fill=—","Direction=H","UseDPDF=Y")</f>
        <v>3.2848999999999999</v>
      </c>
      <c r="V16" s="21">
        <f>_xll.BDH("NFLX US Equity","OPER_MARGIN","FQ1 2016","FQ1 2016","Currency=USD","Period=FQ","BEST_FPERIOD_OVERRIDE=FQ","FILING_STATUS=MR","FA_ADJUSTED=GAAP","Sort=A","Dates=H","DateFormat=P","Fill=—","Direction=H","UseDPDF=Y")</f>
        <v>2.5259999999999998</v>
      </c>
      <c r="W16" s="21">
        <f>_xll.BDH("NFLX US Equity","OPER_MARGIN","FQ2 2016","FQ2 2016","Currency=USD","Period=FQ","BEST_FPERIOD_OVERRIDE=FQ","FILING_STATUS=MR","FA_ADJUSTED=GAAP","Sort=A","Dates=H","DateFormat=P","Fill=—","Direction=H","UseDPDF=Y")</f>
        <v>3.3426999999999998</v>
      </c>
      <c r="X16" s="21">
        <f>_xll.BDH("NFLX US Equity","OPER_MARGIN","FQ3 2016","FQ3 2016","Currency=USD","Period=FQ","BEST_FPERIOD_OVERRIDE=FQ","FILING_STATUS=MR","FA_ADJUSTED=GAAP","Sort=A","Dates=H","DateFormat=P","Fill=—","Direction=H","UseDPDF=Y")</f>
        <v>4.63</v>
      </c>
      <c r="Y16" s="21">
        <f>_xll.BDH("NFLX US Equity","OPER_MARGIN","FQ4 2016","FQ4 2016","Currency=USD","Period=FQ","BEST_FPERIOD_OVERRIDE=FQ","FILING_STATUS=MR","FA_ADJUSTED=GAAP","Sort=A","Dates=H","DateFormat=P","Fill=—","Direction=H","UseDPDF=Y")</f>
        <v>6.2131999999999996</v>
      </c>
      <c r="Z16" s="21">
        <f>_xll.BDH("NFLX US Equity","OPER_MARGIN","FQ1 2017","FQ1 2017","Currency=USD","Period=FQ","BEST_FPERIOD_OVERRIDE=FQ","FILING_STATUS=MR","FA_ADJUSTED=GAAP","Sort=A","Dates=H","DateFormat=P","Fill=—","Direction=H","UseDPDF=Y")</f>
        <v>9.7451000000000008</v>
      </c>
      <c r="AA16" s="21">
        <f>_xll.BDH("NFLX US Equity","OPER_MARGIN","FQ2 2017","FQ2 2017","Currency=USD","Period=FQ","BEST_FPERIOD_OVERRIDE=FQ","FILING_STATUS=MR","FA_ADJUSTED=GAAP","Sort=A","Dates=H","DateFormat=P","Fill=—","Direction=H","UseDPDF=Y")</f>
        <v>4.5884</v>
      </c>
      <c r="AB16" s="21">
        <f>_xll.BDH("NFLX US Equity","OPER_MARGIN","FQ3 2017","FQ3 2017","Currency=USD","Period=FQ","BEST_FPERIOD_OVERRIDE=FQ","FILING_STATUS=MR","FA_ADJUSTED=GAAP","Sort=A","Dates=H","DateFormat=P","Fill=—","Direction=H","UseDPDF=Y")</f>
        <v>6.9894999999999996</v>
      </c>
      <c r="AC16" s="21">
        <f>_xll.BDH("NFLX US Equity","OPER_MARGIN","FQ4 2017","FQ4 2017","Currency=USD","Period=FQ","BEST_FPERIOD_OVERRIDE=FQ","FILING_STATUS=MR","FA_ADJUSTED=GAAP","Sort=A","Dates=H","DateFormat=P","Fill=—","Direction=H","UseDPDF=Y")</f>
        <v>7.4657</v>
      </c>
      <c r="AD16" s="21">
        <f>_xll.BDH("NFLX US Equity","OPER_MARGIN","FQ1 2018","FQ1 2018","Currency=USD","Period=FQ","BEST_FPERIOD_OVERRIDE=FQ","FILING_STATUS=MR","FA_ADJUSTED=GAAP","Sort=A","Dates=H","DateFormat=P","Fill=—","Direction=H","UseDPDF=Y")</f>
        <v>12.0669</v>
      </c>
      <c r="AE16" s="21">
        <f>_xll.BDH("NFLX US Equity","OPER_MARGIN","FQ2 2018","FQ2 2018","Currency=USD","Period=FQ","BEST_FPERIOD_OVERRIDE=FQ","FILING_STATUS=MR","FA_ADJUSTED=GAAP","Sort=A","Dates=H","DateFormat=P","Fill=—","Direction=H","UseDPDF=Y")</f>
        <v>11.829599999999999</v>
      </c>
      <c r="AF16" s="21">
        <f>_xll.BDH("NFLX US Equity","OPER_MARGIN","FQ3 2018","FQ3 2018","Currency=USD","Period=FQ","BEST_FPERIOD_OVERRIDE=FQ","FILING_STATUS=MR","FA_ADJUSTED=GAAP","Sort=A","Dates=H","DateFormat=P","Fill=—","Direction=H","UseDPDF=Y")</f>
        <v>12.018599999999999</v>
      </c>
      <c r="AG16" s="21">
        <f>_xll.BDH("NFLX US Equity","OPER_MARGIN","FQ4 2018","FQ4 2018","Currency=USD","Period=FQ","BEST_FPERIOD_OVERRIDE=FQ","FILING_STATUS=MR","FA_ADJUSTED=GAAP","Sort=A","Dates=H","DateFormat=P","Fill=—","Direction=H","UseDPDF=Y")</f>
        <v>5.1535000000000002</v>
      </c>
      <c r="AH16" s="21">
        <f>_xll.BDH("NFLX US Equity","OPER_MARGIN","FQ1 2019","FQ1 2019","Currency=USD","Period=FQ","BEST_FPERIOD_OVERRIDE=FQ","FILING_STATUS=MR","FA_ADJUSTED=GAAP","Sort=A","Dates=H","DateFormat=P","Fill=—","Direction=H","UseDPDF=Y")</f>
        <v>10.154500000000001</v>
      </c>
      <c r="AI16" s="21">
        <f>_xll.BDH("NFLX US Equity","OPER_MARGIN","FQ2 2019","FQ2 2019","Currency=USD","Period=FQ","BEST_FPERIOD_OVERRIDE=FQ","FILING_STATUS=MR","FA_ADJUSTED=GAAP","Sort=A","Dates=H","DateFormat=P","Fill=—","Direction=H","UseDPDF=Y")</f>
        <v>14.349</v>
      </c>
      <c r="AJ16" s="21">
        <f>_xll.BDH("NFLX US Equity","OPER_MARGIN","FQ3 2019","FQ3 2019","Currency=USD","Period=FQ","BEST_FPERIOD_OVERRIDE=FQ","FILING_STATUS=MR","FA_ADJUSTED=GAAP","Sort=A","Dates=H","DateFormat=P","Fill=—","Direction=H","UseDPDF=Y")</f>
        <v>18.689399999999999</v>
      </c>
      <c r="AK16" s="21">
        <f>_xll.BDH("NFLX US Equity","OPER_MARGIN","FQ4 2019","FQ4 2019","Currency=USD","Period=FQ","BEST_FPERIOD_OVERRIDE=FQ","FILING_STATUS=MR","FA_ADJUSTED=GAAP","Sort=A","Dates=H","DateFormat=P","Fill=—","Direction=H","UseDPDF=Y")</f>
        <v>8.3862000000000005</v>
      </c>
      <c r="AL16" s="21">
        <f>_xll.BDH("NFLX US Equity","OPER_MARGIN","FQ1 2020","FQ1 2020","Currency=USD","Period=FQ","BEST_FPERIOD_OVERRIDE=FQ","FILING_STATUS=MR","FA_ADJUSTED=GAAP","Sort=A","Dates=H","DateFormat=P","Fill=—","Direction=H","UseDPDF=Y")</f>
        <v>16.6142</v>
      </c>
      <c r="AM16" s="21">
        <f>_xll.BDH("NFLX US Equity","OPER_MARGIN","FQ2 2020","FQ2 2020","Currency=USD","Period=FQ","BEST_FPERIOD_OVERRIDE=FQ","FILING_STATUS=MR","FA_ADJUSTED=GAAP","Sort=A","Dates=H","DateFormat=P","Fill=—","Direction=H","UseDPDF=Y")</f>
        <v>22.086300000000001</v>
      </c>
      <c r="AN16" s="21">
        <f>_xll.BDH("NFLX US Equity","OPER_MARGIN","FQ3 2020","FQ3 2020","Currency=USD","Period=FQ","BEST_FPERIOD_OVERRIDE=FQ","FILING_STATUS=MR","FA_ADJUSTED=GAAP","Sort=A","Dates=H","DateFormat=P","Fill=—","Direction=H","UseDPDF=Y")</f>
        <v>20.431000000000001</v>
      </c>
      <c r="AO16" s="21">
        <f>_xll.BDH("NFLX US Equity","OPER_MARGIN","FQ4 2020","FQ4 2020","Currency=USD","Period=FQ","BEST_FPERIOD_OVERRIDE=FQ","FILING_STATUS=MR","FA_ADJUSTED=GAAP","Sort=A","Dates=H","DateFormat=P","Fill=—","Direction=H","UseDPDF=Y")</f>
        <v>14.361499999999999</v>
      </c>
      <c r="AP16" s="21">
        <f>_xll.BDH("NFLX US Equity","OPER_MARGIN","FQ1 2021","FQ1 2021","Currency=USD","Period=FQ","BEST_FPERIOD_OVERRIDE=FQ","FILING_STATUS=MR","FA_ADJUSTED=GAAP","Sort=A","Dates=H","DateFormat=P","Fill=—","Direction=H","UseDPDF=Y")</f>
        <v>27.3597</v>
      </c>
    </row>
    <row r="17" spans="1:42" x14ac:dyDescent="0.25">
      <c r="A17" s="18" t="s">
        <v>101</v>
      </c>
      <c r="B17" s="18" t="s">
        <v>102</v>
      </c>
      <c r="C17" s="21">
        <f>_xll.BDH("NFLX US Equity","INCREMENTAL_OPERATING_MARGIN","FQ2 2011","FQ2 2011","Currency=USD","Period=FQ","BEST_FPERIOD_OVERRIDE=FQ","FILING_STATUS=MR","FA_ADJUSTED=GAAP","Sort=A","Dates=H","DateFormat=P","Fill=—","Direction=H","UseDPDF=Y")</f>
        <v>14.0526</v>
      </c>
      <c r="D17" s="21">
        <f>_xll.BDH("NFLX US Equity","INCREMENTAL_OPERATING_MARGIN","FQ3 2011","FQ3 2011","Currency=USD","Period=FQ","BEST_FPERIOD_OVERRIDE=FQ","FILING_STATUS=MR","FA_ADJUSTED=GAAP","Sort=A","Dates=H","DateFormat=P","Fill=—","Direction=H","UseDPDF=Y")</f>
        <v>10.1783</v>
      </c>
      <c r="E17" s="21" t="str">
        <f>_xll.BDH("NFLX US Equity","INCREMENTAL_OPERATING_MARGIN","FQ4 2011","FQ4 2011","Currency=USD","Period=FQ","BEST_FPERIOD_OVERRIDE=FQ","FILING_STATUS=MR","FA_ADJUSTED=GAAP","Sort=A","Dates=H","DateFormat=P","Fill=—","Direction=H","UseDPDF=Y")</f>
        <v>—</v>
      </c>
      <c r="F17" s="21" t="str">
        <f>_xll.BDH("NFLX US Equity","INCREMENTAL_OPERATING_MARGIN","FQ1 2012","FQ1 2012","Currency=USD","Period=FQ","BEST_FPERIOD_OVERRIDE=FQ","FILING_STATUS=MR","FA_ADJUSTED=GAAP","Sort=A","Dates=H","DateFormat=P","Fill=—","Direction=H","UseDPDF=Y")</f>
        <v>—</v>
      </c>
      <c r="G17" s="21" t="str">
        <f>_xll.BDH("NFLX US Equity","INCREMENTAL_OPERATING_MARGIN","FQ2 2012","FQ2 2012","Currency=USD","Period=FQ","BEST_FPERIOD_OVERRIDE=FQ","FILING_STATUS=MR","FA_ADJUSTED=GAAP","Sort=A","Dates=H","DateFormat=P","Fill=—","Direction=H","UseDPDF=Y")</f>
        <v>—</v>
      </c>
      <c r="H17" s="21" t="str">
        <f>_xll.BDH("NFLX US Equity","INCREMENTAL_OPERATING_MARGIN","FQ3 2012","FQ3 2012","Currency=USD","Period=FQ","BEST_FPERIOD_OVERRIDE=FQ","FILING_STATUS=MR","FA_ADJUSTED=GAAP","Sort=A","Dates=H","DateFormat=P","Fill=—","Direction=H","UseDPDF=Y")</f>
        <v>—</v>
      </c>
      <c r="I17" s="21" t="str">
        <f>_xll.BDH("NFLX US Equity","INCREMENTAL_OPERATING_MARGIN","FQ4 2012","FQ4 2012","Currency=USD","Period=FQ","BEST_FPERIOD_OVERRIDE=FQ","FILING_STATUS=MR","FA_ADJUSTED=GAAP","Sort=A","Dates=H","DateFormat=P","Fill=—","Direction=H","UseDPDF=Y")</f>
        <v>—</v>
      </c>
      <c r="J17" s="21">
        <f>_xll.BDH("NFLX US Equity","INCREMENTAL_OPERATING_MARGIN","FQ1 2013","FQ1 2013","Currency=USD","Period=FQ","BEST_FPERIOD_OVERRIDE=FQ","FILING_STATUS=MR","FA_ADJUSTED=GAAP","Sort=A","Dates=H","DateFormat=P","Fill=—","Direction=H","UseDPDF=Y")</f>
        <v>21.896000000000001</v>
      </c>
      <c r="K17" s="21">
        <f>_xll.BDH("NFLX US Equity","INCREMENTAL_OPERATING_MARGIN","FQ2 2013","FQ2 2013","Currency=USD","Period=FQ","BEST_FPERIOD_OVERRIDE=FQ","FILING_STATUS=MR","FA_ADJUSTED=GAAP","Sort=A","Dates=H","DateFormat=P","Fill=—","Direction=H","UseDPDF=Y")</f>
        <v>22.730799999999999</v>
      </c>
      <c r="L17" s="21">
        <f>_xll.BDH("NFLX US Equity","INCREMENTAL_OPERATING_MARGIN","FQ3 2013","FQ3 2013","Currency=USD","Period=FQ","BEST_FPERIOD_OVERRIDE=FQ","FILING_STATUS=MR","FA_ADJUSTED=GAAP","Sort=A","Dates=H","DateFormat=P","Fill=—","Direction=H","UseDPDF=Y")</f>
        <v>20.399699999999999</v>
      </c>
      <c r="M17" s="21">
        <f>_xll.BDH("NFLX US Equity","INCREMENTAL_OPERATING_MARGIN","FQ4 2013","FQ4 2013","Currency=USD","Period=FQ","BEST_FPERIOD_OVERRIDE=FQ","FILING_STATUS=MR","FA_ADJUSTED=GAAP","Sort=A","Dates=H","DateFormat=P","Fill=—","Direction=H","UseDPDF=Y")</f>
        <v>27.240200000000002</v>
      </c>
      <c r="N17" s="21">
        <f>_xll.BDH("NFLX US Equity","INCREMENTAL_OPERATING_MARGIN","FQ1 2014","FQ1 2014","Currency=USD","Period=FQ","BEST_FPERIOD_OVERRIDE=FQ","FILING_STATUS=MR","FA_ADJUSTED=GAAP","Sort=A","Dates=H","DateFormat=P","Fill=—","Direction=H","UseDPDF=Y")</f>
        <v>26.723099999999999</v>
      </c>
      <c r="O17" s="21">
        <f>_xll.BDH("NFLX US Equity","INCREMENTAL_OPERATING_MARGIN","FQ2 2014","FQ2 2014","Currency=USD","Period=FQ","BEST_FPERIOD_OVERRIDE=FQ","FILING_STATUS=MR","FA_ADJUSTED=GAAP","Sort=A","Dates=H","DateFormat=P","Fill=—","Direction=H","UseDPDF=Y")</f>
        <v>26.742999999999999</v>
      </c>
      <c r="P17" s="21">
        <f>_xll.BDH("NFLX US Equity","INCREMENTAL_OPERATING_MARGIN","FQ3 2014","FQ3 2014","Currency=USD","Period=FQ","BEST_FPERIOD_OVERRIDE=FQ","FILING_STATUS=MR","FA_ADJUSTED=GAAP","Sort=A","Dates=H","DateFormat=P","Fill=—","Direction=H","UseDPDF=Y")</f>
        <v>17.561399999999999</v>
      </c>
      <c r="Q17" s="21" t="str">
        <f>_xll.BDH("NFLX US Equity","INCREMENTAL_OPERATING_MARGIN","FQ4 2014","FQ4 2014","Currency=USD","Period=FQ","BEST_FPERIOD_OVERRIDE=FQ","FILING_STATUS=MR","FA_ADJUSTED=GAAP","Sort=A","Dates=H","DateFormat=P","Fill=—","Direction=H","UseDPDF=Y")</f>
        <v>—</v>
      </c>
      <c r="R17" s="21" t="str">
        <f>_xll.BDH("NFLX US Equity","INCREMENTAL_OPERATING_MARGIN","FQ1 2015","FQ1 2015","Currency=USD","Period=FQ","BEST_FPERIOD_OVERRIDE=FQ","FILING_STATUS=MR","FA_ADJUSTED=GAAP","Sort=A","Dates=H","DateFormat=P","Fill=—","Direction=H","UseDPDF=Y")</f>
        <v>—</v>
      </c>
      <c r="S17" s="21" t="str">
        <f>_xll.BDH("NFLX US Equity","INCREMENTAL_OPERATING_MARGIN","FQ2 2015","FQ2 2015","Currency=USD","Period=FQ","BEST_FPERIOD_OVERRIDE=FQ","FILING_STATUS=MR","FA_ADJUSTED=GAAP","Sort=A","Dates=H","DateFormat=P","Fill=—","Direction=H","UseDPDF=Y")</f>
        <v>—</v>
      </c>
      <c r="T17" s="21" t="str">
        <f>_xll.BDH("NFLX US Equity","INCREMENTAL_OPERATING_MARGIN","FQ3 2015","FQ3 2015","Currency=USD","Period=FQ","BEST_FPERIOD_OVERRIDE=FQ","FILING_STATUS=MR","FA_ADJUSTED=GAAP","Sort=A","Dates=H","DateFormat=P","Fill=—","Direction=H","UseDPDF=Y")</f>
        <v>—</v>
      </c>
      <c r="U17" s="21" t="str">
        <f>_xll.BDH("NFLX US Equity","INCREMENTAL_OPERATING_MARGIN","FQ4 2015","FQ4 2015","Currency=USD","Period=FQ","BEST_FPERIOD_OVERRIDE=FQ","FILING_STATUS=MR","FA_ADJUSTED=GAAP","Sort=A","Dates=H","DateFormat=P","Fill=—","Direction=H","UseDPDF=Y")</f>
        <v>—</v>
      </c>
      <c r="V17" s="21" t="str">
        <f>_xll.BDH("NFLX US Equity","INCREMENTAL_OPERATING_MARGIN","FQ1 2016","FQ1 2016","Currency=USD","Period=FQ","BEST_FPERIOD_OVERRIDE=FQ","FILING_STATUS=MR","FA_ADJUSTED=GAAP","Sort=A","Dates=H","DateFormat=P","Fill=—","Direction=H","UseDPDF=Y")</f>
        <v>—</v>
      </c>
      <c r="W17" s="21" t="str">
        <f>_xll.BDH("NFLX US Equity","INCREMENTAL_OPERATING_MARGIN","FQ2 2016","FQ2 2016","Currency=USD","Period=FQ","BEST_FPERIOD_OVERRIDE=FQ","FILING_STATUS=MR","FA_ADJUSTED=GAAP","Sort=A","Dates=H","DateFormat=P","Fill=—","Direction=H","UseDPDF=Y")</f>
        <v>—</v>
      </c>
      <c r="X17" s="21">
        <f>_xll.BDH("NFLX US Equity","INCREMENTAL_OPERATING_MARGIN","FQ3 2016","FQ3 2016","Currency=USD","Period=FQ","BEST_FPERIOD_OVERRIDE=FQ","FILING_STATUS=MR","FA_ADJUSTED=GAAP","Sort=A","Dates=H","DateFormat=P","Fill=—","Direction=H","UseDPDF=Y")</f>
        <v>5.8704000000000001</v>
      </c>
      <c r="Y17" s="21">
        <f>_xll.BDH("NFLX US Equity","INCREMENTAL_OPERATING_MARGIN","FQ4 2016","FQ4 2016","Currency=USD","Period=FQ","BEST_FPERIOD_OVERRIDE=FQ","FILING_STATUS=MR","FA_ADJUSTED=GAAP","Sort=A","Dates=H","DateFormat=P","Fill=—","Direction=H","UseDPDF=Y")</f>
        <v>14.374599999999999</v>
      </c>
      <c r="Z17" s="21">
        <f>_xll.BDH("NFLX US Equity","INCREMENTAL_OPERATING_MARGIN","FQ1 2017","FQ1 2017","Currency=USD","Period=FQ","BEST_FPERIOD_OVERRIDE=FQ","FILING_STATUS=MR","FA_ADJUSTED=GAAP","Sort=A","Dates=H","DateFormat=P","Fill=—","Direction=H","UseDPDF=Y")</f>
        <v>30.5626</v>
      </c>
      <c r="AA17" s="21">
        <f>_xll.BDH("NFLX US Equity","INCREMENTAL_OPERATING_MARGIN","FQ2 2017","FQ2 2017","Currency=USD","Period=FQ","BEST_FPERIOD_OVERRIDE=FQ","FILING_STATUS=MR","FA_ADJUSTED=GAAP","Sort=A","Dates=H","DateFormat=P","Fill=—","Direction=H","UseDPDF=Y")</f>
        <v>8.4434000000000005</v>
      </c>
      <c r="AB17" s="21">
        <f>_xll.BDH("NFLX US Equity","INCREMENTAL_OPERATING_MARGIN","FQ3 2017","FQ3 2017","Currency=USD","Period=FQ","BEST_FPERIOD_OVERRIDE=FQ","FILING_STATUS=MR","FA_ADJUSTED=GAAP","Sort=A","Dates=H","DateFormat=P","Fill=—","Direction=H","UseDPDF=Y")</f>
        <v>14.7683</v>
      </c>
      <c r="AC17" s="21">
        <f>_xll.BDH("NFLX US Equity","INCREMENTAL_OPERATING_MARGIN","FQ4 2017","FQ4 2017","Currency=USD","Period=FQ","BEST_FPERIOD_OVERRIDE=FQ","FILING_STATUS=MR","FA_ADJUSTED=GAAP","Sort=A","Dates=H","DateFormat=P","Fill=—","Direction=H","UseDPDF=Y")</f>
        <v>11.305099999999999</v>
      </c>
      <c r="AD17" s="21">
        <f>_xll.BDH("NFLX US Equity","INCREMENTAL_OPERATING_MARGIN","FQ1 2018","FQ1 2018","Currency=USD","Period=FQ","BEST_FPERIOD_OVERRIDE=FQ","FILING_STATUS=MR","FA_ADJUSTED=GAAP","Sort=A","Dates=H","DateFormat=P","Fill=—","Direction=H","UseDPDF=Y")</f>
        <v>17.819199999999999</v>
      </c>
      <c r="AE17" s="21">
        <f>_xll.BDH("NFLX US Equity","INCREMENTAL_OPERATING_MARGIN","FQ2 2018","FQ2 2018","Currency=USD","Period=FQ","BEST_FPERIOD_OVERRIDE=FQ","FILING_STATUS=MR","FA_ADJUSTED=GAAP","Sort=A","Dates=H","DateFormat=P","Fill=—","Direction=H","UseDPDF=Y")</f>
        <v>29.8096</v>
      </c>
      <c r="AF17" s="21">
        <f>_xll.BDH("NFLX US Equity","INCREMENTAL_OPERATING_MARGIN","FQ3 2018","FQ3 2018","Currency=USD","Period=FQ","BEST_FPERIOD_OVERRIDE=FQ","FILING_STATUS=MR","FA_ADJUSTED=GAAP","Sort=A","Dates=H","DateFormat=P","Fill=—","Direction=H","UseDPDF=Y")</f>
        <v>26.814900000000002</v>
      </c>
      <c r="AG17" s="21" t="str">
        <f>_xll.BDH("NFLX US Equity","INCREMENTAL_OPERATING_MARGIN","FQ4 2018","FQ4 2018","Currency=USD","Period=FQ","BEST_FPERIOD_OVERRIDE=FQ","FILING_STATUS=MR","FA_ADJUSTED=GAAP","Sort=A","Dates=H","DateFormat=P","Fill=—","Direction=H","UseDPDF=Y")</f>
        <v>—</v>
      </c>
      <c r="AH17" s="21">
        <f>_xll.BDH("NFLX US Equity","INCREMENTAL_OPERATING_MARGIN","FQ1 2019","FQ1 2019","Currency=USD","Period=FQ","BEST_FPERIOD_OVERRIDE=FQ","FILING_STATUS=MR","FA_ADJUSTED=GAAP","Sort=A","Dates=H","DateFormat=P","Fill=—","Direction=H","UseDPDF=Y")</f>
        <v>1.5249000000000001</v>
      </c>
      <c r="AI17" s="21">
        <f>_xll.BDH("NFLX US Equity","INCREMENTAL_OPERATING_MARGIN","FQ2 2019","FQ2 2019","Currency=USD","Period=FQ","BEST_FPERIOD_OVERRIDE=FQ","FILING_STATUS=MR","FA_ADJUSTED=GAAP","Sort=A","Dates=H","DateFormat=P","Fill=—","Direction=H","UseDPDF=Y")</f>
        <v>24.0397</v>
      </c>
      <c r="AJ17" s="21">
        <f>_xll.BDH("NFLX US Equity","INCREMENTAL_OPERATING_MARGIN","FQ3 2019","FQ3 2019","Currency=USD","Period=FQ","BEST_FPERIOD_OVERRIDE=FQ","FILING_STATUS=MR","FA_ADJUSTED=GAAP","Sort=A","Dates=H","DateFormat=P","Fill=—","Direction=H","UseDPDF=Y")</f>
        <v>40.109099999999998</v>
      </c>
      <c r="AK17" s="21">
        <f>_xll.BDH("NFLX US Equity","INCREMENTAL_OPERATING_MARGIN","FQ4 2019","FQ4 2019","Currency=USD","Period=FQ","BEST_FPERIOD_OVERRIDE=FQ","FILING_STATUS=MR","FA_ADJUSTED=GAAP","Sort=A","Dates=H","DateFormat=P","Fill=—","Direction=H","UseDPDF=Y")</f>
        <v>18.9557</v>
      </c>
      <c r="AL17" s="21">
        <f>_xll.BDH("NFLX US Equity","INCREMENTAL_OPERATING_MARGIN","FQ1 2020","FQ1 2020","Currency=USD","Period=FQ","BEST_FPERIOD_OVERRIDE=FQ","FILING_STATUS=MR","FA_ADJUSTED=GAAP","Sort=A","Dates=H","DateFormat=P","Fill=—","Direction=H","UseDPDF=Y")</f>
        <v>40.039499999999997</v>
      </c>
      <c r="AM17" s="21">
        <f>_xll.BDH("NFLX US Equity","INCREMENTAL_OPERATING_MARGIN","FQ2 2020","FQ2 2020","Currency=USD","Period=FQ","BEST_FPERIOD_OVERRIDE=FQ","FILING_STATUS=MR","FA_ADJUSTED=GAAP","Sort=A","Dates=H","DateFormat=P","Fill=—","Direction=H","UseDPDF=Y")</f>
        <v>53.177</v>
      </c>
      <c r="AN17" s="21">
        <f>_xll.BDH("NFLX US Equity","INCREMENTAL_OPERATING_MARGIN","FQ3 2020","FQ3 2020","Currency=USD","Period=FQ","BEST_FPERIOD_OVERRIDE=FQ","FILING_STATUS=MR","FA_ADJUSTED=GAAP","Sort=A","Dates=H","DateFormat=P","Fill=—","Direction=H","UseDPDF=Y")</f>
        <v>28.102399999999999</v>
      </c>
      <c r="AO17" s="21">
        <f>_xll.BDH("NFLX US Equity","INCREMENTAL_OPERATING_MARGIN","FQ4 2020","FQ4 2020","Currency=USD","Period=FQ","BEST_FPERIOD_OVERRIDE=FQ","FILING_STATUS=MR","FA_ADJUSTED=GAAP","Sort=A","Dates=H","DateFormat=P","Fill=—","Direction=H","UseDPDF=Y")</f>
        <v>42.117800000000003</v>
      </c>
      <c r="AP17" s="21">
        <f>_xll.BDH("NFLX US Equity","INCREMENTAL_OPERATING_MARGIN","FQ1 2021","FQ1 2021","Currency=USD","Period=FQ","BEST_FPERIOD_OVERRIDE=FQ","FILING_STATUS=MR","FA_ADJUSTED=GAAP","Sort=A","Dates=H","DateFormat=P","Fill=—","Direction=H","UseDPDF=Y")</f>
        <v>71.768900000000002</v>
      </c>
    </row>
    <row r="18" spans="1:42" x14ac:dyDescent="0.25">
      <c r="A18" s="18" t="s">
        <v>103</v>
      </c>
      <c r="B18" s="18" t="s">
        <v>104</v>
      </c>
      <c r="C18" s="21">
        <f>_xll.BDH("NFLX US Equity","PRETAX_INC_TO_NET_SALES","FQ2 2011","FQ2 2011","Currency=USD","Period=FQ","BEST_FPERIOD_OVERRIDE=FQ","FILING_STATUS=MR","FA_ADJUSTED=GAAP","Sort=A","Dates=H","DateFormat=P","Fill=—","Direction=H","UseDPDF=Y")</f>
        <v>14.053100000000001</v>
      </c>
      <c r="D18" s="21">
        <f>_xll.BDH("NFLX US Equity","PRETAX_INC_TO_NET_SALES","FQ3 2011","FQ3 2011","Currency=USD","Period=FQ","BEST_FPERIOD_OVERRIDE=FQ","FILING_STATUS=MR","FA_ADJUSTED=GAAP","Sort=A","Dates=H","DateFormat=P","Fill=—","Direction=H","UseDPDF=Y")</f>
        <v>11.3919</v>
      </c>
      <c r="E18" s="21">
        <f>_xll.BDH("NFLX US Equity","PRETAX_INC_TO_NET_SALES","FQ4 2011","FQ4 2011","Currency=USD","Period=FQ","BEST_FPERIOD_OVERRIDE=FQ","FILING_STATUS=MR","FA_ADJUSTED=GAAP","Sort=A","Dates=H","DateFormat=P","Fill=—","Direction=H","UseDPDF=Y")</f>
        <v>6.4912000000000001</v>
      </c>
      <c r="F18" s="21">
        <f>_xll.BDH("NFLX US Equity","PRETAX_INC_TO_NET_SALES","FQ1 2012","FQ1 2012","Currency=USD","Period=FQ","BEST_FPERIOD_OVERRIDE=FQ","FILING_STATUS=MR","FA_ADJUSTED=GAAP","Sort=A","Dates=H","DateFormat=P","Fill=—","Direction=H","UseDPDF=Y")</f>
        <v>-0.80769999999999997</v>
      </c>
      <c r="G18" s="21">
        <f>_xll.BDH("NFLX US Equity","PRETAX_INC_TO_NET_SALES","FQ2 2012","FQ2 2012","Currency=USD","Period=FQ","BEST_FPERIOD_OVERRIDE=FQ","FILING_STATUS=MR","FA_ADJUSTED=GAAP","Sort=A","Dates=H","DateFormat=P","Fill=—","Direction=H","UseDPDF=Y")</f>
        <v>1.1982999999999999</v>
      </c>
      <c r="H18" s="21">
        <f>_xll.BDH("NFLX US Equity","PRETAX_INC_TO_NET_SALES","FQ3 2012","FQ3 2012","Currency=USD","Period=FQ","BEST_FPERIOD_OVERRIDE=FQ","FILING_STATUS=MR","FA_ADJUSTED=GAAP","Sort=A","Dates=H","DateFormat=P","Fill=—","Direction=H","UseDPDF=Y")</f>
        <v>1.3199000000000001</v>
      </c>
      <c r="I18" s="21">
        <f>_xll.BDH("NFLX US Equity","PRETAX_INC_TO_NET_SALES","FQ4 2012","FQ4 2012","Currency=USD","Period=FQ","BEST_FPERIOD_OVERRIDE=FQ","FILING_STATUS=MR","FA_ADJUSTED=GAAP","Sort=A","Dates=H","DateFormat=P","Fill=—","Direction=H","UseDPDF=Y")</f>
        <v>1.5767</v>
      </c>
      <c r="J18" s="21">
        <f>_xll.BDH("NFLX US Equity","PRETAX_INC_TO_NET_SALES","FQ1 2013","FQ1 2013","Currency=USD","Period=FQ","BEST_FPERIOD_OVERRIDE=FQ","FILING_STATUS=MR","FA_ADJUSTED=GAAP","Sort=A","Dates=H","DateFormat=P","Fill=—","Direction=H","UseDPDF=Y")</f>
        <v>9.0800000000000006E-2</v>
      </c>
      <c r="K18" s="21">
        <f>_xll.BDH("NFLX US Equity","PRETAX_INC_TO_NET_SALES","FQ2 2013","FQ2 2013","Currency=USD","Period=FQ","BEST_FPERIOD_OVERRIDE=FQ","FILING_STATUS=MR","FA_ADJUSTED=GAAP","Sort=A","Dates=H","DateFormat=P","Fill=—","Direction=H","UseDPDF=Y")</f>
        <v>4.3623000000000003</v>
      </c>
      <c r="L18" s="21">
        <f>_xll.BDH("NFLX US Equity","PRETAX_INC_TO_NET_SALES","FQ3 2013","FQ3 2013","Currency=USD","Period=FQ","BEST_FPERIOD_OVERRIDE=FQ","FILING_STATUS=MR","FA_ADJUSTED=GAAP","Sort=A","Dates=H","DateFormat=P","Fill=—","Direction=H","UseDPDF=Y")</f>
        <v>4.4748000000000001</v>
      </c>
      <c r="M18" s="21">
        <f>_xll.BDH("NFLX US Equity","PRETAX_INC_TO_NET_SALES","FQ4 2013","FQ4 2013","Currency=USD","Period=FQ","BEST_FPERIOD_OVERRIDE=FQ","FILING_STATUS=MR","FA_ADJUSTED=GAAP","Sort=A","Dates=H","DateFormat=P","Fill=—","Direction=H","UseDPDF=Y")</f>
        <v>6.2969999999999997</v>
      </c>
      <c r="N18" s="21">
        <f>_xll.BDH("NFLX US Equity","PRETAX_INC_TO_NET_SALES","FQ1 2014","FQ1 2014","Currency=USD","Period=FQ","BEST_FPERIOD_OVERRIDE=FQ","FILING_STATUS=MR","FA_ADJUSTED=GAAP","Sort=A","Dates=H","DateFormat=P","Fill=—","Direction=H","UseDPDF=Y")</f>
        <v>7.0030000000000001</v>
      </c>
      <c r="O18" s="21">
        <f>_xll.BDH("NFLX US Equity","PRETAX_INC_TO_NET_SALES","FQ2 2014","FQ2 2014","Currency=USD","Period=FQ","BEST_FPERIOD_OVERRIDE=FQ","FILING_STATUS=MR","FA_ADJUSTED=GAAP","Sort=A","Dates=H","DateFormat=P","Fill=—","Direction=H","UseDPDF=Y")</f>
        <v>8.7563999999999993</v>
      </c>
      <c r="P18" s="21">
        <f>_xll.BDH("NFLX US Equity","PRETAX_INC_TO_NET_SALES","FQ3 2014","FQ3 2014","Currency=USD","Period=FQ","BEST_FPERIOD_OVERRIDE=FQ","FILING_STATUS=MR","FA_ADJUSTED=GAAP","Sort=A","Dates=H","DateFormat=P","Fill=—","Direction=H","UseDPDF=Y")</f>
        <v>6.9203000000000001</v>
      </c>
      <c r="Q18" s="21">
        <f>_xll.BDH("NFLX US Equity","PRETAX_INC_TO_NET_SALES","FQ4 2014","FQ4 2014","Currency=USD","Period=FQ","BEST_FPERIOD_OVERRIDE=FQ","FILING_STATUS=MR","FA_ADJUSTED=GAAP","Sort=A","Dates=H","DateFormat=P","Fill=—","Direction=H","UseDPDF=Y")</f>
        <v>3.0655999999999999</v>
      </c>
      <c r="R18" s="21">
        <f>_xll.BDH("NFLX US Equity","PRETAX_INC_TO_NET_SALES","FQ1 2015","FQ1 2015","Currency=USD","Period=FQ","BEST_FPERIOD_OVERRIDE=FQ","FILING_STATUS=MR","FA_ADJUSTED=GAAP","Sort=A","Dates=H","DateFormat=P","Fill=—","Direction=H","UseDPDF=Y")</f>
        <v>2.4426000000000001</v>
      </c>
      <c r="S18" s="21">
        <f>_xll.BDH("NFLX US Equity","PRETAX_INC_TO_NET_SALES","FQ2 2015","FQ2 2015","Currency=USD","Period=FQ","BEST_FPERIOD_OVERRIDE=FQ","FILING_STATUS=MR","FA_ADJUSTED=GAAP","Sort=A","Dates=H","DateFormat=P","Fill=—","Direction=H","UseDPDF=Y")</f>
        <v>2.4619</v>
      </c>
      <c r="T18" s="21">
        <f>_xll.BDH("NFLX US Equity","PRETAX_INC_TO_NET_SALES","FQ3 2015","FQ3 2015","Currency=USD","Period=FQ","BEST_FPERIOD_OVERRIDE=FQ","FILING_STATUS=MR","FA_ADJUSTED=GAAP","Sort=A","Dates=H","DateFormat=P","Fill=—","Direction=H","UseDPDF=Y")</f>
        <v>2.4298000000000002</v>
      </c>
      <c r="U18" s="21">
        <f>_xll.BDH("NFLX US Equity","PRETAX_INC_TO_NET_SALES","FQ4 2015","FQ4 2015","Currency=USD","Period=FQ","BEST_FPERIOD_OVERRIDE=FQ","FILING_STATUS=MR","FA_ADJUSTED=GAAP","Sort=A","Dates=H","DateFormat=P","Fill=—","Direction=H","UseDPDF=Y")</f>
        <v>1.137</v>
      </c>
      <c r="V18" s="21">
        <f>_xll.BDH("NFLX US Equity","PRETAX_INC_TO_NET_SALES","FQ1 2016","FQ1 2016","Currency=USD","Period=FQ","BEST_FPERIOD_OVERRIDE=FQ","FILING_STATUS=MR","FA_ADJUSTED=GAAP","Sort=A","Dates=H","DateFormat=P","Fill=—","Direction=H","UseDPDF=Y")</f>
        <v>2.0369999999999999</v>
      </c>
      <c r="W18" s="21">
        <f>_xll.BDH("NFLX US Equity","PRETAX_INC_TO_NET_SALES","FQ2 2016","FQ2 2016","Currency=USD","Period=FQ","BEST_FPERIOD_OVERRIDE=FQ","FILING_STATUS=MR","FA_ADJUSTED=GAAP","Sort=A","Dates=H","DateFormat=P","Fill=—","Direction=H","UseDPDF=Y")</f>
        <v>2.4336000000000002</v>
      </c>
      <c r="X18" s="21">
        <f>_xll.BDH("NFLX US Equity","PRETAX_INC_TO_NET_SALES","FQ3 2016","FQ3 2016","Currency=USD","Period=FQ","BEST_FPERIOD_OVERRIDE=FQ","FILING_STATUS=MR","FA_ADJUSTED=GAAP","Sort=A","Dates=H","DateFormat=P","Fill=—","Direction=H","UseDPDF=Y")</f>
        <v>3.4550000000000001</v>
      </c>
      <c r="Y18" s="21">
        <f>_xll.BDH("NFLX US Equity","PRETAX_INC_TO_NET_SALES","FQ4 2016","FQ4 2016","Currency=USD","Period=FQ","BEST_FPERIOD_OVERRIDE=FQ","FILING_STATUS=MR","FA_ADJUSTED=GAAP","Sort=A","Dates=H","DateFormat=P","Fill=—","Direction=H","UseDPDF=Y")</f>
        <v>3.6435</v>
      </c>
      <c r="Z18" s="21">
        <f>_xll.BDH("NFLX US Equity","PRETAX_INC_TO_NET_SALES","FQ1 2017","FQ1 2017","Currency=USD","Period=FQ","BEST_FPERIOD_OVERRIDE=FQ","FILING_STATUS=MR","FA_ADJUSTED=GAAP","Sort=A","Dates=H","DateFormat=P","Fill=—","Direction=H","UseDPDF=Y")</f>
        <v>8.4878</v>
      </c>
      <c r="AA18" s="21">
        <f>_xll.BDH("NFLX US Equity","PRETAX_INC_TO_NET_SALES","FQ2 2017","FQ2 2017","Currency=USD","Period=FQ","BEST_FPERIOD_OVERRIDE=FQ","FILING_STATUS=MR","FA_ADJUSTED=GAAP","Sort=A","Dates=H","DateFormat=P","Fill=—","Direction=H","UseDPDF=Y")</f>
        <v>0.50119999999999998</v>
      </c>
      <c r="AB18" s="21">
        <f>_xll.BDH("NFLX US Equity","PRETAX_INC_TO_NET_SALES","FQ3 2017","FQ3 2017","Currency=USD","Period=FQ","BEST_FPERIOD_OVERRIDE=FQ","FILING_STATUS=MR","FA_ADJUSTED=GAAP","Sort=A","Dates=H","DateFormat=P","Fill=—","Direction=H","UseDPDF=Y")</f>
        <v>3.8942000000000001</v>
      </c>
      <c r="AC18" s="21">
        <f>_xll.BDH("NFLX US Equity","PRETAX_INC_TO_NET_SALES","FQ4 2017","FQ4 2017","Currency=USD","Period=FQ","BEST_FPERIOD_OVERRIDE=FQ","FILING_STATUS=MR","FA_ADJUSTED=GAAP","Sort=A","Dates=H","DateFormat=P","Fill=—","Direction=H","UseDPDF=Y")</f>
        <v>3.9969999999999999</v>
      </c>
      <c r="AD18" s="21">
        <f>_xll.BDH("NFLX US Equity","PRETAX_INC_TO_NET_SALES","FQ1 2018","FQ1 2018","Currency=USD","Period=FQ","BEST_FPERIOD_OVERRIDE=FQ","FILING_STATUS=MR","FA_ADJUSTED=GAAP","Sort=A","Dates=H","DateFormat=P","Fill=—","Direction=H","UseDPDF=Y")</f>
        <v>8.0959000000000003</v>
      </c>
      <c r="AE18" s="21">
        <f>_xll.BDH("NFLX US Equity","PRETAX_INC_TO_NET_SALES","FQ2 2018","FQ2 2018","Currency=USD","Period=FQ","BEST_FPERIOD_OVERRIDE=FQ","FILING_STATUS=MR","FA_ADJUSTED=GAAP","Sort=A","Dates=H","DateFormat=P","Fill=—","Direction=H","UseDPDF=Y")</f>
        <v>10.9702</v>
      </c>
      <c r="AF18" s="21">
        <f>_xll.BDH("NFLX US Equity","PRETAX_INC_TO_NET_SALES","FQ3 2018","FQ3 2018","Currency=USD","Period=FQ","BEST_FPERIOD_OVERRIDE=FQ","FILING_STATUS=MR","FA_ADJUSTED=GAAP","Sort=A","Dates=H","DateFormat=P","Fill=—","Direction=H","UseDPDF=Y")</f>
        <v>9.4717000000000002</v>
      </c>
      <c r="AG18" s="21">
        <f>_xll.BDH("NFLX US Equity","PRETAX_INC_TO_NET_SALES","FQ4 2018","FQ4 2018","Currency=USD","Period=FQ","BEST_FPERIOD_OVERRIDE=FQ","FILING_STATUS=MR","FA_ADJUSTED=GAAP","Sort=A","Dates=H","DateFormat=P","Fill=—","Direction=H","UseDPDF=Y")</f>
        <v>2.8517000000000001</v>
      </c>
      <c r="AH18" s="21">
        <f>_xll.BDH("NFLX US Equity","PRETAX_INC_TO_NET_SALES","FQ1 2019","FQ1 2019","Currency=USD","Period=FQ","BEST_FPERIOD_OVERRIDE=FQ","FILING_STATUS=MR","FA_ADJUSTED=GAAP","Sort=A","Dates=H","DateFormat=P","Fill=—","Direction=H","UseDPDF=Y")</f>
        <v>8.8400999999999996</v>
      </c>
      <c r="AI18" s="21">
        <f>_xll.BDH("NFLX US Equity","PRETAX_INC_TO_NET_SALES","FQ2 2019","FQ2 2019","Currency=USD","Period=FQ","BEST_FPERIOD_OVERRIDE=FQ","FILING_STATUS=MR","FA_ADJUSTED=GAAP","Sort=A","Dates=H","DateFormat=P","Fill=—","Direction=H","UseDPDF=Y")</f>
        <v>10.174799999999999</v>
      </c>
      <c r="AJ18" s="21">
        <f>_xll.BDH("NFLX US Equity","PRETAX_INC_TO_NET_SALES","FQ3 2019","FQ3 2019","Currency=USD","Period=FQ","BEST_FPERIOD_OVERRIDE=FQ","FILING_STATUS=MR","FA_ADJUSTED=GAAP","Sort=A","Dates=H","DateFormat=P","Fill=—","Direction=H","UseDPDF=Y")</f>
        <v>19.301100000000002</v>
      </c>
      <c r="AK18" s="21">
        <f>_xll.BDH("NFLX US Equity","PRETAX_INC_TO_NET_SALES","FQ4 2019","FQ4 2019","Currency=USD","Period=FQ","BEST_FPERIOD_OVERRIDE=FQ","FILING_STATUS=MR","FA_ADJUSTED=GAAP","Sort=A","Dates=H","DateFormat=P","Fill=—","Direction=H","UseDPDF=Y")</f>
        <v>2.7313000000000001</v>
      </c>
      <c r="AL18" s="21">
        <f>_xll.BDH("NFLX US Equity","PRETAX_INC_TO_NET_SALES","FQ1 2020","FQ1 2020","Currency=USD","Period=FQ","BEST_FPERIOD_OVERRIDE=FQ","FILING_STATUS=MR","FA_ADJUSTED=GAAP","Sort=A","Dates=H","DateFormat=P","Fill=—","Direction=H","UseDPDF=Y")</f>
        <v>13.7988</v>
      </c>
      <c r="AM18" s="21">
        <f>_xll.BDH("NFLX US Equity","PRETAX_INC_TO_NET_SALES","FQ2 2020","FQ2 2020","Currency=USD","Period=FQ","BEST_FPERIOD_OVERRIDE=FQ","FILING_STATUS=MR","FA_ADJUSTED=GAAP","Sort=A","Dates=H","DateFormat=P","Fill=—","Direction=H","UseDPDF=Y")</f>
        <v>16.843800000000002</v>
      </c>
      <c r="AN18" s="21">
        <f>_xll.BDH("NFLX US Equity","PRETAX_INC_TO_NET_SALES","FQ3 2020","FQ3 2020","Currency=USD","Period=FQ","BEST_FPERIOD_OVERRIDE=FQ","FILING_STATUS=MR","FA_ADJUSTED=GAAP","Sort=A","Dates=H","DateFormat=P","Fill=—","Direction=H","UseDPDF=Y")</f>
        <v>13.3858</v>
      </c>
      <c r="AO18" s="21">
        <f>_xll.BDH("NFLX US Equity","PRETAX_INC_TO_NET_SALES","FQ4 2020","FQ4 2020","Currency=USD","Period=FQ","BEST_FPERIOD_OVERRIDE=FQ","FILING_STATUS=MR","FA_ADJUSTED=GAAP","Sort=A","Dates=H","DateFormat=P","Fill=—","Direction=H","UseDPDF=Y")</f>
        <v>7.6216999999999997</v>
      </c>
      <c r="AP18" s="21">
        <f>_xll.BDH("NFLX US Equity","PRETAX_INC_TO_NET_SALES","FQ1 2021","FQ1 2021","Currency=USD","Period=FQ","BEST_FPERIOD_OVERRIDE=FQ","FILING_STATUS=MR","FA_ADJUSTED=GAAP","Sort=A","Dates=H","DateFormat=P","Fill=—","Direction=H","UseDPDF=Y")</f>
        <v>28.401800000000001</v>
      </c>
    </row>
    <row r="19" spans="1:42" x14ac:dyDescent="0.25">
      <c r="A19" s="18" t="s">
        <v>105</v>
      </c>
      <c r="B19" s="18" t="s">
        <v>106</v>
      </c>
      <c r="C19" s="21">
        <f>_xll.BDH("NFLX US Equity","INC_BEF_XO_ITEMS_TO_NET_SALES","FQ2 2011","FQ2 2011","Currency=USD","Period=FQ","BEST_FPERIOD_OVERRIDE=FQ","FILING_STATUS=MR","FA_ADJUSTED=GAAP","Sort=A","Dates=H","DateFormat=P","Fill=—","Direction=H","UseDPDF=Y")</f>
        <v>8.6499000000000006</v>
      </c>
      <c r="D19" s="21">
        <f>_xll.BDH("NFLX US Equity","INC_BEF_XO_ITEMS_TO_NET_SALES","FQ3 2011","FQ3 2011","Currency=USD","Period=FQ","BEST_FPERIOD_OVERRIDE=FQ","FILING_STATUS=MR","FA_ADJUSTED=GAAP","Sort=A","Dates=H","DateFormat=P","Fill=—","Direction=H","UseDPDF=Y")</f>
        <v>7.6</v>
      </c>
      <c r="E19" s="21">
        <f>_xll.BDH("NFLX US Equity","INC_BEF_XO_ITEMS_TO_NET_SALES","FQ4 2011","FQ4 2011","Currency=USD","Period=FQ","BEST_FPERIOD_OVERRIDE=FQ","FILING_STATUS=MR","FA_ADJUSTED=GAAP","Sort=A","Dates=H","DateFormat=P","Fill=—","Direction=H","UseDPDF=Y")</f>
        <v>4.0224000000000002</v>
      </c>
      <c r="F19" s="21">
        <f>_xll.BDH("NFLX US Equity","INC_BEF_XO_ITEMS_TO_NET_SALES","FQ1 2012","FQ1 2012","Currency=USD","Period=FQ","BEST_FPERIOD_OVERRIDE=FQ","FILING_STATUS=MR","FA_ADJUSTED=GAAP","Sort=A","Dates=H","DateFormat=P","Fill=—","Direction=H","UseDPDF=Y")</f>
        <v>-0.52700000000000002</v>
      </c>
      <c r="G19" s="21">
        <f>_xll.BDH("NFLX US Equity","INC_BEF_XO_ITEMS_TO_NET_SALES","FQ2 2012","FQ2 2012","Currency=USD","Period=FQ","BEST_FPERIOD_OVERRIDE=FQ","FILING_STATUS=MR","FA_ADJUSTED=GAAP","Sort=A","Dates=H","DateFormat=P","Fill=—","Direction=H","UseDPDF=Y")</f>
        <v>0.69320000000000004</v>
      </c>
      <c r="H19" s="21">
        <f>_xll.BDH("NFLX US Equity","INC_BEF_XO_ITEMS_TO_NET_SALES","FQ3 2012","FQ3 2012","Currency=USD","Period=FQ","BEST_FPERIOD_OVERRIDE=FQ","FILING_STATUS=MR","FA_ADJUSTED=GAAP","Sort=A","Dates=H","DateFormat=P","Fill=—","Direction=H","UseDPDF=Y")</f>
        <v>0.84799999999999998</v>
      </c>
      <c r="I19" s="21">
        <f>_xll.BDH("NFLX US Equity","INC_BEF_XO_ITEMS_TO_NET_SALES","FQ4 2012","FQ4 2012","Currency=USD","Period=FQ","BEST_FPERIOD_OVERRIDE=FQ","FILING_STATUS=MR","FA_ADJUSTED=GAAP","Sort=A","Dates=H","DateFormat=P","Fill=—","Direction=H","UseDPDF=Y")</f>
        <v>0.83550000000000002</v>
      </c>
      <c r="J19" s="21">
        <f>_xll.BDH("NFLX US Equity","INC_BEF_XO_ITEMS_TO_NET_SALES","FQ1 2013","FQ1 2013","Currency=USD","Period=FQ","BEST_FPERIOD_OVERRIDE=FQ","FILING_STATUS=MR","FA_ADJUSTED=GAAP","Sort=A","Dates=H","DateFormat=P","Fill=—","Direction=H","UseDPDF=Y")</f>
        <v>0.2626</v>
      </c>
      <c r="K19" s="21">
        <f>_xll.BDH("NFLX US Equity","INC_BEF_XO_ITEMS_TO_NET_SALES","FQ2 2013","FQ2 2013","Currency=USD","Period=FQ","BEST_FPERIOD_OVERRIDE=FQ","FILING_STATUS=MR","FA_ADJUSTED=GAAP","Sort=A","Dates=H","DateFormat=P","Fill=—","Direction=H","UseDPDF=Y")</f>
        <v>2.7559</v>
      </c>
      <c r="L19" s="21">
        <f>_xll.BDH("NFLX US Equity","INC_BEF_XO_ITEMS_TO_NET_SALES","FQ3 2013","FQ3 2013","Currency=USD","Period=FQ","BEST_FPERIOD_OVERRIDE=FQ","FILING_STATUS=MR","FA_ADJUSTED=GAAP","Sort=A","Dates=H","DateFormat=P","Fill=—","Direction=H","UseDPDF=Y")</f>
        <v>2.8772000000000002</v>
      </c>
      <c r="M19" s="21">
        <f>_xll.BDH("NFLX US Equity","INC_BEF_XO_ITEMS_TO_NET_SALES","FQ4 2013","FQ4 2013","Currency=USD","Period=FQ","BEST_FPERIOD_OVERRIDE=FQ","FILING_STATUS=MR","FA_ADJUSTED=GAAP","Sort=A","Dates=H","DateFormat=P","Fill=—","Direction=H","UseDPDF=Y")</f>
        <v>4.1200999999999999</v>
      </c>
      <c r="N19" s="21">
        <f>_xll.BDH("NFLX US Equity","INC_BEF_XO_ITEMS_TO_NET_SALES","FQ1 2014","FQ1 2014","Currency=USD","Period=FQ","BEST_FPERIOD_OVERRIDE=FQ","FILING_STATUS=MR","FA_ADJUSTED=GAAP","Sort=A","Dates=H","DateFormat=P","Fill=—","Direction=H","UseDPDF=Y")</f>
        <v>4.1820000000000004</v>
      </c>
      <c r="O19" s="21">
        <f>_xll.BDH("NFLX US Equity","INC_BEF_XO_ITEMS_TO_NET_SALES","FQ2 2014","FQ2 2014","Currency=USD","Period=FQ","BEST_FPERIOD_OVERRIDE=FQ","FILING_STATUS=MR","FA_ADJUSTED=GAAP","Sort=A","Dates=H","DateFormat=P","Fill=—","Direction=H","UseDPDF=Y")</f>
        <v>5.2981999999999996</v>
      </c>
      <c r="P19" s="21">
        <f>_xll.BDH("NFLX US Equity","INC_BEF_XO_ITEMS_TO_NET_SALES","FQ3 2014","FQ3 2014","Currency=USD","Period=FQ","BEST_FPERIOD_OVERRIDE=FQ","FILING_STATUS=MR","FA_ADJUSTED=GAAP","Sort=A","Dates=H","DateFormat=P","Fill=—","Direction=H","UseDPDF=Y")</f>
        <v>4.2069999999999999</v>
      </c>
      <c r="Q19" s="21">
        <f>_xll.BDH("NFLX US Equity","INC_BEF_XO_ITEMS_TO_NET_SALES","FQ4 2014","FQ4 2014","Currency=USD","Period=FQ","BEST_FPERIOD_OVERRIDE=FQ","FILING_STATUS=MR","FA_ADJUSTED=GAAP","Sort=A","Dates=H","DateFormat=P","Fill=—","Direction=H","UseDPDF=Y")</f>
        <v>5.6151999999999997</v>
      </c>
      <c r="R19" s="21">
        <f>_xll.BDH("NFLX US Equity","INC_BEF_XO_ITEMS_TO_NET_SALES","FQ1 2015","FQ1 2015","Currency=USD","Period=FQ","BEST_FPERIOD_OVERRIDE=FQ","FILING_STATUS=MR","FA_ADJUSTED=GAAP","Sort=A","Dates=H","DateFormat=P","Fill=—","Direction=H","UseDPDF=Y")</f>
        <v>1.5063</v>
      </c>
      <c r="S19" s="21">
        <f>_xll.BDH("NFLX US Equity","INC_BEF_XO_ITEMS_TO_NET_SALES","FQ2 2015","FQ2 2015","Currency=USD","Period=FQ","BEST_FPERIOD_OVERRIDE=FQ","FILING_STATUS=MR","FA_ADJUSTED=GAAP","Sort=A","Dates=H","DateFormat=P","Fill=—","Direction=H","UseDPDF=Y")</f>
        <v>1.6012</v>
      </c>
      <c r="T19" s="21">
        <f>_xll.BDH("NFLX US Equity","INC_BEF_XO_ITEMS_TO_NET_SALES","FQ3 2015","FQ3 2015","Currency=USD","Period=FQ","BEST_FPERIOD_OVERRIDE=FQ","FILING_STATUS=MR","FA_ADJUSTED=GAAP","Sort=A","Dates=H","DateFormat=P","Fill=—","Direction=H","UseDPDF=Y")</f>
        <v>1.6931</v>
      </c>
      <c r="U19" s="21">
        <f>_xll.BDH("NFLX US Equity","INC_BEF_XO_ITEMS_TO_NET_SALES","FQ4 2015","FQ4 2015","Currency=USD","Period=FQ","BEST_FPERIOD_OVERRIDE=FQ","FILING_STATUS=MR","FA_ADJUSTED=GAAP","Sort=A","Dates=H","DateFormat=P","Fill=—","Direction=H","UseDPDF=Y")</f>
        <v>2.3681000000000001</v>
      </c>
      <c r="V19" s="21">
        <f>_xll.BDH("NFLX US Equity","INC_BEF_XO_ITEMS_TO_NET_SALES","FQ1 2016","FQ1 2016","Currency=USD","Period=FQ","BEST_FPERIOD_OVERRIDE=FQ","FILING_STATUS=MR","FA_ADJUSTED=GAAP","Sort=A","Dates=H","DateFormat=P","Fill=—","Direction=H","UseDPDF=Y")</f>
        <v>1.4128000000000001</v>
      </c>
      <c r="W19" s="21">
        <f>_xll.BDH("NFLX US Equity","INC_BEF_XO_ITEMS_TO_NET_SALES","FQ2 2016","FQ2 2016","Currency=USD","Period=FQ","BEST_FPERIOD_OVERRIDE=FQ","FILING_STATUS=MR","FA_ADJUSTED=GAAP","Sort=A","Dates=H","DateFormat=P","Fill=—","Direction=H","UseDPDF=Y")</f>
        <v>1.9359</v>
      </c>
      <c r="X19" s="21">
        <f>_xll.BDH("NFLX US Equity","INC_BEF_XO_ITEMS_TO_NET_SALES","FQ3 2016","FQ3 2016","Currency=USD","Period=FQ","BEST_FPERIOD_OVERRIDE=FQ","FILING_STATUS=MR","FA_ADJUSTED=GAAP","Sort=A","Dates=H","DateFormat=P","Fill=—","Direction=H","UseDPDF=Y")</f>
        <v>2.2494999999999998</v>
      </c>
      <c r="Y19" s="21">
        <f>_xll.BDH("NFLX US Equity","INC_BEF_XO_ITEMS_TO_NET_SALES","FQ4 2016","FQ4 2016","Currency=USD","Period=FQ","BEST_FPERIOD_OVERRIDE=FQ","FILING_STATUS=MR","FA_ADJUSTED=GAAP","Sort=A","Dates=H","DateFormat=P","Fill=—","Direction=H","UseDPDF=Y")</f>
        <v>2.6941000000000002</v>
      </c>
      <c r="Z19" s="21">
        <f>_xll.BDH("NFLX US Equity","INC_BEF_XO_ITEMS_TO_NET_SALES","FQ1 2017","FQ1 2017","Currency=USD","Period=FQ","BEST_FPERIOD_OVERRIDE=FQ","FILING_STATUS=MR","FA_ADJUSTED=GAAP","Sort=A","Dates=H","DateFormat=P","Fill=—","Direction=H","UseDPDF=Y")</f>
        <v>6.7594000000000003</v>
      </c>
      <c r="AA19" s="21">
        <f>_xll.BDH("NFLX US Equity","INC_BEF_XO_ITEMS_TO_NET_SALES","FQ2 2017","FQ2 2017","Currency=USD","Period=FQ","BEST_FPERIOD_OVERRIDE=FQ","FILING_STATUS=MR","FA_ADJUSTED=GAAP","Sort=A","Dates=H","DateFormat=P","Fill=—","Direction=H","UseDPDF=Y")</f>
        <v>2.3551000000000002</v>
      </c>
      <c r="AB19" s="21">
        <f>_xll.BDH("NFLX US Equity","INC_BEF_XO_ITEMS_TO_NET_SALES","FQ3 2017","FQ3 2017","Currency=USD","Period=FQ","BEST_FPERIOD_OVERRIDE=FQ","FILING_STATUS=MR","FA_ADJUSTED=GAAP","Sort=A","Dates=H","DateFormat=P","Fill=—","Direction=H","UseDPDF=Y")</f>
        <v>4.3415999999999997</v>
      </c>
      <c r="AC19" s="21">
        <f>_xll.BDH("NFLX US Equity","INC_BEF_XO_ITEMS_TO_NET_SALES","FQ4 2017","FQ4 2017","Currency=USD","Period=FQ","BEST_FPERIOD_OVERRIDE=FQ","FILING_STATUS=MR","FA_ADJUSTED=GAAP","Sort=A","Dates=H","DateFormat=P","Fill=—","Direction=H","UseDPDF=Y")</f>
        <v>5.6460999999999997</v>
      </c>
      <c r="AD19" s="21">
        <f>_xll.BDH("NFLX US Equity","INC_BEF_XO_ITEMS_TO_NET_SALES","FQ1 2018","FQ1 2018","Currency=USD","Period=FQ","BEST_FPERIOD_OVERRIDE=FQ","FILING_STATUS=MR","FA_ADJUSTED=GAAP","Sort=A","Dates=H","DateFormat=P","Fill=—","Direction=H","UseDPDF=Y")</f>
        <v>7.8394000000000004</v>
      </c>
      <c r="AE19" s="21">
        <f>_xll.BDH("NFLX US Equity","INC_BEF_XO_ITEMS_TO_NET_SALES","FQ2 2018","FQ2 2018","Currency=USD","Period=FQ","BEST_FPERIOD_OVERRIDE=FQ","FILING_STATUS=MR","FA_ADJUSTED=GAAP","Sort=A","Dates=H","DateFormat=P","Fill=—","Direction=H","UseDPDF=Y")</f>
        <v>9.8368000000000002</v>
      </c>
      <c r="AF19" s="21">
        <f>_xll.BDH("NFLX US Equity","INC_BEF_XO_ITEMS_TO_NET_SALES","FQ3 2018","FQ3 2018","Currency=USD","Period=FQ","BEST_FPERIOD_OVERRIDE=FQ","FILING_STATUS=MR","FA_ADJUSTED=GAAP","Sort=A","Dates=H","DateFormat=P","Fill=—","Direction=H","UseDPDF=Y")</f>
        <v>10.0725</v>
      </c>
      <c r="AG19" s="21">
        <f>_xll.BDH("NFLX US Equity","INC_BEF_XO_ITEMS_TO_NET_SALES","FQ4 2018","FQ4 2018","Currency=USD","Period=FQ","BEST_FPERIOD_OVERRIDE=FQ","FILING_STATUS=MR","FA_ADJUSTED=GAAP","Sort=A","Dates=H","DateFormat=P","Fill=—","Direction=H","UseDPDF=Y")</f>
        <v>3.1989000000000001</v>
      </c>
      <c r="AH19" s="21">
        <f>_xll.BDH("NFLX US Equity","INC_BEF_XO_ITEMS_TO_NET_SALES","FQ1 2019","FQ1 2019","Currency=USD","Period=FQ","BEST_FPERIOD_OVERRIDE=FQ","FILING_STATUS=MR","FA_ADJUSTED=GAAP","Sort=A","Dates=H","DateFormat=P","Fill=—","Direction=H","UseDPDF=Y")</f>
        <v>7.6101000000000001</v>
      </c>
      <c r="AI19" s="21">
        <f>_xll.BDH("NFLX US Equity","INC_BEF_XO_ITEMS_TO_NET_SALES","FQ2 2019","FQ2 2019","Currency=USD","Period=FQ","BEST_FPERIOD_OVERRIDE=FQ","FILING_STATUS=MR","FA_ADJUSTED=GAAP","Sort=A","Dates=H","DateFormat=P","Fill=—","Direction=H","UseDPDF=Y")</f>
        <v>5.4974999999999996</v>
      </c>
      <c r="AJ19" s="21">
        <f>_xll.BDH("NFLX US Equity","INC_BEF_XO_ITEMS_TO_NET_SALES","FQ3 2019","FQ3 2019","Currency=USD","Period=FQ","BEST_FPERIOD_OVERRIDE=FQ","FILING_STATUS=MR","FA_ADJUSTED=GAAP","Sort=A","Dates=H","DateFormat=P","Fill=—","Direction=H","UseDPDF=Y")</f>
        <v>12.6836</v>
      </c>
      <c r="AK19" s="21">
        <f>_xll.BDH("NFLX US Equity","INC_BEF_XO_ITEMS_TO_NET_SALES","FQ4 2019","FQ4 2019","Currency=USD","Period=FQ","BEST_FPERIOD_OVERRIDE=FQ","FILING_STATUS=MR","FA_ADJUSTED=GAAP","Sort=A","Dates=H","DateFormat=P","Fill=—","Direction=H","UseDPDF=Y")</f>
        <v>10.7357</v>
      </c>
      <c r="AL19" s="21">
        <f>_xll.BDH("NFLX US Equity","INC_BEF_XO_ITEMS_TO_NET_SALES","FQ1 2020","FQ1 2020","Currency=USD","Period=FQ","BEST_FPERIOD_OVERRIDE=FQ","FILING_STATUS=MR","FA_ADJUSTED=GAAP","Sort=A","Dates=H","DateFormat=P","Fill=—","Direction=H","UseDPDF=Y")</f>
        <v>12.293799999999999</v>
      </c>
      <c r="AM19" s="21">
        <f>_xll.BDH("NFLX US Equity","INC_BEF_XO_ITEMS_TO_NET_SALES","FQ2 2020","FQ2 2020","Currency=USD","Period=FQ","BEST_FPERIOD_OVERRIDE=FQ","FILING_STATUS=MR","FA_ADJUSTED=GAAP","Sort=A","Dates=H","DateFormat=P","Fill=—","Direction=H","UseDPDF=Y")</f>
        <v>11.713799999999999</v>
      </c>
      <c r="AN19" s="21">
        <f>_xll.BDH("NFLX US Equity","INC_BEF_XO_ITEMS_TO_NET_SALES","FQ3 2020","FQ3 2020","Currency=USD","Period=FQ","BEST_FPERIOD_OVERRIDE=FQ","FILING_STATUS=MR","FA_ADJUSTED=GAAP","Sort=A","Dates=H","DateFormat=P","Fill=—","Direction=H","UseDPDF=Y")</f>
        <v>12.275</v>
      </c>
      <c r="AO19" s="21">
        <f>_xll.BDH("NFLX US Equity","INC_BEF_XO_ITEMS_TO_NET_SALES","FQ4 2020","FQ4 2020","Currency=USD","Period=FQ","BEST_FPERIOD_OVERRIDE=FQ","FILING_STATUS=MR","FA_ADJUSTED=GAAP","Sort=A","Dates=H","DateFormat=P","Fill=—","Direction=H","UseDPDF=Y")</f>
        <v>8.1594999999999995</v>
      </c>
      <c r="AP19" s="21">
        <f>_xll.BDH("NFLX US Equity","INC_BEF_XO_ITEMS_TO_NET_SALES","FQ1 2021","FQ1 2021","Currency=USD","Period=FQ","BEST_FPERIOD_OVERRIDE=FQ","FILING_STATUS=MR","FA_ADJUSTED=GAAP","Sort=A","Dates=H","DateFormat=P","Fill=—","Direction=H","UseDPDF=Y")</f>
        <v>23.825900000000001</v>
      </c>
    </row>
    <row r="20" spans="1:42" x14ac:dyDescent="0.25">
      <c r="A20" s="18" t="s">
        <v>107</v>
      </c>
      <c r="B20" s="18" t="s">
        <v>108</v>
      </c>
      <c r="C20" s="21">
        <f>_xll.BDH("NFLX US Equity","PROF_MARGIN","FQ2 2011","FQ2 2011","Currency=USD","Period=FQ","BEST_FPERIOD_OVERRIDE=FQ","FILING_STATUS=MR","FA_ADJUSTED=GAAP","Sort=A","Dates=H","DateFormat=P","Fill=—","Direction=H","UseDPDF=Y")</f>
        <v>8.6499000000000006</v>
      </c>
      <c r="D20" s="21">
        <f>_xll.BDH("NFLX US Equity","PROF_MARGIN","FQ3 2011","FQ3 2011","Currency=USD","Period=FQ","BEST_FPERIOD_OVERRIDE=FQ","FILING_STATUS=MR","FA_ADJUSTED=GAAP","Sort=A","Dates=H","DateFormat=P","Fill=—","Direction=H","UseDPDF=Y")</f>
        <v>7.6</v>
      </c>
      <c r="E20" s="21">
        <f>_xll.BDH("NFLX US Equity","PROF_MARGIN","FQ4 2011","FQ4 2011","Currency=USD","Period=FQ","BEST_FPERIOD_OVERRIDE=FQ","FILING_STATUS=MR","FA_ADJUSTED=GAAP","Sort=A","Dates=H","DateFormat=P","Fill=—","Direction=H","UseDPDF=Y")</f>
        <v>4.0224000000000002</v>
      </c>
      <c r="F20" s="21">
        <f>_xll.BDH("NFLX US Equity","PROF_MARGIN","FQ1 2012","FQ1 2012","Currency=USD","Period=FQ","BEST_FPERIOD_OVERRIDE=FQ","FILING_STATUS=MR","FA_ADJUSTED=GAAP","Sort=A","Dates=H","DateFormat=P","Fill=—","Direction=H","UseDPDF=Y")</f>
        <v>-0.52700000000000002</v>
      </c>
      <c r="G20" s="21">
        <f>_xll.BDH("NFLX US Equity","PROF_MARGIN","FQ2 2012","FQ2 2012","Currency=USD","Period=FQ","BEST_FPERIOD_OVERRIDE=FQ","FILING_STATUS=MR","FA_ADJUSTED=GAAP","Sort=A","Dates=H","DateFormat=P","Fill=—","Direction=H","UseDPDF=Y")</f>
        <v>0.69320000000000004</v>
      </c>
      <c r="H20" s="21">
        <f>_xll.BDH("NFLX US Equity","PROF_MARGIN","FQ3 2012","FQ3 2012","Currency=USD","Period=FQ","BEST_FPERIOD_OVERRIDE=FQ","FILING_STATUS=MR","FA_ADJUSTED=GAAP","Sort=A","Dates=H","DateFormat=P","Fill=—","Direction=H","UseDPDF=Y")</f>
        <v>0.84799999999999998</v>
      </c>
      <c r="I20" s="21">
        <f>_xll.BDH("NFLX US Equity","PROF_MARGIN","FQ4 2012","FQ4 2012","Currency=USD","Period=FQ","BEST_FPERIOD_OVERRIDE=FQ","FILING_STATUS=MR","FA_ADJUSTED=GAAP","Sort=A","Dates=H","DateFormat=P","Fill=—","Direction=H","UseDPDF=Y")</f>
        <v>0.83550000000000002</v>
      </c>
      <c r="J20" s="21">
        <f>_xll.BDH("NFLX US Equity","PROF_MARGIN","FQ1 2013","FQ1 2013","Currency=USD","Period=FQ","BEST_FPERIOD_OVERRIDE=FQ","FILING_STATUS=MR","FA_ADJUSTED=GAAP","Sort=A","Dates=H","DateFormat=P","Fill=—","Direction=H","UseDPDF=Y")</f>
        <v>0.2626</v>
      </c>
      <c r="K20" s="21">
        <f>_xll.BDH("NFLX US Equity","PROF_MARGIN","FQ2 2013","FQ2 2013","Currency=USD","Period=FQ","BEST_FPERIOD_OVERRIDE=FQ","FILING_STATUS=MR","FA_ADJUSTED=GAAP","Sort=A","Dates=H","DateFormat=P","Fill=—","Direction=H","UseDPDF=Y")</f>
        <v>2.7559</v>
      </c>
      <c r="L20" s="21">
        <f>_xll.BDH("NFLX US Equity","PROF_MARGIN","FQ3 2013","FQ3 2013","Currency=USD","Period=FQ","BEST_FPERIOD_OVERRIDE=FQ","FILING_STATUS=MR","FA_ADJUSTED=GAAP","Sort=A","Dates=H","DateFormat=P","Fill=—","Direction=H","UseDPDF=Y")</f>
        <v>2.8772000000000002</v>
      </c>
      <c r="M20" s="21">
        <f>_xll.BDH("NFLX US Equity","PROF_MARGIN","FQ4 2013","FQ4 2013","Currency=USD","Period=FQ","BEST_FPERIOD_OVERRIDE=FQ","FILING_STATUS=MR","FA_ADJUSTED=GAAP","Sort=A","Dates=H","DateFormat=P","Fill=—","Direction=H","UseDPDF=Y")</f>
        <v>4.1200999999999999</v>
      </c>
      <c r="N20" s="21">
        <f>_xll.BDH("NFLX US Equity","PROF_MARGIN","FQ1 2014","FQ1 2014","Currency=USD","Period=FQ","BEST_FPERIOD_OVERRIDE=FQ","FILING_STATUS=MR","FA_ADJUSTED=GAAP","Sort=A","Dates=H","DateFormat=P","Fill=—","Direction=H","UseDPDF=Y")</f>
        <v>4.1820000000000004</v>
      </c>
      <c r="O20" s="21">
        <f>_xll.BDH("NFLX US Equity","PROF_MARGIN","FQ2 2014","FQ2 2014","Currency=USD","Period=FQ","BEST_FPERIOD_OVERRIDE=FQ","FILING_STATUS=MR","FA_ADJUSTED=GAAP","Sort=A","Dates=H","DateFormat=P","Fill=—","Direction=H","UseDPDF=Y")</f>
        <v>5.2981999999999996</v>
      </c>
      <c r="P20" s="21">
        <f>_xll.BDH("NFLX US Equity","PROF_MARGIN","FQ3 2014","FQ3 2014","Currency=USD","Period=FQ","BEST_FPERIOD_OVERRIDE=FQ","FILING_STATUS=MR","FA_ADJUSTED=GAAP","Sort=A","Dates=H","DateFormat=P","Fill=—","Direction=H","UseDPDF=Y")</f>
        <v>4.2069999999999999</v>
      </c>
      <c r="Q20" s="21">
        <f>_xll.BDH("NFLX US Equity","PROF_MARGIN","FQ4 2014","FQ4 2014","Currency=USD","Period=FQ","BEST_FPERIOD_OVERRIDE=FQ","FILING_STATUS=MR","FA_ADJUSTED=GAAP","Sort=A","Dates=H","DateFormat=P","Fill=—","Direction=H","UseDPDF=Y")</f>
        <v>5.6151999999999997</v>
      </c>
      <c r="R20" s="21">
        <f>_xll.BDH("NFLX US Equity","PROF_MARGIN","FQ1 2015","FQ1 2015","Currency=USD","Period=FQ","BEST_FPERIOD_OVERRIDE=FQ","FILING_STATUS=MR","FA_ADJUSTED=GAAP","Sort=A","Dates=H","DateFormat=P","Fill=—","Direction=H","UseDPDF=Y")</f>
        <v>1.5063</v>
      </c>
      <c r="S20" s="21">
        <f>_xll.BDH("NFLX US Equity","PROF_MARGIN","FQ2 2015","FQ2 2015","Currency=USD","Period=FQ","BEST_FPERIOD_OVERRIDE=FQ","FILING_STATUS=MR","FA_ADJUSTED=GAAP","Sort=A","Dates=H","DateFormat=P","Fill=—","Direction=H","UseDPDF=Y")</f>
        <v>1.6012</v>
      </c>
      <c r="T20" s="21">
        <f>_xll.BDH("NFLX US Equity","PROF_MARGIN","FQ3 2015","FQ3 2015","Currency=USD","Period=FQ","BEST_FPERIOD_OVERRIDE=FQ","FILING_STATUS=MR","FA_ADJUSTED=GAAP","Sort=A","Dates=H","DateFormat=P","Fill=—","Direction=H","UseDPDF=Y")</f>
        <v>1.6931</v>
      </c>
      <c r="U20" s="21">
        <f>_xll.BDH("NFLX US Equity","PROF_MARGIN","FQ4 2015","FQ4 2015","Currency=USD","Period=FQ","BEST_FPERIOD_OVERRIDE=FQ","FILING_STATUS=MR","FA_ADJUSTED=GAAP","Sort=A","Dates=H","DateFormat=P","Fill=—","Direction=H","UseDPDF=Y")</f>
        <v>2.3681000000000001</v>
      </c>
      <c r="V20" s="21">
        <f>_xll.BDH("NFLX US Equity","PROF_MARGIN","FQ1 2016","FQ1 2016","Currency=USD","Period=FQ","BEST_FPERIOD_OVERRIDE=FQ","FILING_STATUS=MR","FA_ADJUSTED=GAAP","Sort=A","Dates=H","DateFormat=P","Fill=—","Direction=H","UseDPDF=Y")</f>
        <v>1.4128000000000001</v>
      </c>
      <c r="W20" s="21">
        <f>_xll.BDH("NFLX US Equity","PROF_MARGIN","FQ2 2016","FQ2 2016","Currency=USD","Period=FQ","BEST_FPERIOD_OVERRIDE=FQ","FILING_STATUS=MR","FA_ADJUSTED=GAAP","Sort=A","Dates=H","DateFormat=P","Fill=—","Direction=H","UseDPDF=Y")</f>
        <v>1.9359</v>
      </c>
      <c r="X20" s="21">
        <f>_xll.BDH("NFLX US Equity","PROF_MARGIN","FQ3 2016","FQ3 2016","Currency=USD","Period=FQ","BEST_FPERIOD_OVERRIDE=FQ","FILING_STATUS=MR","FA_ADJUSTED=GAAP","Sort=A","Dates=H","DateFormat=P","Fill=—","Direction=H","UseDPDF=Y")</f>
        <v>2.2494999999999998</v>
      </c>
      <c r="Y20" s="21">
        <f>_xll.BDH("NFLX US Equity","PROF_MARGIN","FQ4 2016","FQ4 2016","Currency=USD","Period=FQ","BEST_FPERIOD_OVERRIDE=FQ","FILING_STATUS=MR","FA_ADJUSTED=GAAP","Sort=A","Dates=H","DateFormat=P","Fill=—","Direction=H","UseDPDF=Y")</f>
        <v>2.6941000000000002</v>
      </c>
      <c r="Z20" s="21">
        <f>_xll.BDH("NFLX US Equity","PROF_MARGIN","FQ1 2017","FQ1 2017","Currency=USD","Period=FQ","BEST_FPERIOD_OVERRIDE=FQ","FILING_STATUS=MR","FA_ADJUSTED=GAAP","Sort=A","Dates=H","DateFormat=P","Fill=—","Direction=H","UseDPDF=Y")</f>
        <v>6.7594000000000003</v>
      </c>
      <c r="AA20" s="21">
        <f>_xll.BDH("NFLX US Equity","PROF_MARGIN","FQ2 2017","FQ2 2017","Currency=USD","Period=FQ","BEST_FPERIOD_OVERRIDE=FQ","FILING_STATUS=MR","FA_ADJUSTED=GAAP","Sort=A","Dates=H","DateFormat=P","Fill=—","Direction=H","UseDPDF=Y")</f>
        <v>2.3551000000000002</v>
      </c>
      <c r="AB20" s="21">
        <f>_xll.BDH("NFLX US Equity","PROF_MARGIN","FQ3 2017","FQ3 2017","Currency=USD","Period=FQ","BEST_FPERIOD_OVERRIDE=FQ","FILING_STATUS=MR","FA_ADJUSTED=GAAP","Sort=A","Dates=H","DateFormat=P","Fill=—","Direction=H","UseDPDF=Y")</f>
        <v>4.3415999999999997</v>
      </c>
      <c r="AC20" s="21">
        <f>_xll.BDH("NFLX US Equity","PROF_MARGIN","FQ4 2017","FQ4 2017","Currency=USD","Period=FQ","BEST_FPERIOD_OVERRIDE=FQ","FILING_STATUS=MR","FA_ADJUSTED=GAAP","Sort=A","Dates=H","DateFormat=P","Fill=—","Direction=H","UseDPDF=Y")</f>
        <v>5.6460999999999997</v>
      </c>
      <c r="AD20" s="21">
        <f>_xll.BDH("NFLX US Equity","PROF_MARGIN","FQ1 2018","FQ1 2018","Currency=USD","Period=FQ","BEST_FPERIOD_OVERRIDE=FQ","FILING_STATUS=MR","FA_ADJUSTED=GAAP","Sort=A","Dates=H","DateFormat=P","Fill=—","Direction=H","UseDPDF=Y")</f>
        <v>7.8394000000000004</v>
      </c>
      <c r="AE20" s="21">
        <f>_xll.BDH("NFLX US Equity","PROF_MARGIN","FQ2 2018","FQ2 2018","Currency=USD","Period=FQ","BEST_FPERIOD_OVERRIDE=FQ","FILING_STATUS=MR","FA_ADJUSTED=GAAP","Sort=A","Dates=H","DateFormat=P","Fill=—","Direction=H","UseDPDF=Y")</f>
        <v>9.8368000000000002</v>
      </c>
      <c r="AF20" s="21">
        <f>_xll.BDH("NFLX US Equity","PROF_MARGIN","FQ3 2018","FQ3 2018","Currency=USD","Period=FQ","BEST_FPERIOD_OVERRIDE=FQ","FILING_STATUS=MR","FA_ADJUSTED=GAAP","Sort=A","Dates=H","DateFormat=P","Fill=—","Direction=H","UseDPDF=Y")</f>
        <v>10.0725</v>
      </c>
      <c r="AG20" s="21">
        <f>_xll.BDH("NFLX US Equity","PROF_MARGIN","FQ4 2018","FQ4 2018","Currency=USD","Period=FQ","BEST_FPERIOD_OVERRIDE=FQ","FILING_STATUS=MR","FA_ADJUSTED=GAAP","Sort=A","Dates=H","DateFormat=P","Fill=—","Direction=H","UseDPDF=Y")</f>
        <v>3.1989000000000001</v>
      </c>
      <c r="AH20" s="21">
        <f>_xll.BDH("NFLX US Equity","PROF_MARGIN","FQ1 2019","FQ1 2019","Currency=USD","Period=FQ","BEST_FPERIOD_OVERRIDE=FQ","FILING_STATUS=MR","FA_ADJUSTED=GAAP","Sort=A","Dates=H","DateFormat=P","Fill=—","Direction=H","UseDPDF=Y")</f>
        <v>7.6101000000000001</v>
      </c>
      <c r="AI20" s="21">
        <f>_xll.BDH("NFLX US Equity","PROF_MARGIN","FQ2 2019","FQ2 2019","Currency=USD","Period=FQ","BEST_FPERIOD_OVERRIDE=FQ","FILING_STATUS=MR","FA_ADJUSTED=GAAP","Sort=A","Dates=H","DateFormat=P","Fill=—","Direction=H","UseDPDF=Y")</f>
        <v>5.4974999999999996</v>
      </c>
      <c r="AJ20" s="21">
        <f>_xll.BDH("NFLX US Equity","PROF_MARGIN","FQ3 2019","FQ3 2019","Currency=USD","Period=FQ","BEST_FPERIOD_OVERRIDE=FQ","FILING_STATUS=MR","FA_ADJUSTED=GAAP","Sort=A","Dates=H","DateFormat=P","Fill=—","Direction=H","UseDPDF=Y")</f>
        <v>12.6836</v>
      </c>
      <c r="AK20" s="21">
        <f>_xll.BDH("NFLX US Equity","PROF_MARGIN","FQ4 2019","FQ4 2019","Currency=USD","Period=FQ","BEST_FPERIOD_OVERRIDE=FQ","FILING_STATUS=MR","FA_ADJUSTED=GAAP","Sort=A","Dates=H","DateFormat=P","Fill=—","Direction=H","UseDPDF=Y")</f>
        <v>10.7357</v>
      </c>
      <c r="AL20" s="21">
        <f>_xll.BDH("NFLX US Equity","PROF_MARGIN","FQ1 2020","FQ1 2020","Currency=USD","Period=FQ","BEST_FPERIOD_OVERRIDE=FQ","FILING_STATUS=MR","FA_ADJUSTED=GAAP","Sort=A","Dates=H","DateFormat=P","Fill=—","Direction=H","UseDPDF=Y")</f>
        <v>12.293799999999999</v>
      </c>
      <c r="AM20" s="21">
        <f>_xll.BDH("NFLX US Equity","PROF_MARGIN","FQ2 2020","FQ2 2020","Currency=USD","Period=FQ","BEST_FPERIOD_OVERRIDE=FQ","FILING_STATUS=MR","FA_ADJUSTED=GAAP","Sort=A","Dates=H","DateFormat=P","Fill=—","Direction=H","UseDPDF=Y")</f>
        <v>11.713799999999999</v>
      </c>
      <c r="AN20" s="21">
        <f>_xll.BDH("NFLX US Equity","PROF_MARGIN","FQ3 2020","FQ3 2020","Currency=USD","Period=FQ","BEST_FPERIOD_OVERRIDE=FQ","FILING_STATUS=MR","FA_ADJUSTED=GAAP","Sort=A","Dates=H","DateFormat=P","Fill=—","Direction=H","UseDPDF=Y")</f>
        <v>12.275</v>
      </c>
      <c r="AO20" s="21">
        <f>_xll.BDH("NFLX US Equity","PROF_MARGIN","FQ4 2020","FQ4 2020","Currency=USD","Period=FQ","BEST_FPERIOD_OVERRIDE=FQ","FILING_STATUS=MR","FA_ADJUSTED=GAAP","Sort=A","Dates=H","DateFormat=P","Fill=—","Direction=H","UseDPDF=Y")</f>
        <v>8.1594999999999995</v>
      </c>
      <c r="AP20" s="21">
        <f>_xll.BDH("NFLX US Equity","PROF_MARGIN","FQ1 2021","FQ1 2021","Currency=USD","Period=FQ","BEST_FPERIOD_OVERRIDE=FQ","FILING_STATUS=MR","FA_ADJUSTED=GAAP","Sort=A","Dates=H","DateFormat=P","Fill=—","Direction=H","UseDPDF=Y")</f>
        <v>23.825900000000001</v>
      </c>
    </row>
    <row r="21" spans="1:42" x14ac:dyDescent="0.25">
      <c r="A21" s="18" t="s">
        <v>109</v>
      </c>
      <c r="B21" s="18" t="s">
        <v>110</v>
      </c>
      <c r="C21" s="21">
        <f>_xll.BDH("NFLX US Equity","NET_INCOME_TO_COMMON_MARGIN","FQ2 2011","FQ2 2011","Currency=USD","Period=FQ","BEST_FPERIOD_OVERRIDE=FQ","FILING_STATUS=MR","FA_ADJUSTED=GAAP","Sort=A","Dates=H","DateFormat=P","Fill=—","Direction=H","UseDPDF=Y")</f>
        <v>8.6499000000000006</v>
      </c>
      <c r="D21" s="21">
        <f>_xll.BDH("NFLX US Equity","NET_INCOME_TO_COMMON_MARGIN","FQ3 2011","FQ3 2011","Currency=USD","Period=FQ","BEST_FPERIOD_OVERRIDE=FQ","FILING_STATUS=MR","FA_ADJUSTED=GAAP","Sort=A","Dates=H","DateFormat=P","Fill=—","Direction=H","UseDPDF=Y")</f>
        <v>7.6</v>
      </c>
      <c r="E21" s="21">
        <f>_xll.BDH("NFLX US Equity","NET_INCOME_TO_COMMON_MARGIN","FQ4 2011","FQ4 2011","Currency=USD","Period=FQ","BEST_FPERIOD_OVERRIDE=FQ","FILING_STATUS=MR","FA_ADJUSTED=GAAP","Sort=A","Dates=H","DateFormat=P","Fill=—","Direction=H","UseDPDF=Y")</f>
        <v>4.0224000000000002</v>
      </c>
      <c r="F21" s="21">
        <f>_xll.BDH("NFLX US Equity","NET_INCOME_TO_COMMON_MARGIN","FQ1 2012","FQ1 2012","Currency=USD","Period=FQ","BEST_FPERIOD_OVERRIDE=FQ","FILING_STATUS=MR","FA_ADJUSTED=GAAP","Sort=A","Dates=H","DateFormat=P","Fill=—","Direction=H","UseDPDF=Y")</f>
        <v>-0.52700000000000002</v>
      </c>
      <c r="G21" s="21">
        <f>_xll.BDH("NFLX US Equity","NET_INCOME_TO_COMMON_MARGIN","FQ2 2012","FQ2 2012","Currency=USD","Period=FQ","BEST_FPERIOD_OVERRIDE=FQ","FILING_STATUS=MR","FA_ADJUSTED=GAAP","Sort=A","Dates=H","DateFormat=P","Fill=—","Direction=H","UseDPDF=Y")</f>
        <v>0.69320000000000004</v>
      </c>
      <c r="H21" s="21">
        <f>_xll.BDH("NFLX US Equity","NET_INCOME_TO_COMMON_MARGIN","FQ3 2012","FQ3 2012","Currency=USD","Period=FQ","BEST_FPERIOD_OVERRIDE=FQ","FILING_STATUS=MR","FA_ADJUSTED=GAAP","Sort=A","Dates=H","DateFormat=P","Fill=—","Direction=H","UseDPDF=Y")</f>
        <v>0.84799999999999998</v>
      </c>
      <c r="I21" s="21">
        <f>_xll.BDH("NFLX US Equity","NET_INCOME_TO_COMMON_MARGIN","FQ4 2012","FQ4 2012","Currency=USD","Period=FQ","BEST_FPERIOD_OVERRIDE=FQ","FILING_STATUS=MR","FA_ADJUSTED=GAAP","Sort=A","Dates=H","DateFormat=P","Fill=—","Direction=H","UseDPDF=Y")</f>
        <v>0.83550000000000002</v>
      </c>
      <c r="J21" s="21">
        <f>_xll.BDH("NFLX US Equity","NET_INCOME_TO_COMMON_MARGIN","FQ1 2013","FQ1 2013","Currency=USD","Period=FQ","BEST_FPERIOD_OVERRIDE=FQ","FILING_STATUS=MR","FA_ADJUSTED=GAAP","Sort=A","Dates=H","DateFormat=P","Fill=—","Direction=H","UseDPDF=Y")</f>
        <v>0.2626</v>
      </c>
      <c r="K21" s="21">
        <f>_xll.BDH("NFLX US Equity","NET_INCOME_TO_COMMON_MARGIN","FQ2 2013","FQ2 2013","Currency=USD","Period=FQ","BEST_FPERIOD_OVERRIDE=FQ","FILING_STATUS=MR","FA_ADJUSTED=GAAP","Sort=A","Dates=H","DateFormat=P","Fill=—","Direction=H","UseDPDF=Y")</f>
        <v>2.7559</v>
      </c>
      <c r="L21" s="21">
        <f>_xll.BDH("NFLX US Equity","NET_INCOME_TO_COMMON_MARGIN","FQ3 2013","FQ3 2013","Currency=USD","Period=FQ","BEST_FPERIOD_OVERRIDE=FQ","FILING_STATUS=MR","FA_ADJUSTED=GAAP","Sort=A","Dates=H","DateFormat=P","Fill=—","Direction=H","UseDPDF=Y")</f>
        <v>2.8772000000000002</v>
      </c>
      <c r="M21" s="21">
        <f>_xll.BDH("NFLX US Equity","NET_INCOME_TO_COMMON_MARGIN","FQ4 2013","FQ4 2013","Currency=USD","Period=FQ","BEST_FPERIOD_OVERRIDE=FQ","FILING_STATUS=MR","FA_ADJUSTED=GAAP","Sort=A","Dates=H","DateFormat=P","Fill=—","Direction=H","UseDPDF=Y")</f>
        <v>4.1200999999999999</v>
      </c>
      <c r="N21" s="21">
        <f>_xll.BDH("NFLX US Equity","NET_INCOME_TO_COMMON_MARGIN","FQ1 2014","FQ1 2014","Currency=USD","Period=FQ","BEST_FPERIOD_OVERRIDE=FQ","FILING_STATUS=MR","FA_ADJUSTED=GAAP","Sort=A","Dates=H","DateFormat=P","Fill=—","Direction=H","UseDPDF=Y")</f>
        <v>4.1820000000000004</v>
      </c>
      <c r="O21" s="21">
        <f>_xll.BDH("NFLX US Equity","NET_INCOME_TO_COMMON_MARGIN","FQ2 2014","FQ2 2014","Currency=USD","Period=FQ","BEST_FPERIOD_OVERRIDE=FQ","FILING_STATUS=MR","FA_ADJUSTED=GAAP","Sort=A","Dates=H","DateFormat=P","Fill=—","Direction=H","UseDPDF=Y")</f>
        <v>5.2981999999999996</v>
      </c>
      <c r="P21" s="21">
        <f>_xll.BDH("NFLX US Equity","NET_INCOME_TO_COMMON_MARGIN","FQ3 2014","FQ3 2014","Currency=USD","Period=FQ","BEST_FPERIOD_OVERRIDE=FQ","FILING_STATUS=MR","FA_ADJUSTED=GAAP","Sort=A","Dates=H","DateFormat=P","Fill=—","Direction=H","UseDPDF=Y")</f>
        <v>4.2069999999999999</v>
      </c>
      <c r="Q21" s="21">
        <f>_xll.BDH("NFLX US Equity","NET_INCOME_TO_COMMON_MARGIN","FQ4 2014","FQ4 2014","Currency=USD","Period=FQ","BEST_FPERIOD_OVERRIDE=FQ","FILING_STATUS=MR","FA_ADJUSTED=GAAP","Sort=A","Dates=H","DateFormat=P","Fill=—","Direction=H","UseDPDF=Y")</f>
        <v>5.6151999999999997</v>
      </c>
      <c r="R21" s="21">
        <f>_xll.BDH("NFLX US Equity","NET_INCOME_TO_COMMON_MARGIN","FQ1 2015","FQ1 2015","Currency=USD","Period=FQ","BEST_FPERIOD_OVERRIDE=FQ","FILING_STATUS=MR","FA_ADJUSTED=GAAP","Sort=A","Dates=H","DateFormat=P","Fill=—","Direction=H","UseDPDF=Y")</f>
        <v>1.5063</v>
      </c>
      <c r="S21" s="21">
        <f>_xll.BDH("NFLX US Equity","NET_INCOME_TO_COMMON_MARGIN","FQ2 2015","FQ2 2015","Currency=USD","Period=FQ","BEST_FPERIOD_OVERRIDE=FQ","FILING_STATUS=MR","FA_ADJUSTED=GAAP","Sort=A","Dates=H","DateFormat=P","Fill=—","Direction=H","UseDPDF=Y")</f>
        <v>1.6012</v>
      </c>
      <c r="T21" s="21">
        <f>_xll.BDH("NFLX US Equity","NET_INCOME_TO_COMMON_MARGIN","FQ3 2015","FQ3 2015","Currency=USD","Period=FQ","BEST_FPERIOD_OVERRIDE=FQ","FILING_STATUS=MR","FA_ADJUSTED=GAAP","Sort=A","Dates=H","DateFormat=P","Fill=—","Direction=H","UseDPDF=Y")</f>
        <v>1.6931</v>
      </c>
      <c r="U21" s="21">
        <f>_xll.BDH("NFLX US Equity","NET_INCOME_TO_COMMON_MARGIN","FQ4 2015","FQ4 2015","Currency=USD","Period=FQ","BEST_FPERIOD_OVERRIDE=FQ","FILING_STATUS=MR","FA_ADJUSTED=GAAP","Sort=A","Dates=H","DateFormat=P","Fill=—","Direction=H","UseDPDF=Y")</f>
        <v>2.3681000000000001</v>
      </c>
      <c r="V21" s="21">
        <f>_xll.BDH("NFLX US Equity","NET_INCOME_TO_COMMON_MARGIN","FQ1 2016","FQ1 2016","Currency=USD","Period=FQ","BEST_FPERIOD_OVERRIDE=FQ","FILING_STATUS=MR","FA_ADJUSTED=GAAP","Sort=A","Dates=H","DateFormat=P","Fill=—","Direction=H","UseDPDF=Y")</f>
        <v>1.4128000000000001</v>
      </c>
      <c r="W21" s="21">
        <f>_xll.BDH("NFLX US Equity","NET_INCOME_TO_COMMON_MARGIN","FQ2 2016","FQ2 2016","Currency=USD","Period=FQ","BEST_FPERIOD_OVERRIDE=FQ","FILING_STATUS=MR","FA_ADJUSTED=GAAP","Sort=A","Dates=H","DateFormat=P","Fill=—","Direction=H","UseDPDF=Y")</f>
        <v>1.9359</v>
      </c>
      <c r="X21" s="21">
        <f>_xll.BDH("NFLX US Equity","NET_INCOME_TO_COMMON_MARGIN","FQ3 2016","FQ3 2016","Currency=USD","Period=FQ","BEST_FPERIOD_OVERRIDE=FQ","FILING_STATUS=MR","FA_ADJUSTED=GAAP","Sort=A","Dates=H","DateFormat=P","Fill=—","Direction=H","UseDPDF=Y")</f>
        <v>2.2494999999999998</v>
      </c>
      <c r="Y21" s="21">
        <f>_xll.BDH("NFLX US Equity","NET_INCOME_TO_COMMON_MARGIN","FQ4 2016","FQ4 2016","Currency=USD","Period=FQ","BEST_FPERIOD_OVERRIDE=FQ","FILING_STATUS=MR","FA_ADJUSTED=GAAP","Sort=A","Dates=H","DateFormat=P","Fill=—","Direction=H","UseDPDF=Y")</f>
        <v>2.6941000000000002</v>
      </c>
      <c r="Z21" s="21">
        <f>_xll.BDH("NFLX US Equity","NET_INCOME_TO_COMMON_MARGIN","FQ1 2017","FQ1 2017","Currency=USD","Period=FQ","BEST_FPERIOD_OVERRIDE=FQ","FILING_STATUS=MR","FA_ADJUSTED=GAAP","Sort=A","Dates=H","DateFormat=P","Fill=—","Direction=H","UseDPDF=Y")</f>
        <v>6.7594000000000003</v>
      </c>
      <c r="AA21" s="21">
        <f>_xll.BDH("NFLX US Equity","NET_INCOME_TO_COMMON_MARGIN","FQ2 2017","FQ2 2017","Currency=USD","Period=FQ","BEST_FPERIOD_OVERRIDE=FQ","FILING_STATUS=MR","FA_ADJUSTED=GAAP","Sort=A","Dates=H","DateFormat=P","Fill=—","Direction=H","UseDPDF=Y")</f>
        <v>2.3551000000000002</v>
      </c>
      <c r="AB21" s="21">
        <f>_xll.BDH("NFLX US Equity","NET_INCOME_TO_COMMON_MARGIN","FQ3 2017","FQ3 2017","Currency=USD","Period=FQ","BEST_FPERIOD_OVERRIDE=FQ","FILING_STATUS=MR","FA_ADJUSTED=GAAP","Sort=A","Dates=H","DateFormat=P","Fill=—","Direction=H","UseDPDF=Y")</f>
        <v>4.3415999999999997</v>
      </c>
      <c r="AC21" s="21">
        <f>_xll.BDH("NFLX US Equity","NET_INCOME_TO_COMMON_MARGIN","FQ4 2017","FQ4 2017","Currency=USD","Period=FQ","BEST_FPERIOD_OVERRIDE=FQ","FILING_STATUS=MR","FA_ADJUSTED=GAAP","Sort=A","Dates=H","DateFormat=P","Fill=—","Direction=H","UseDPDF=Y")</f>
        <v>5.6460999999999997</v>
      </c>
      <c r="AD21" s="21">
        <f>_xll.BDH("NFLX US Equity","NET_INCOME_TO_COMMON_MARGIN","FQ1 2018","FQ1 2018","Currency=USD","Period=FQ","BEST_FPERIOD_OVERRIDE=FQ","FILING_STATUS=MR","FA_ADJUSTED=GAAP","Sort=A","Dates=H","DateFormat=P","Fill=—","Direction=H","UseDPDF=Y")</f>
        <v>7.8394000000000004</v>
      </c>
      <c r="AE21" s="21">
        <f>_xll.BDH("NFLX US Equity","NET_INCOME_TO_COMMON_MARGIN","FQ2 2018","FQ2 2018","Currency=USD","Period=FQ","BEST_FPERIOD_OVERRIDE=FQ","FILING_STATUS=MR","FA_ADJUSTED=GAAP","Sort=A","Dates=H","DateFormat=P","Fill=—","Direction=H","UseDPDF=Y")</f>
        <v>9.8368000000000002</v>
      </c>
      <c r="AF21" s="21">
        <f>_xll.BDH("NFLX US Equity","NET_INCOME_TO_COMMON_MARGIN","FQ3 2018","FQ3 2018","Currency=USD","Period=FQ","BEST_FPERIOD_OVERRIDE=FQ","FILING_STATUS=MR","FA_ADJUSTED=GAAP","Sort=A","Dates=H","DateFormat=P","Fill=—","Direction=H","UseDPDF=Y")</f>
        <v>10.0725</v>
      </c>
      <c r="AG21" s="21">
        <f>_xll.BDH("NFLX US Equity","NET_INCOME_TO_COMMON_MARGIN","FQ4 2018","FQ4 2018","Currency=USD","Period=FQ","BEST_FPERIOD_OVERRIDE=FQ","FILING_STATUS=MR","FA_ADJUSTED=GAAP","Sort=A","Dates=H","DateFormat=P","Fill=—","Direction=H","UseDPDF=Y")</f>
        <v>3.1989000000000001</v>
      </c>
      <c r="AH21" s="21">
        <f>_xll.BDH("NFLX US Equity","NET_INCOME_TO_COMMON_MARGIN","FQ1 2019","FQ1 2019","Currency=USD","Period=FQ","BEST_FPERIOD_OVERRIDE=FQ","FILING_STATUS=MR","FA_ADJUSTED=GAAP","Sort=A","Dates=H","DateFormat=P","Fill=—","Direction=H","UseDPDF=Y")</f>
        <v>7.6101000000000001</v>
      </c>
      <c r="AI21" s="21">
        <f>_xll.BDH("NFLX US Equity","NET_INCOME_TO_COMMON_MARGIN","FQ2 2019","FQ2 2019","Currency=USD","Period=FQ","BEST_FPERIOD_OVERRIDE=FQ","FILING_STATUS=MR","FA_ADJUSTED=GAAP","Sort=A","Dates=H","DateFormat=P","Fill=—","Direction=H","UseDPDF=Y")</f>
        <v>5.4974999999999996</v>
      </c>
      <c r="AJ21" s="21">
        <f>_xll.BDH("NFLX US Equity","NET_INCOME_TO_COMMON_MARGIN","FQ3 2019","FQ3 2019","Currency=USD","Period=FQ","BEST_FPERIOD_OVERRIDE=FQ","FILING_STATUS=MR","FA_ADJUSTED=GAAP","Sort=A","Dates=H","DateFormat=P","Fill=—","Direction=H","UseDPDF=Y")</f>
        <v>12.6836</v>
      </c>
      <c r="AK21" s="21">
        <f>_xll.BDH("NFLX US Equity","NET_INCOME_TO_COMMON_MARGIN","FQ4 2019","FQ4 2019","Currency=USD","Period=FQ","BEST_FPERIOD_OVERRIDE=FQ","FILING_STATUS=MR","FA_ADJUSTED=GAAP","Sort=A","Dates=H","DateFormat=P","Fill=—","Direction=H","UseDPDF=Y")</f>
        <v>10.7357</v>
      </c>
      <c r="AL21" s="21">
        <f>_xll.BDH("NFLX US Equity","NET_INCOME_TO_COMMON_MARGIN","FQ1 2020","FQ1 2020","Currency=USD","Period=FQ","BEST_FPERIOD_OVERRIDE=FQ","FILING_STATUS=MR","FA_ADJUSTED=GAAP","Sort=A","Dates=H","DateFormat=P","Fill=—","Direction=H","UseDPDF=Y")</f>
        <v>12.293799999999999</v>
      </c>
      <c r="AM21" s="21">
        <f>_xll.BDH("NFLX US Equity","NET_INCOME_TO_COMMON_MARGIN","FQ2 2020","FQ2 2020","Currency=USD","Period=FQ","BEST_FPERIOD_OVERRIDE=FQ","FILING_STATUS=MR","FA_ADJUSTED=GAAP","Sort=A","Dates=H","DateFormat=P","Fill=—","Direction=H","UseDPDF=Y")</f>
        <v>11.713799999999999</v>
      </c>
      <c r="AN21" s="21">
        <f>_xll.BDH("NFLX US Equity","NET_INCOME_TO_COMMON_MARGIN","FQ3 2020","FQ3 2020","Currency=USD","Period=FQ","BEST_FPERIOD_OVERRIDE=FQ","FILING_STATUS=MR","FA_ADJUSTED=GAAP","Sort=A","Dates=H","DateFormat=P","Fill=—","Direction=H","UseDPDF=Y")</f>
        <v>12.275</v>
      </c>
      <c r="AO21" s="21">
        <f>_xll.BDH("NFLX US Equity","NET_INCOME_TO_COMMON_MARGIN","FQ4 2020","FQ4 2020","Currency=USD","Period=FQ","BEST_FPERIOD_OVERRIDE=FQ","FILING_STATUS=MR","FA_ADJUSTED=GAAP","Sort=A","Dates=H","DateFormat=P","Fill=—","Direction=H","UseDPDF=Y")</f>
        <v>8.1594999999999995</v>
      </c>
      <c r="AP21" s="21">
        <f>_xll.BDH("NFLX US Equity","NET_INCOME_TO_COMMON_MARGIN","FQ1 2021","FQ1 2021","Currency=USD","Period=FQ","BEST_FPERIOD_OVERRIDE=FQ","FILING_STATUS=MR","FA_ADJUSTED=GAAP","Sort=A","Dates=H","DateFormat=P","Fill=—","Direction=H","UseDPDF=Y")</f>
        <v>23.825900000000001</v>
      </c>
    </row>
    <row r="22" spans="1:42" x14ac:dyDescent="0.25">
      <c r="A22" s="18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</row>
    <row r="23" spans="1:42" x14ac:dyDescent="0.25">
      <c r="A23" s="14" t="s">
        <v>111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 x14ac:dyDescent="0.25">
      <c r="A24" s="18" t="s">
        <v>112</v>
      </c>
      <c r="B24" s="18" t="s">
        <v>113</v>
      </c>
      <c r="C24" s="21">
        <f>_xll.BDH("NFLX US Equity","EFF_TAX_RATE","FQ2 2011","FQ2 2011","Currency=USD","Period=FQ","BEST_FPERIOD_OVERRIDE=FQ","FILING_STATUS=MR","FA_ADJUSTED=GAAP","Sort=A","Dates=H","DateFormat=P","Fill=—","Direction=H","UseDPDF=Y")</f>
        <v>38.448399999999999</v>
      </c>
      <c r="D24" s="21">
        <f>_xll.BDH("NFLX US Equity","EFF_TAX_RATE","FQ3 2011","FQ3 2011","Currency=USD","Period=FQ","BEST_FPERIOD_OVERRIDE=FQ","FILING_STATUS=MR","FA_ADJUSTED=GAAP","Sort=A","Dates=H","DateFormat=P","Fill=—","Direction=H","UseDPDF=Y")</f>
        <v>33.285600000000002</v>
      </c>
      <c r="E24" s="21">
        <f>_xll.BDH("NFLX US Equity","EFF_TAX_RATE","FQ4 2011","FQ4 2011","Currency=USD","Period=FQ","BEST_FPERIOD_OVERRIDE=FQ","FILING_STATUS=MR","FA_ADJUSTED=GAAP","Sort=A","Dates=H","DateFormat=P","Fill=—","Direction=H","UseDPDF=Y")</f>
        <v>38.032899999999998</v>
      </c>
      <c r="F24" s="21" t="str">
        <f>_xll.BDH("NFLX US Equity","EFF_TAX_RATE","FQ1 2012","FQ1 2012","Currency=USD","Period=FQ","BEST_FPERIOD_OVERRIDE=FQ","FILING_STATUS=MR","FA_ADJUSTED=GAAP","Sort=A","Dates=H","DateFormat=P","Fill=—","Direction=H","UseDPDF=Y")</f>
        <v>—</v>
      </c>
      <c r="G24" s="21">
        <f>_xll.BDH("NFLX US Equity","EFF_TAX_RATE","FQ2 2012","FQ2 2012","Currency=USD","Period=FQ","BEST_FPERIOD_OVERRIDE=FQ","FILING_STATUS=MR","FA_ADJUSTED=GAAP","Sort=A","Dates=H","DateFormat=P","Fill=—","Direction=H","UseDPDF=Y")</f>
        <v>42.1492</v>
      </c>
      <c r="H24" s="21">
        <f>_xll.BDH("NFLX US Equity","EFF_TAX_RATE","FQ3 2012","FQ3 2012","Currency=USD","Period=FQ","BEST_FPERIOD_OVERRIDE=FQ","FILING_STATUS=MR","FA_ADJUSTED=GAAP","Sort=A","Dates=H","DateFormat=P","Fill=—","Direction=H","UseDPDF=Y")</f>
        <v>35.752600000000001</v>
      </c>
      <c r="I24" s="21">
        <f>_xll.BDH("NFLX US Equity","EFF_TAX_RATE","FQ4 2012","FQ4 2012","Currency=USD","Period=FQ","BEST_FPERIOD_OVERRIDE=FQ","FILING_STATUS=MR","FA_ADJUSTED=GAAP","Sort=A","Dates=H","DateFormat=P","Fill=—","Direction=H","UseDPDF=Y")</f>
        <v>47.014200000000002</v>
      </c>
      <c r="J24" s="21" t="str">
        <f>_xll.BDH("NFLX US Equity","EFF_TAX_RATE","FQ1 2013","FQ1 2013","Currency=USD","Period=FQ","BEST_FPERIOD_OVERRIDE=FQ","FILING_STATUS=MR","FA_ADJUSTED=GAAP","Sort=A","Dates=H","DateFormat=P","Fill=—","Direction=H","UseDPDF=Y")</f>
        <v>—</v>
      </c>
      <c r="K24" s="21">
        <f>_xll.BDH("NFLX US Equity","EFF_TAX_RATE","FQ2 2013","FQ2 2013","Currency=USD","Period=FQ","BEST_FPERIOD_OVERRIDE=FQ","FILING_STATUS=MR","FA_ADJUSTED=GAAP","Sort=A","Dates=H","DateFormat=P","Fill=—","Direction=H","UseDPDF=Y")</f>
        <v>36.823900000000002</v>
      </c>
      <c r="L24" s="21">
        <f>_xll.BDH("NFLX US Equity","EFF_TAX_RATE","FQ3 2013","FQ3 2013","Currency=USD","Period=FQ","BEST_FPERIOD_OVERRIDE=FQ","FILING_STATUS=MR","FA_ADJUSTED=GAAP","Sort=A","Dates=H","DateFormat=P","Fill=—","Direction=H","UseDPDF=Y")</f>
        <v>35.7014</v>
      </c>
      <c r="M24" s="21">
        <f>_xll.BDH("NFLX US Equity","EFF_TAX_RATE","FQ4 2013","FQ4 2013","Currency=USD","Period=FQ","BEST_FPERIOD_OVERRIDE=FQ","FILING_STATUS=MR","FA_ADJUSTED=GAAP","Sort=A","Dates=H","DateFormat=P","Fill=—","Direction=H","UseDPDF=Y")</f>
        <v>34.569800000000001</v>
      </c>
      <c r="N24" s="21">
        <f>_xll.BDH("NFLX US Equity","EFF_TAX_RATE","FQ1 2014","FQ1 2014","Currency=USD","Period=FQ","BEST_FPERIOD_OVERRIDE=FQ","FILING_STATUS=MR","FA_ADJUSTED=GAAP","Sort=A","Dates=H","DateFormat=P","Fill=—","Direction=H","UseDPDF=Y")</f>
        <v>40.282600000000002</v>
      </c>
      <c r="O24" s="21">
        <f>_xll.BDH("NFLX US Equity","EFF_TAX_RATE","FQ2 2014","FQ2 2014","Currency=USD","Period=FQ","BEST_FPERIOD_OVERRIDE=FQ","FILING_STATUS=MR","FA_ADJUSTED=GAAP","Sort=A","Dates=H","DateFormat=P","Fill=—","Direction=H","UseDPDF=Y")</f>
        <v>39.493200000000002</v>
      </c>
      <c r="P24" s="21">
        <f>_xll.BDH("NFLX US Equity","EFF_TAX_RATE","FQ3 2014","FQ3 2014","Currency=USD","Period=FQ","BEST_FPERIOD_OVERRIDE=FQ","FILING_STATUS=MR","FA_ADJUSTED=GAAP","Sort=A","Dates=H","DateFormat=P","Fill=—","Direction=H","UseDPDF=Y")</f>
        <v>39.207700000000003</v>
      </c>
      <c r="Q24" s="21" t="str">
        <f>_xll.BDH("NFLX US Equity","EFF_TAX_RATE","FQ4 2014","FQ4 2014","Currency=USD","Period=FQ","BEST_FPERIOD_OVERRIDE=FQ","FILING_STATUS=MR","FA_ADJUSTED=GAAP","Sort=A","Dates=H","DateFormat=P","Fill=—","Direction=H","UseDPDF=Y")</f>
        <v>—</v>
      </c>
      <c r="R24" s="21">
        <f>_xll.BDH("NFLX US Equity","EFF_TAX_RATE","FQ1 2015","FQ1 2015","Currency=USD","Period=FQ","BEST_FPERIOD_OVERRIDE=FQ","FILING_STATUS=MR","FA_ADJUSTED=GAAP","Sort=A","Dates=H","DateFormat=P","Fill=—","Direction=H","UseDPDF=Y")</f>
        <v>38.333399999999997</v>
      </c>
      <c r="S24" s="21">
        <f>_xll.BDH("NFLX US Equity","EFF_TAX_RATE","FQ2 2015","FQ2 2015","Currency=USD","Period=FQ","BEST_FPERIOD_OVERRIDE=FQ","FILING_STATUS=MR","FA_ADJUSTED=GAAP","Sort=A","Dates=H","DateFormat=P","Fill=—","Direction=H","UseDPDF=Y")</f>
        <v>34.959200000000003</v>
      </c>
      <c r="T24" s="21">
        <f>_xll.BDH("NFLX US Equity","EFF_TAX_RATE","FQ3 2015","FQ3 2015","Currency=USD","Period=FQ","BEST_FPERIOD_OVERRIDE=FQ","FILING_STATUS=MR","FA_ADJUSTED=GAAP","Sort=A","Dates=H","DateFormat=P","Fill=—","Direction=H","UseDPDF=Y")</f>
        <v>30.3187</v>
      </c>
      <c r="U24" s="21" t="str">
        <f>_xll.BDH("NFLX US Equity","EFF_TAX_RATE","FQ4 2015","FQ4 2015","Currency=USD","Period=FQ","BEST_FPERIOD_OVERRIDE=FQ","FILING_STATUS=MR","FA_ADJUSTED=GAAP","Sort=A","Dates=H","DateFormat=P","Fill=—","Direction=H","UseDPDF=Y")</f>
        <v>—</v>
      </c>
      <c r="V24" s="21">
        <f>_xll.BDH("NFLX US Equity","EFF_TAX_RATE","FQ1 2016","FQ1 2016","Currency=USD","Period=FQ","BEST_FPERIOD_OVERRIDE=FQ","FILING_STATUS=MR","FA_ADJUSTED=GAAP","Sort=A","Dates=H","DateFormat=P","Fill=—","Direction=H","UseDPDF=Y")</f>
        <v>30.645199999999999</v>
      </c>
      <c r="W24" s="21">
        <f>_xll.BDH("NFLX US Equity","EFF_TAX_RATE","FQ2 2016","FQ2 2016","Currency=USD","Period=FQ","BEST_FPERIOD_OVERRIDE=FQ","FILING_STATUS=MR","FA_ADJUSTED=GAAP","Sort=A","Dates=H","DateFormat=P","Fill=—","Direction=H","UseDPDF=Y")</f>
        <v>20.450099999999999</v>
      </c>
      <c r="X24" s="21">
        <f>_xll.BDH("NFLX US Equity","EFF_TAX_RATE","FQ3 2016","FQ3 2016","Currency=USD","Period=FQ","BEST_FPERIOD_OVERRIDE=FQ","FILING_STATUS=MR","FA_ADJUSTED=GAAP","Sort=A","Dates=H","DateFormat=P","Fill=—","Direction=H","UseDPDF=Y")</f>
        <v>34.893299999999996</v>
      </c>
      <c r="Y24" s="21">
        <f>_xll.BDH("NFLX US Equity","EFF_TAX_RATE","FQ4 2016","FQ4 2016","Currency=USD","Period=FQ","BEST_FPERIOD_OVERRIDE=FQ","FILING_STATUS=MR","FA_ADJUSTED=GAAP","Sort=A","Dates=H","DateFormat=P","Fill=—","Direction=H","UseDPDF=Y")</f>
        <v>26.0566</v>
      </c>
      <c r="Z24" s="21">
        <f>_xll.BDH("NFLX US Equity","EFF_TAX_RATE","FQ1 2017","FQ1 2017","Currency=USD","Period=FQ","BEST_FPERIOD_OVERRIDE=FQ","FILING_STATUS=MR","FA_ADJUSTED=GAAP","Sort=A","Dates=H","DateFormat=P","Fill=—","Direction=H","UseDPDF=Y")</f>
        <v>20.3627</v>
      </c>
      <c r="AA24" s="21" t="str">
        <f>_xll.BDH("NFLX US Equity","EFF_TAX_RATE","FQ2 2017","FQ2 2017","Currency=USD","Period=FQ","BEST_FPERIOD_OVERRIDE=FQ","FILING_STATUS=MR","FA_ADJUSTED=GAAP","Sort=A","Dates=H","DateFormat=P","Fill=—","Direction=H","UseDPDF=Y")</f>
        <v>—</v>
      </c>
      <c r="AB24" s="21" t="str">
        <f>_xll.BDH("NFLX US Equity","EFF_TAX_RATE","FQ3 2017","FQ3 2017","Currency=USD","Period=FQ","BEST_FPERIOD_OVERRIDE=FQ","FILING_STATUS=MR","FA_ADJUSTED=GAAP","Sort=A","Dates=H","DateFormat=P","Fill=—","Direction=H","UseDPDF=Y")</f>
        <v>—</v>
      </c>
      <c r="AC24" s="21" t="str">
        <f>_xll.BDH("NFLX US Equity","EFF_TAX_RATE","FQ4 2017","FQ4 2017","Currency=USD","Period=FQ","BEST_FPERIOD_OVERRIDE=FQ","FILING_STATUS=MR","FA_ADJUSTED=GAAP","Sort=A","Dates=H","DateFormat=P","Fill=—","Direction=H","UseDPDF=Y")</f>
        <v>—</v>
      </c>
      <c r="AD24" s="21">
        <f>_xll.BDH("NFLX US Equity","EFF_TAX_RATE","FQ1 2018","FQ1 2018","Currency=USD","Period=FQ","BEST_FPERIOD_OVERRIDE=FQ","FILING_STATUS=MR","FA_ADJUSTED=GAAP","Sort=A","Dates=H","DateFormat=P","Fill=—","Direction=H","UseDPDF=Y")</f>
        <v>3.1680999999999999</v>
      </c>
      <c r="AE24" s="21">
        <f>_xll.BDH("NFLX US Equity","EFF_TAX_RATE","FQ2 2018","FQ2 2018","Currency=USD","Period=FQ","BEST_FPERIOD_OVERRIDE=FQ","FILING_STATUS=MR","FA_ADJUSTED=GAAP","Sort=A","Dates=H","DateFormat=P","Fill=—","Direction=H","UseDPDF=Y")</f>
        <v>10.332100000000001</v>
      </c>
      <c r="AF24" s="21" t="str">
        <f>_xll.BDH("NFLX US Equity","EFF_TAX_RATE","FQ3 2018","FQ3 2018","Currency=USD","Period=FQ","BEST_FPERIOD_OVERRIDE=FQ","FILING_STATUS=MR","FA_ADJUSTED=GAAP","Sort=A","Dates=H","DateFormat=P","Fill=—","Direction=H","UseDPDF=Y")</f>
        <v>—</v>
      </c>
      <c r="AG24" s="21" t="str">
        <f>_xll.BDH("NFLX US Equity","EFF_TAX_RATE","FQ4 2018","FQ4 2018","Currency=USD","Period=FQ","BEST_FPERIOD_OVERRIDE=FQ","FILING_STATUS=MR","FA_ADJUSTED=GAAP","Sort=A","Dates=H","DateFormat=P","Fill=—","Direction=H","UseDPDF=Y")</f>
        <v>—</v>
      </c>
      <c r="AH24" s="21">
        <f>_xll.BDH("NFLX US Equity","EFF_TAX_RATE","FQ1 2019","FQ1 2019","Currency=USD","Period=FQ","BEST_FPERIOD_OVERRIDE=FQ","FILING_STATUS=MR","FA_ADJUSTED=GAAP","Sort=A","Dates=H","DateFormat=P","Fill=—","Direction=H","UseDPDF=Y")</f>
        <v>13.913600000000001</v>
      </c>
      <c r="AI24" s="21">
        <f>_xll.BDH("NFLX US Equity","EFF_TAX_RATE","FQ2 2019","FQ2 2019","Currency=USD","Period=FQ","BEST_FPERIOD_OVERRIDE=FQ","FILING_STATUS=MR","FA_ADJUSTED=GAAP","Sort=A","Dates=H","DateFormat=P","Fill=—","Direction=H","UseDPDF=Y")</f>
        <v>45.969000000000001</v>
      </c>
      <c r="AJ24" s="21">
        <f>_xll.BDH("NFLX US Equity","EFF_TAX_RATE","FQ3 2019","FQ3 2019","Currency=USD","Period=FQ","BEST_FPERIOD_OVERRIDE=FQ","FILING_STATUS=MR","FA_ADJUSTED=GAAP","Sort=A","Dates=H","DateFormat=P","Fill=—","Direction=H","UseDPDF=Y")</f>
        <v>34.285400000000003</v>
      </c>
      <c r="AK24" s="21" t="str">
        <f>_xll.BDH("NFLX US Equity","EFF_TAX_RATE","FQ4 2019","FQ4 2019","Currency=USD","Period=FQ","BEST_FPERIOD_OVERRIDE=FQ","FILING_STATUS=MR","FA_ADJUSTED=GAAP","Sort=A","Dates=H","DateFormat=P","Fill=—","Direction=H","UseDPDF=Y")</f>
        <v>—</v>
      </c>
      <c r="AL24" s="21">
        <f>_xll.BDH("NFLX US Equity","EFF_TAX_RATE","FQ1 2020","FQ1 2020","Currency=USD","Period=FQ","BEST_FPERIOD_OVERRIDE=FQ","FILING_STATUS=MR","FA_ADJUSTED=GAAP","Sort=A","Dates=H","DateFormat=P","Fill=—","Direction=H","UseDPDF=Y")</f>
        <v>10.906700000000001</v>
      </c>
      <c r="AM24" s="21">
        <f>_xll.BDH("NFLX US Equity","EFF_TAX_RATE","FQ2 2020","FQ2 2020","Currency=USD","Period=FQ","BEST_FPERIOD_OVERRIDE=FQ","FILING_STATUS=MR","FA_ADJUSTED=GAAP","Sort=A","Dates=H","DateFormat=P","Fill=—","Direction=H","UseDPDF=Y")</f>
        <v>30.456299999999999</v>
      </c>
      <c r="AN24" s="21">
        <f>_xll.BDH("NFLX US Equity","EFF_TAX_RATE","FQ3 2020","FQ3 2020","Currency=USD","Period=FQ","BEST_FPERIOD_OVERRIDE=FQ","FILING_STATUS=MR","FA_ADJUSTED=GAAP","Sort=A","Dates=H","DateFormat=P","Fill=—","Direction=H","UseDPDF=Y")</f>
        <v>8.298</v>
      </c>
      <c r="AO24" s="21" t="str">
        <f>_xll.BDH("NFLX US Equity","EFF_TAX_RATE","FQ4 2020","FQ4 2020","Currency=USD","Period=FQ","BEST_FPERIOD_OVERRIDE=FQ","FILING_STATUS=MR","FA_ADJUSTED=GAAP","Sort=A","Dates=H","DateFormat=P","Fill=—","Direction=H","UseDPDF=Y")</f>
        <v>—</v>
      </c>
      <c r="AP24" s="21">
        <f>_xll.BDH("NFLX US Equity","EFF_TAX_RATE","FQ1 2021","FQ1 2021","Currency=USD","Period=FQ","BEST_FPERIOD_OVERRIDE=FQ","FILING_STATUS=MR","FA_ADJUSTED=GAAP","Sort=A","Dates=H","DateFormat=P","Fill=—","Direction=H","UseDPDF=Y")</f>
        <v>16.1114</v>
      </c>
    </row>
    <row r="25" spans="1:42" x14ac:dyDescent="0.25">
      <c r="A25" s="18" t="s">
        <v>114</v>
      </c>
      <c r="B25" s="18" t="s">
        <v>115</v>
      </c>
      <c r="C25" s="21">
        <f>_xll.BDH("NFLX US Equity","DVD_PAYOUT_RATIO","FQ2 2011","FQ2 2011","Currency=USD","Period=FQ","BEST_FPERIOD_OVERRIDE=FQ","FILING_STATUS=MR","FA_ADJUSTED=GAAP","Sort=A","Dates=H","DateFormat=P","Fill=—","Direction=H","UseDPDF=Y")</f>
        <v>0</v>
      </c>
      <c r="D25" s="21">
        <f>_xll.BDH("NFLX US Equity","DVD_PAYOUT_RATIO","FQ3 2011","FQ3 2011","Currency=USD","Period=FQ","BEST_FPERIOD_OVERRIDE=FQ","FILING_STATUS=MR","FA_ADJUSTED=GAAP","Sort=A","Dates=H","DateFormat=P","Fill=—","Direction=H","UseDPDF=Y")</f>
        <v>0</v>
      </c>
      <c r="E25" s="21">
        <f>_xll.BDH("NFLX US Equity","DVD_PAYOUT_RATIO","FQ4 2011","FQ4 2011","Currency=USD","Period=FQ","BEST_FPERIOD_OVERRIDE=FQ","FILING_STATUS=MR","FA_ADJUSTED=GAAP","Sort=A","Dates=H","DateFormat=P","Fill=—","Direction=H","UseDPDF=Y")</f>
        <v>0</v>
      </c>
      <c r="F25" s="21" t="str">
        <f>_xll.BDH("NFLX US Equity","DVD_PAYOUT_RATIO","FQ1 2012","FQ1 2012","Currency=USD","Period=FQ","BEST_FPERIOD_OVERRIDE=FQ","FILING_STATUS=MR","FA_ADJUSTED=GAAP","Sort=A","Dates=H","DateFormat=P","Fill=—","Direction=H","UseDPDF=Y")</f>
        <v>—</v>
      </c>
      <c r="G25" s="21">
        <f>_xll.BDH("NFLX US Equity","DVD_PAYOUT_RATIO","FQ2 2012","FQ2 2012","Currency=USD","Period=FQ","BEST_FPERIOD_OVERRIDE=FQ","FILING_STATUS=MR","FA_ADJUSTED=GAAP","Sort=A","Dates=H","DateFormat=P","Fill=—","Direction=H","UseDPDF=Y")</f>
        <v>0</v>
      </c>
      <c r="H25" s="21">
        <f>_xll.BDH("NFLX US Equity","DVD_PAYOUT_RATIO","FQ3 2012","FQ3 2012","Currency=USD","Period=FQ","BEST_FPERIOD_OVERRIDE=FQ","FILING_STATUS=MR","FA_ADJUSTED=GAAP","Sort=A","Dates=H","DateFormat=P","Fill=—","Direction=H","UseDPDF=Y")</f>
        <v>0</v>
      </c>
      <c r="I25" s="21">
        <f>_xll.BDH("NFLX US Equity","DVD_PAYOUT_RATIO","FQ4 2012","FQ4 2012","Currency=USD","Period=FQ","BEST_FPERIOD_OVERRIDE=FQ","FILING_STATUS=MR","FA_ADJUSTED=GAAP","Sort=A","Dates=H","DateFormat=P","Fill=—","Direction=H","UseDPDF=Y")</f>
        <v>0</v>
      </c>
      <c r="J25" s="21">
        <f>_xll.BDH("NFLX US Equity","DVD_PAYOUT_RATIO","FQ1 2013","FQ1 2013","Currency=USD","Period=FQ","BEST_FPERIOD_OVERRIDE=FQ","FILING_STATUS=MR","FA_ADJUSTED=GAAP","Sort=A","Dates=H","DateFormat=P","Fill=—","Direction=H","UseDPDF=Y")</f>
        <v>0</v>
      </c>
      <c r="K25" s="21">
        <f>_xll.BDH("NFLX US Equity","DVD_PAYOUT_RATIO","FQ2 2013","FQ2 2013","Currency=USD","Period=FQ","BEST_FPERIOD_OVERRIDE=FQ","FILING_STATUS=MR","FA_ADJUSTED=GAAP","Sort=A","Dates=H","DateFormat=P","Fill=—","Direction=H","UseDPDF=Y")</f>
        <v>0</v>
      </c>
      <c r="L25" s="21">
        <f>_xll.BDH("NFLX US Equity","DVD_PAYOUT_RATIO","FQ3 2013","FQ3 2013","Currency=USD","Period=FQ","BEST_FPERIOD_OVERRIDE=FQ","FILING_STATUS=MR","FA_ADJUSTED=GAAP","Sort=A","Dates=H","DateFormat=P","Fill=—","Direction=H","UseDPDF=Y")</f>
        <v>0</v>
      </c>
      <c r="M25" s="21">
        <f>_xll.BDH("NFLX US Equity","DVD_PAYOUT_RATIO","FQ4 2013","FQ4 2013","Currency=USD","Period=FQ","BEST_FPERIOD_OVERRIDE=FQ","FILING_STATUS=MR","FA_ADJUSTED=GAAP","Sort=A","Dates=H","DateFormat=P","Fill=—","Direction=H","UseDPDF=Y")</f>
        <v>0</v>
      </c>
      <c r="N25" s="21">
        <f>_xll.BDH("NFLX US Equity","DVD_PAYOUT_RATIO","FQ1 2014","FQ1 2014","Currency=USD","Period=FQ","BEST_FPERIOD_OVERRIDE=FQ","FILING_STATUS=MR","FA_ADJUSTED=GAAP","Sort=A","Dates=H","DateFormat=P","Fill=—","Direction=H","UseDPDF=Y")</f>
        <v>0</v>
      </c>
      <c r="O25" s="21">
        <f>_xll.BDH("NFLX US Equity","DVD_PAYOUT_RATIO","FQ2 2014","FQ2 2014","Currency=USD","Period=FQ","BEST_FPERIOD_OVERRIDE=FQ","FILING_STATUS=MR","FA_ADJUSTED=GAAP","Sort=A","Dates=H","DateFormat=P","Fill=—","Direction=H","UseDPDF=Y")</f>
        <v>0</v>
      </c>
      <c r="P25" s="21">
        <f>_xll.BDH("NFLX US Equity","DVD_PAYOUT_RATIO","FQ3 2014","FQ3 2014","Currency=USD","Period=FQ","BEST_FPERIOD_OVERRIDE=FQ","FILING_STATUS=MR","FA_ADJUSTED=GAAP","Sort=A","Dates=H","DateFormat=P","Fill=—","Direction=H","UseDPDF=Y")</f>
        <v>0</v>
      </c>
      <c r="Q25" s="21">
        <f>_xll.BDH("NFLX US Equity","DVD_PAYOUT_RATIO","FQ4 2014","FQ4 2014","Currency=USD","Period=FQ","BEST_FPERIOD_OVERRIDE=FQ","FILING_STATUS=MR","FA_ADJUSTED=GAAP","Sort=A","Dates=H","DateFormat=P","Fill=—","Direction=H","UseDPDF=Y")</f>
        <v>0</v>
      </c>
      <c r="R25" s="21">
        <f>_xll.BDH("NFLX US Equity","DVD_PAYOUT_RATIO","FQ1 2015","FQ1 2015","Currency=USD","Period=FQ","BEST_FPERIOD_OVERRIDE=FQ","FILING_STATUS=MR","FA_ADJUSTED=GAAP","Sort=A","Dates=H","DateFormat=P","Fill=—","Direction=H","UseDPDF=Y")</f>
        <v>0</v>
      </c>
      <c r="S25" s="21">
        <f>_xll.BDH("NFLX US Equity","DVD_PAYOUT_RATIO","FQ2 2015","FQ2 2015","Currency=USD","Period=FQ","BEST_FPERIOD_OVERRIDE=FQ","FILING_STATUS=MR","FA_ADJUSTED=GAAP","Sort=A","Dates=H","DateFormat=P","Fill=—","Direction=H","UseDPDF=Y")</f>
        <v>0</v>
      </c>
      <c r="T25" s="21">
        <f>_xll.BDH("NFLX US Equity","DVD_PAYOUT_RATIO","FQ3 2015","FQ3 2015","Currency=USD","Period=FQ","BEST_FPERIOD_OVERRIDE=FQ","FILING_STATUS=MR","FA_ADJUSTED=GAAP","Sort=A","Dates=H","DateFormat=P","Fill=—","Direction=H","UseDPDF=Y")</f>
        <v>0</v>
      </c>
      <c r="U25" s="21">
        <f>_xll.BDH("NFLX US Equity","DVD_PAYOUT_RATIO","FQ4 2015","FQ4 2015","Currency=USD","Period=FQ","BEST_FPERIOD_OVERRIDE=FQ","FILING_STATUS=MR","FA_ADJUSTED=GAAP","Sort=A","Dates=H","DateFormat=P","Fill=—","Direction=H","UseDPDF=Y")</f>
        <v>0</v>
      </c>
      <c r="V25" s="21">
        <f>_xll.BDH("NFLX US Equity","DVD_PAYOUT_RATIO","FQ1 2016","FQ1 2016","Currency=USD","Period=FQ","BEST_FPERIOD_OVERRIDE=FQ","FILING_STATUS=MR","FA_ADJUSTED=GAAP","Sort=A","Dates=H","DateFormat=P","Fill=—","Direction=H","UseDPDF=Y")</f>
        <v>0</v>
      </c>
      <c r="W25" s="21">
        <f>_xll.BDH("NFLX US Equity","DVD_PAYOUT_RATIO","FQ2 2016","FQ2 2016","Currency=USD","Period=FQ","BEST_FPERIOD_OVERRIDE=FQ","FILING_STATUS=MR","FA_ADJUSTED=GAAP","Sort=A","Dates=H","DateFormat=P","Fill=—","Direction=H","UseDPDF=Y")</f>
        <v>0</v>
      </c>
      <c r="X25" s="21">
        <f>_xll.BDH("NFLX US Equity","DVD_PAYOUT_RATIO","FQ3 2016","FQ3 2016","Currency=USD","Period=FQ","BEST_FPERIOD_OVERRIDE=FQ","FILING_STATUS=MR","FA_ADJUSTED=GAAP","Sort=A","Dates=H","DateFormat=P","Fill=—","Direction=H","UseDPDF=Y")</f>
        <v>0</v>
      </c>
      <c r="Y25" s="21">
        <f>_xll.BDH("NFLX US Equity","DVD_PAYOUT_RATIO","FQ4 2016","FQ4 2016","Currency=USD","Period=FQ","BEST_FPERIOD_OVERRIDE=FQ","FILING_STATUS=MR","FA_ADJUSTED=GAAP","Sort=A","Dates=H","DateFormat=P","Fill=—","Direction=H","UseDPDF=Y")</f>
        <v>0</v>
      </c>
      <c r="Z25" s="21">
        <f>_xll.BDH("NFLX US Equity","DVD_PAYOUT_RATIO","FQ1 2017","FQ1 2017","Currency=USD","Period=FQ","BEST_FPERIOD_OVERRIDE=FQ","FILING_STATUS=MR","FA_ADJUSTED=GAAP","Sort=A","Dates=H","DateFormat=P","Fill=—","Direction=H","UseDPDF=Y")</f>
        <v>0</v>
      </c>
      <c r="AA25" s="21">
        <f>_xll.BDH("NFLX US Equity","DVD_PAYOUT_RATIO","FQ2 2017","FQ2 2017","Currency=USD","Period=FQ","BEST_FPERIOD_OVERRIDE=FQ","FILING_STATUS=MR","FA_ADJUSTED=GAAP","Sort=A","Dates=H","DateFormat=P","Fill=—","Direction=H","UseDPDF=Y")</f>
        <v>0</v>
      </c>
      <c r="AB25" s="21">
        <f>_xll.BDH("NFLX US Equity","DVD_PAYOUT_RATIO","FQ3 2017","FQ3 2017","Currency=USD","Period=FQ","BEST_FPERIOD_OVERRIDE=FQ","FILING_STATUS=MR","FA_ADJUSTED=GAAP","Sort=A","Dates=H","DateFormat=P","Fill=—","Direction=H","UseDPDF=Y")</f>
        <v>0</v>
      </c>
      <c r="AC25" s="21">
        <f>_xll.BDH("NFLX US Equity","DVD_PAYOUT_RATIO","FQ4 2017","FQ4 2017","Currency=USD","Period=FQ","BEST_FPERIOD_OVERRIDE=FQ","FILING_STATUS=MR","FA_ADJUSTED=GAAP","Sort=A","Dates=H","DateFormat=P","Fill=—","Direction=H","UseDPDF=Y")</f>
        <v>0</v>
      </c>
      <c r="AD25" s="21">
        <f>_xll.BDH("NFLX US Equity","DVD_PAYOUT_RATIO","FQ1 2018","FQ1 2018","Currency=USD","Period=FQ","BEST_FPERIOD_OVERRIDE=FQ","FILING_STATUS=MR","FA_ADJUSTED=GAAP","Sort=A","Dates=H","DateFormat=P","Fill=—","Direction=H","UseDPDF=Y")</f>
        <v>0</v>
      </c>
      <c r="AE25" s="21">
        <f>_xll.BDH("NFLX US Equity","DVD_PAYOUT_RATIO","FQ2 2018","FQ2 2018","Currency=USD","Period=FQ","BEST_FPERIOD_OVERRIDE=FQ","FILING_STATUS=MR","FA_ADJUSTED=GAAP","Sort=A","Dates=H","DateFormat=P","Fill=—","Direction=H","UseDPDF=Y")</f>
        <v>0</v>
      </c>
      <c r="AF25" s="21">
        <f>_xll.BDH("NFLX US Equity","DVD_PAYOUT_RATIO","FQ3 2018","FQ3 2018","Currency=USD","Period=FQ","BEST_FPERIOD_OVERRIDE=FQ","FILING_STATUS=MR","FA_ADJUSTED=GAAP","Sort=A","Dates=H","DateFormat=P","Fill=—","Direction=H","UseDPDF=Y")</f>
        <v>0</v>
      </c>
      <c r="AG25" s="21">
        <f>_xll.BDH("NFLX US Equity","DVD_PAYOUT_RATIO","FQ4 2018","FQ4 2018","Currency=USD","Period=FQ","BEST_FPERIOD_OVERRIDE=FQ","FILING_STATUS=MR","FA_ADJUSTED=GAAP","Sort=A","Dates=H","DateFormat=P","Fill=—","Direction=H","UseDPDF=Y")</f>
        <v>0</v>
      </c>
      <c r="AH25" s="21">
        <f>_xll.BDH("NFLX US Equity","DVD_PAYOUT_RATIO","FQ1 2019","FQ1 2019","Currency=USD","Period=FQ","BEST_FPERIOD_OVERRIDE=FQ","FILING_STATUS=MR","FA_ADJUSTED=GAAP","Sort=A","Dates=H","DateFormat=P","Fill=—","Direction=H","UseDPDF=Y")</f>
        <v>0</v>
      </c>
      <c r="AI25" s="21">
        <f>_xll.BDH("NFLX US Equity","DVD_PAYOUT_RATIO","FQ2 2019","FQ2 2019","Currency=USD","Period=FQ","BEST_FPERIOD_OVERRIDE=FQ","FILING_STATUS=MR","FA_ADJUSTED=GAAP","Sort=A","Dates=H","DateFormat=P","Fill=—","Direction=H","UseDPDF=Y")</f>
        <v>0</v>
      </c>
      <c r="AJ25" s="21">
        <f>_xll.BDH("NFLX US Equity","DVD_PAYOUT_RATIO","FQ3 2019","FQ3 2019","Currency=USD","Period=FQ","BEST_FPERIOD_OVERRIDE=FQ","FILING_STATUS=MR","FA_ADJUSTED=GAAP","Sort=A","Dates=H","DateFormat=P","Fill=—","Direction=H","UseDPDF=Y")</f>
        <v>0</v>
      </c>
      <c r="AK25" s="21">
        <f>_xll.BDH("NFLX US Equity","DVD_PAYOUT_RATIO","FQ4 2019","FQ4 2019","Currency=USD","Period=FQ","BEST_FPERIOD_OVERRIDE=FQ","FILING_STATUS=MR","FA_ADJUSTED=GAAP","Sort=A","Dates=H","DateFormat=P","Fill=—","Direction=H","UseDPDF=Y")</f>
        <v>0</v>
      </c>
      <c r="AL25" s="21">
        <f>_xll.BDH("NFLX US Equity","DVD_PAYOUT_RATIO","FQ1 2020","FQ1 2020","Currency=USD","Period=FQ","BEST_FPERIOD_OVERRIDE=FQ","FILING_STATUS=MR","FA_ADJUSTED=GAAP","Sort=A","Dates=H","DateFormat=P","Fill=—","Direction=H","UseDPDF=Y")</f>
        <v>0</v>
      </c>
      <c r="AM25" s="21">
        <f>_xll.BDH("NFLX US Equity","DVD_PAYOUT_RATIO","FQ2 2020","FQ2 2020","Currency=USD","Period=FQ","BEST_FPERIOD_OVERRIDE=FQ","FILING_STATUS=MR","FA_ADJUSTED=GAAP","Sort=A","Dates=H","DateFormat=P","Fill=—","Direction=H","UseDPDF=Y")</f>
        <v>0</v>
      </c>
      <c r="AN25" s="21">
        <f>_xll.BDH("NFLX US Equity","DVD_PAYOUT_RATIO","FQ3 2020","FQ3 2020","Currency=USD","Period=FQ","BEST_FPERIOD_OVERRIDE=FQ","FILING_STATUS=MR","FA_ADJUSTED=GAAP","Sort=A","Dates=H","DateFormat=P","Fill=—","Direction=H","UseDPDF=Y")</f>
        <v>0</v>
      </c>
      <c r="AO25" s="21">
        <f>_xll.BDH("NFLX US Equity","DVD_PAYOUT_RATIO","FQ4 2020","FQ4 2020","Currency=USD","Period=FQ","BEST_FPERIOD_OVERRIDE=FQ","FILING_STATUS=MR","FA_ADJUSTED=GAAP","Sort=A","Dates=H","DateFormat=P","Fill=—","Direction=H","UseDPDF=Y")</f>
        <v>0</v>
      </c>
      <c r="AP25" s="21">
        <f>_xll.BDH("NFLX US Equity","DVD_PAYOUT_RATIO","FQ1 2021","FQ1 2021","Currency=USD","Period=FQ","BEST_FPERIOD_OVERRIDE=FQ","FILING_STATUS=MR","FA_ADJUSTED=GAAP","Sort=A","Dates=H","DateFormat=P","Fill=—","Direction=H","UseDPDF=Y")</f>
        <v>0</v>
      </c>
    </row>
    <row r="26" spans="1:42" x14ac:dyDescent="0.25">
      <c r="A26" s="18" t="s">
        <v>116</v>
      </c>
      <c r="B26" s="18" t="s">
        <v>117</v>
      </c>
      <c r="C26" s="21">
        <f>_xll.BDH("NFLX US Equity","SUSTAIN_GROWTH_RT","FQ2 2011","FQ2 2011","Currency=USD","Period=FQ","BEST_FPERIOD_OVERRIDE=FQ","FILING_STATUS=MR","FA_ADJUSTED=GAAP","Sort=A","Dates=H","DateFormat=P","Fill=—","Direction=H","UseDPDF=Y")</f>
        <v>83.618499999999997</v>
      </c>
      <c r="D26" s="21">
        <f>_xll.BDH("NFLX US Equity","SUSTAIN_GROWTH_RT","FQ3 2011","FQ3 2011","Currency=USD","Period=FQ","BEST_FPERIOD_OVERRIDE=FQ","FILING_STATUS=MR","FA_ADJUSTED=GAAP","Sort=A","Dates=H","DateFormat=P","Fill=—","Direction=H","UseDPDF=Y")</f>
        <v>82.023399999999995</v>
      </c>
      <c r="E26" s="21">
        <f>_xll.BDH("NFLX US Equity","SUSTAIN_GROWTH_RT","FQ4 2011","FQ4 2011","Currency=USD","Period=FQ","BEST_FPERIOD_OVERRIDE=FQ","FILING_STATUS=MR","FA_ADJUSTED=GAAP","Sort=A","Dates=H","DateFormat=P","Fill=—","Direction=H","UseDPDF=Y")</f>
        <v>48.474200000000003</v>
      </c>
      <c r="F26" s="21" t="str">
        <f>_xll.BDH("NFLX US Equity","SUSTAIN_GROWTH_RT","FQ1 2012","FQ1 2012","Currency=USD","Period=FQ","BEST_FPERIOD_OVERRIDE=FQ","FILING_STATUS=MR","FA_ADJUSTED=GAAP","Sort=A","Dates=H","DateFormat=P","Fill=—","Direction=H","UseDPDF=Y")</f>
        <v>—</v>
      </c>
      <c r="G26" s="21">
        <f>_xll.BDH("NFLX US Equity","SUSTAIN_GROWTH_RT","FQ2 2012","FQ2 2012","Currency=USD","Period=FQ","BEST_FPERIOD_OVERRIDE=FQ","FILING_STATUS=MR","FA_ADJUSTED=GAAP","Sort=A","Dates=H","DateFormat=P","Fill=—","Direction=H","UseDPDF=Y")</f>
        <v>19.419499999999999</v>
      </c>
      <c r="H26" s="21">
        <f>_xll.BDH("NFLX US Equity","SUSTAIN_GROWTH_RT","FQ3 2012","FQ3 2012","Currency=USD","Period=FQ","BEST_FPERIOD_OVERRIDE=FQ","FILING_STATUS=MR","FA_ADJUSTED=GAAP","Sort=A","Dates=H","DateFormat=P","Fill=—","Direction=H","UseDPDF=Y")</f>
        <v>8.0481999999999996</v>
      </c>
      <c r="I26" s="21">
        <f>_xll.BDH("NFLX US Equity","SUSTAIN_GROWTH_RT","FQ4 2012","FQ4 2012","Currency=USD","Period=FQ","BEST_FPERIOD_OVERRIDE=FQ","FILING_STATUS=MR","FA_ADJUSTED=GAAP","Sort=A","Dates=H","DateFormat=P","Fill=—","Direction=H","UseDPDF=Y")</f>
        <v>2.4723999999999999</v>
      </c>
      <c r="J26" s="21">
        <f>_xll.BDH("NFLX US Equity","SUSTAIN_GROWTH_RT","FQ1 2013","FQ1 2013","Currency=USD","Period=FQ","BEST_FPERIOD_OVERRIDE=FQ","FILING_STATUS=MR","FA_ADJUSTED=GAAP","Sort=A","Dates=H","DateFormat=P","Fill=—","Direction=H","UseDPDF=Y")</f>
        <v>3.3089</v>
      </c>
      <c r="K26" s="21">
        <f>_xll.BDH("NFLX US Equity","SUSTAIN_GROWTH_RT","FQ2 2013","FQ2 2013","Currency=USD","Period=FQ","BEST_FPERIOD_OVERRIDE=FQ","FILING_STATUS=MR","FA_ADJUSTED=GAAP","Sort=A","Dates=H","DateFormat=P","Fill=—","Direction=H","UseDPDF=Y")</f>
        <v>5.3216999999999999</v>
      </c>
      <c r="L26" s="21">
        <f>_xll.BDH("NFLX US Equity","SUSTAIN_GROWTH_RT","FQ3 2013","FQ3 2013","Currency=USD","Period=FQ","BEST_FPERIOD_OVERRIDE=FQ","FILING_STATUS=MR","FA_ADJUSTED=GAAP","Sort=A","Dates=H","DateFormat=P","Fill=—","Direction=H","UseDPDF=Y")</f>
        <v>7.4827000000000004</v>
      </c>
      <c r="M26" s="21">
        <f>_xll.BDH("NFLX US Equity","SUSTAIN_GROWTH_RT","FQ4 2013","FQ4 2013","Currency=USD","Period=FQ","BEST_FPERIOD_OVERRIDE=FQ","FILING_STATUS=MR","FA_ADJUSTED=GAAP","Sort=A","Dates=H","DateFormat=P","Fill=—","Direction=H","UseDPDF=Y")</f>
        <v>10.8172</v>
      </c>
      <c r="N26" s="21">
        <f>_xll.BDH("NFLX US Equity","SUSTAIN_GROWTH_RT","FQ1 2014","FQ1 2014","Currency=USD","Period=FQ","BEST_FPERIOD_OVERRIDE=FQ","FILING_STATUS=MR","FA_ADJUSTED=GAAP","Sort=A","Dates=H","DateFormat=P","Fill=—","Direction=H","UseDPDF=Y")</f>
        <v>14.212899999999999</v>
      </c>
      <c r="O26" s="21">
        <f>_xll.BDH("NFLX US Equity","SUSTAIN_GROWTH_RT","FQ2 2014","FQ2 2014","Currency=USD","Period=FQ","BEST_FPERIOD_OVERRIDE=FQ","FILING_STATUS=MR","FA_ADJUSTED=GAAP","Sort=A","Dates=H","DateFormat=P","Fill=—","Direction=H","UseDPDF=Y")</f>
        <v>15.0535</v>
      </c>
      <c r="P26" s="21">
        <f>_xll.BDH("NFLX US Equity","SUSTAIN_GROWTH_RT","FQ3 2014","FQ3 2014","Currency=USD","Period=FQ","BEST_FPERIOD_OVERRIDE=FQ","FILING_STATUS=MR","FA_ADJUSTED=GAAP","Sort=A","Dates=H","DateFormat=P","Fill=—","Direction=H","UseDPDF=Y")</f>
        <v>15.83</v>
      </c>
      <c r="Q26" s="21">
        <f>_xll.BDH("NFLX US Equity","SUSTAIN_GROWTH_RT","FQ4 2014","FQ4 2014","Currency=USD","Period=FQ","BEST_FPERIOD_OVERRIDE=FQ","FILING_STATUS=MR","FA_ADJUSTED=GAAP","Sort=A","Dates=H","DateFormat=P","Fill=—","Direction=H","UseDPDF=Y")</f>
        <v>16.720600000000001</v>
      </c>
      <c r="R26" s="21">
        <f>_xll.BDH("NFLX US Equity","SUSTAIN_GROWTH_RT","FQ1 2015","FQ1 2015","Currency=USD","Period=FQ","BEST_FPERIOD_OVERRIDE=FQ","FILING_STATUS=MR","FA_ADJUSTED=GAAP","Sort=A","Dates=H","DateFormat=P","Fill=—","Direction=H","UseDPDF=Y")</f>
        <v>14.014799999999999</v>
      </c>
      <c r="S26" s="21">
        <f>_xll.BDH("NFLX US Equity","SUSTAIN_GROWTH_RT","FQ2 2015","FQ2 2015","Currency=USD","Period=FQ","BEST_FPERIOD_OVERRIDE=FQ","FILING_STATUS=MR","FA_ADJUSTED=GAAP","Sort=A","Dates=H","DateFormat=P","Fill=—","Direction=H","UseDPDF=Y")</f>
        <v>10.582599999999999</v>
      </c>
      <c r="T26" s="21">
        <f>_xll.BDH("NFLX US Equity","SUSTAIN_GROWTH_RT","FQ3 2015","FQ3 2015","Currency=USD","Period=FQ","BEST_FPERIOD_OVERRIDE=FQ","FILING_STATUS=MR","FA_ADJUSTED=GAAP","Sort=A","Dates=H","DateFormat=P","Fill=—","Direction=H","UseDPDF=Y")</f>
        <v>8.3672000000000004</v>
      </c>
      <c r="U26" s="21">
        <f>_xll.BDH("NFLX US Equity","SUSTAIN_GROWTH_RT","FQ4 2015","FQ4 2015","Currency=USD","Period=FQ","BEST_FPERIOD_OVERRIDE=FQ","FILING_STATUS=MR","FA_ADJUSTED=GAAP","Sort=A","Dates=H","DateFormat=P","Fill=—","Direction=H","UseDPDF=Y")</f>
        <v>6.0101000000000004</v>
      </c>
      <c r="V26" s="21">
        <f>_xll.BDH("NFLX US Equity","SUSTAIN_GROWTH_RT","FQ1 2016","FQ1 2016","Currency=USD","Period=FQ","BEST_FPERIOD_OVERRIDE=FQ","FILING_STATUS=MR","FA_ADJUSTED=GAAP","Sort=A","Dates=H","DateFormat=P","Fill=—","Direction=H","UseDPDF=Y")</f>
        <v>5.9909999999999997</v>
      </c>
      <c r="W26" s="21">
        <f>_xll.BDH("NFLX US Equity","SUSTAIN_GROWTH_RT","FQ2 2016","FQ2 2016","Currency=USD","Period=FQ","BEST_FPERIOD_OVERRIDE=FQ","FILING_STATUS=MR","FA_ADJUSTED=GAAP","Sort=A","Dates=H","DateFormat=P","Fill=—","Direction=H","UseDPDF=Y")</f>
        <v>6.3411</v>
      </c>
      <c r="X26" s="21">
        <f>_xll.BDH("NFLX US Equity","SUSTAIN_GROWTH_RT","FQ3 2016","FQ3 2016","Currency=USD","Period=FQ","BEST_FPERIOD_OVERRIDE=FQ","FILING_STATUS=MR","FA_ADJUSTED=GAAP","Sort=A","Dates=H","DateFormat=P","Fill=—","Direction=H","UseDPDF=Y")</f>
        <v>6.9462999999999999</v>
      </c>
      <c r="Y26" s="21">
        <f>_xll.BDH("NFLX US Equity","SUSTAIN_GROWTH_RT","FQ4 2016","FQ4 2016","Currency=USD","Period=FQ","BEST_FPERIOD_OVERRIDE=FQ","FILING_STATUS=MR","FA_ADJUSTED=GAAP","Sort=A","Dates=H","DateFormat=P","Fill=—","Direction=H","UseDPDF=Y")</f>
        <v>7.6144999999999996</v>
      </c>
      <c r="Z26" s="21">
        <f>_xll.BDH("NFLX US Equity","SUSTAIN_GROWTH_RT","FQ1 2017","FQ1 2017","Currency=USD","Period=FQ","BEST_FPERIOD_OVERRIDE=FQ","FILING_STATUS=MR","FA_ADJUSTED=GAAP","Sort=A","Dates=H","DateFormat=P","Fill=—","Direction=H","UseDPDF=Y")</f>
        <v>12.747999999999999</v>
      </c>
      <c r="AA26" s="21">
        <f>_xll.BDH("NFLX US Equity","SUSTAIN_GROWTH_RT","FQ2 2017","FQ2 2017","Currency=USD","Period=FQ","BEST_FPERIOD_OVERRIDE=FQ","FILING_STATUS=MR","FA_ADJUSTED=GAAP","Sort=A","Dates=H","DateFormat=P","Fill=—","Direction=H","UseDPDF=Y")</f>
        <v>13.099299999999999</v>
      </c>
      <c r="AB26" s="21">
        <f>_xll.BDH("NFLX US Equity","SUSTAIN_GROWTH_RT","FQ3 2017","FQ3 2017","Currency=USD","Period=FQ","BEST_FPERIOD_OVERRIDE=FQ","FILING_STATUS=MR","FA_ADJUSTED=GAAP","Sort=A","Dates=H","DateFormat=P","Fill=—","Direction=H","UseDPDF=Y")</f>
        <v>15.0319</v>
      </c>
      <c r="AC26" s="21">
        <f>_xll.BDH("NFLX US Equity","SUSTAIN_GROWTH_RT","FQ4 2017","FQ4 2017","Currency=USD","Period=FQ","BEST_FPERIOD_OVERRIDE=FQ","FILING_STATUS=MR","FA_ADJUSTED=GAAP","Sort=A","Dates=H","DateFormat=P","Fill=—","Direction=H","UseDPDF=Y")</f>
        <v>17.8521</v>
      </c>
      <c r="AD26" s="21">
        <f>_xll.BDH("NFLX US Equity","SUSTAIN_GROWTH_RT","FQ1 2018","FQ1 2018","Currency=USD","Period=FQ","BEST_FPERIOD_OVERRIDE=FQ","FILING_STATUS=MR","FA_ADJUSTED=GAAP","Sort=A","Dates=H","DateFormat=P","Fill=—","Direction=H","UseDPDF=Y")</f>
        <v>19.181899999999999</v>
      </c>
      <c r="AE26" s="21">
        <f>_xll.BDH("NFLX US Equity","SUSTAIN_GROWTH_RT","FQ2 2018","FQ2 2018","Currency=USD","Period=FQ","BEST_FPERIOD_OVERRIDE=FQ","FILING_STATUS=MR","FA_ADJUSTED=GAAP","Sort=A","Dates=H","DateFormat=P","Fill=—","Direction=H","UseDPDF=Y")</f>
        <v>26.010400000000001</v>
      </c>
      <c r="AF26" s="21">
        <f>_xll.BDH("NFLX US Equity","SUSTAIN_GROWTH_RT","FQ3 2018","FQ3 2018","Currency=USD","Period=FQ","BEST_FPERIOD_OVERRIDE=FQ","FILING_STATUS=MR","FA_ADJUSTED=GAAP","Sort=A","Dates=H","DateFormat=P","Fill=—","Direction=H","UseDPDF=Y")</f>
        <v>30.2944</v>
      </c>
      <c r="AG26" s="21">
        <f>_xll.BDH("NFLX US Equity","SUSTAIN_GROWTH_RT","FQ4 2018","FQ4 2018","Currency=USD","Period=FQ","BEST_FPERIOD_OVERRIDE=FQ","FILING_STATUS=MR","FA_ADJUSTED=GAAP","Sort=A","Dates=H","DateFormat=P","Fill=—","Direction=H","UseDPDF=Y")</f>
        <v>27.4636</v>
      </c>
      <c r="AH26" s="21">
        <f>_xll.BDH("NFLX US Equity","SUSTAIN_GROWTH_RT","FQ1 2019","FQ1 2019","Currency=USD","Period=FQ","BEST_FPERIOD_OVERRIDE=FQ","FILING_STATUS=MR","FA_ADJUSTED=GAAP","Sort=A","Dates=H","DateFormat=P","Fill=—","Direction=H","UseDPDF=Y")</f>
        <v>26.022200000000002</v>
      </c>
      <c r="AI26" s="21">
        <f>_xll.BDH("NFLX US Equity","SUSTAIN_GROWTH_RT","FQ2 2019","FQ2 2019","Currency=USD","Period=FQ","BEST_FPERIOD_OVERRIDE=FQ","FILING_STATUS=MR","FA_ADJUSTED=GAAP","Sort=A","Dates=H","DateFormat=P","Fill=—","Direction=H","UseDPDF=Y")</f>
        <v>21.721499999999999</v>
      </c>
      <c r="AJ26" s="21">
        <f>_xll.BDH("NFLX US Equity","SUSTAIN_GROWTH_RT","FQ3 2019","FQ3 2019","Currency=USD","Period=FQ","BEST_FPERIOD_OVERRIDE=FQ","FILING_STATUS=MR","FA_ADJUSTED=GAAP","Sort=A","Dates=H","DateFormat=P","Fill=—","Direction=H","UseDPDF=Y")</f>
        <v>23.820399999999999</v>
      </c>
      <c r="AK26" s="21">
        <f>_xll.BDH("NFLX US Equity","SUSTAIN_GROWTH_RT","FQ4 2019","FQ4 2019","Currency=USD","Period=FQ","BEST_FPERIOD_OVERRIDE=FQ","FILING_STATUS=MR","FA_ADJUSTED=GAAP","Sort=A","Dates=H","DateFormat=P","Fill=—","Direction=H","UseDPDF=Y")</f>
        <v>29.123000000000001</v>
      </c>
      <c r="AL26" s="21">
        <f>_xll.BDH("NFLX US Equity","SUSTAIN_GROWTH_RT","FQ1 2020","FQ1 2020","Currency=USD","Period=FQ","BEST_FPERIOD_OVERRIDE=FQ","FILING_STATUS=MR","FA_ADJUSTED=GAAP","Sort=A","Dates=H","DateFormat=P","Fill=—","Direction=H","UseDPDF=Y")</f>
        <v>31.6309</v>
      </c>
      <c r="AM26" s="21">
        <f>_xll.BDH("NFLX US Equity","SUSTAIN_GROWTH_RT","FQ2 2020","FQ2 2020","Currency=USD","Period=FQ","BEST_FPERIOD_OVERRIDE=FQ","FILING_STATUS=MR","FA_ADJUSTED=GAAP","Sort=A","Dates=H","DateFormat=P","Fill=—","Direction=H","UseDPDF=Y")</f>
        <v>34.733499999999999</v>
      </c>
      <c r="AN26" s="21">
        <f>_xll.BDH("NFLX US Equity","SUSTAIN_GROWTH_RT","FQ3 2020","FQ3 2020","Currency=USD","Period=FQ","BEST_FPERIOD_OVERRIDE=FQ","FILING_STATUS=MR","FA_ADJUSTED=GAAP","Sort=A","Dates=H","DateFormat=P","Fill=—","Direction=H","UseDPDF=Y")</f>
        <v>32.6402</v>
      </c>
      <c r="AO26" s="21">
        <f>_xll.BDH("NFLX US Equity","SUSTAIN_GROWTH_RT","FQ4 2020","FQ4 2020","Currency=USD","Period=FQ","BEST_FPERIOD_OVERRIDE=FQ","FILING_STATUS=MR","FA_ADJUSTED=GAAP","Sort=A","Dates=H","DateFormat=P","Fill=—","Direction=H","UseDPDF=Y")</f>
        <v>29.616900000000001</v>
      </c>
      <c r="AP26" s="21">
        <f>_xll.BDH("NFLX US Equity","SUSTAIN_GROWTH_RT","FQ1 2021","FQ1 2021","Currency=USD","Period=FQ","BEST_FPERIOD_OVERRIDE=FQ","FILING_STATUS=MR","FA_ADJUSTED=GAAP","Sort=A","Dates=H","DateFormat=P","Fill=—","Direction=H","UseDPDF=Y")</f>
        <v>35.307200000000002</v>
      </c>
    </row>
    <row r="27" spans="1:42" x14ac:dyDescent="0.25">
      <c r="A27" s="15" t="s">
        <v>118</v>
      </c>
      <c r="B27" s="15"/>
      <c r="C27" s="15" t="s">
        <v>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20.2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x14ac:dyDescent="0.25">
      <c r="A4" s="2" t="s">
        <v>2</v>
      </c>
      <c r="B4" s="2"/>
      <c r="C4" s="3" t="s">
        <v>159</v>
      </c>
      <c r="D4" s="3" t="s">
        <v>158</v>
      </c>
      <c r="E4" s="3" t="s">
        <v>157</v>
      </c>
      <c r="F4" s="3" t="s">
        <v>156</v>
      </c>
      <c r="G4" s="3" t="s">
        <v>155</v>
      </c>
      <c r="H4" s="3" t="s">
        <v>154</v>
      </c>
      <c r="I4" s="3" t="s">
        <v>153</v>
      </c>
      <c r="J4" s="3" t="s">
        <v>152</v>
      </c>
      <c r="K4" s="3" t="s">
        <v>151</v>
      </c>
      <c r="L4" s="3" t="s">
        <v>150</v>
      </c>
      <c r="M4" s="3" t="s">
        <v>149</v>
      </c>
      <c r="N4" s="3" t="s">
        <v>148</v>
      </c>
      <c r="O4" s="3" t="s">
        <v>147</v>
      </c>
      <c r="P4" s="3" t="s">
        <v>146</v>
      </c>
      <c r="Q4" s="3" t="s">
        <v>145</v>
      </c>
      <c r="R4" s="3" t="s">
        <v>144</v>
      </c>
      <c r="S4" s="3" t="s">
        <v>143</v>
      </c>
      <c r="T4" s="3" t="s">
        <v>142</v>
      </c>
      <c r="U4" s="3" t="s">
        <v>141</v>
      </c>
      <c r="V4" s="3" t="s">
        <v>140</v>
      </c>
      <c r="W4" s="3" t="s">
        <v>139</v>
      </c>
      <c r="X4" s="3" t="s">
        <v>138</v>
      </c>
      <c r="Y4" s="3" t="s">
        <v>137</v>
      </c>
      <c r="Z4" s="3" t="s">
        <v>136</v>
      </c>
      <c r="AA4" s="3" t="s">
        <v>135</v>
      </c>
      <c r="AB4" s="3" t="s">
        <v>134</v>
      </c>
      <c r="AC4" s="3" t="s">
        <v>133</v>
      </c>
      <c r="AD4" s="3" t="s">
        <v>132</v>
      </c>
      <c r="AE4" s="3" t="s">
        <v>131</v>
      </c>
      <c r="AF4" s="3" t="s">
        <v>130</v>
      </c>
      <c r="AG4" s="3" t="s">
        <v>129</v>
      </c>
      <c r="AH4" s="3" t="s">
        <v>128</v>
      </c>
      <c r="AI4" s="3" t="s">
        <v>127</v>
      </c>
      <c r="AJ4" s="3" t="s">
        <v>126</v>
      </c>
      <c r="AK4" s="3" t="s">
        <v>125</v>
      </c>
      <c r="AL4" s="3" t="s">
        <v>124</v>
      </c>
      <c r="AM4" s="3" t="s">
        <v>123</v>
      </c>
      <c r="AN4" s="3" t="s">
        <v>122</v>
      </c>
      <c r="AO4" s="3" t="s">
        <v>121</v>
      </c>
      <c r="AP4" s="3" t="s">
        <v>120</v>
      </c>
    </row>
    <row r="5" spans="1:42" x14ac:dyDescent="0.25">
      <c r="A5" s="4" t="s">
        <v>119</v>
      </c>
      <c r="B5" s="4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7" t="s">
        <v>84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x14ac:dyDescent="0.25">
      <c r="A7" s="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</row>
    <row r="8" spans="1:42" x14ac:dyDescent="0.25">
      <c r="A8" s="7" t="s">
        <v>93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x14ac:dyDescent="0.25">
      <c r="A9" s="8" t="s">
        <v>94</v>
      </c>
      <c r="B9" s="8" t="s">
        <v>95</v>
      </c>
      <c r="C9" s="21">
        <f>_xll.BDP("NFLX US Equity","GROSS_MARGIN","EQY_FUND_YEAR=2011","FUND_PER=C2","EQY_FUND_CRNCY=USD","FILING_STATUS=MR","FA_ADJUSTED=GAAP","Fill=—")</f>
        <v>38.418804070959808</v>
      </c>
      <c r="D9" s="21">
        <f>_xll.BDP("NFLX US Equity","GROSS_MARGIN","EQY_FUND_YEAR=2011","FUND_PER=C3","EQY_FUND_CRNCY=USD","FILING_STATUS=MR","FA_ADJUSTED=GAAP","Fill=—")</f>
        <v>37.108426699504761</v>
      </c>
      <c r="E9" s="21">
        <f>_xll.BDP("NFLX US Equity","GROSS_MARGIN","EQY_FUND_YEAR=2011","FUND_PER=C4","EQY_FUND_CRNCY=USD","FILING_STATUS=MR","FA_ADJUSTED=GAAP","Fill=—")</f>
        <v>36.344141520082061</v>
      </c>
      <c r="F9" s="21">
        <f>_xll.BDP("NFLX US Equity","GROSS_MARGIN","EQY_FUND_YEAR=2012","FUND_PER=C1","EQY_FUND_CRNCY=USD","FILING_STATUS=MR","FA_ADJUSTED=GAAP","Fill=—")</f>
        <v>28.26633064724745</v>
      </c>
      <c r="G9" s="21">
        <f>_xll.BDP("NFLX US Equity","GROSS_MARGIN","EQY_FUND_YEAR=2012","FUND_PER=C2","EQY_FUND_CRNCY=USD","FILING_STATUS=MR","FA_ADJUSTED=GAAP","Fill=—")</f>
        <v>27.948030477204057</v>
      </c>
      <c r="H9" s="21">
        <f>_xll.BDP("NFLX US Equity","GROSS_MARGIN","EQY_FUND_YEAR=2012","FUND_PER=C3","EQY_FUND_CRNCY=USD","FILING_STATUS=MR","FA_ADJUSTED=GAAP","Fill=—")</f>
        <v>27.55375945508387</v>
      </c>
      <c r="I9" s="21">
        <f>_xll.BDP("NFLX US Equity","GROSS_MARGIN","EQY_FUND_YEAR=2012","FUND_PER=C4","EQY_FUND_CRNCY=USD","FILING_STATUS=MR","FA_ADJUSTED=GAAP","Fill=—")</f>
        <v>26.521175125689822</v>
      </c>
      <c r="J9" s="21">
        <f>_xll.BDP("NFLX US Equity","GROSS_MARGIN","EQY_FUND_YEAR=2013","FUND_PER=C1","EQY_FUND_CRNCY=USD","FILING_STATUS=MR","FA_ADJUSTED=GAAP","Fill=—")</f>
        <v>28.029290178043887</v>
      </c>
      <c r="K9" s="21">
        <f>_xll.BDP("NFLX US Equity","GROSS_MARGIN","EQY_FUND_YEAR=2013","FUND_PER=C2","EQY_FUND_CRNCY=USD","FILING_STATUS=MR","FA_ADJUSTED=GAAP","Fill=—")</f>
        <v>28.457345295755619</v>
      </c>
      <c r="L9" s="21">
        <f>_xll.BDP("NFLX US Equity","GROSS_MARGIN","EQY_FUND_YEAR=2013","FUND_PER=C3","EQY_FUND_CRNCY=USD","FILING_STATUS=MR","FA_ADJUSTED=GAAP","Fill=—")</f>
        <v>28.218578128184259</v>
      </c>
      <c r="M9" s="21">
        <f>_xll.BDP("NFLX US Equity","GROSS_MARGIN","EQY_FUND_YEAR=2013","FUND_PER=C4","EQY_FUND_CRNCY=USD","FILING_STATUS=MR","FA_ADJUSTED=GAAP","Fill=—")</f>
        <v>28.742511821754956</v>
      </c>
      <c r="N9" s="21">
        <f>_xll.BDP("NFLX US Equity","GROSS_MARGIN","EQY_FUND_YEAR=2014","FUND_PER=C1","EQY_FUND_CRNCY=USD","FILING_STATUS=MR","FA_ADJUSTED=GAAP","Fill=—")</f>
        <v>31.564953322168755</v>
      </c>
      <c r="O9" s="21">
        <f>_xll.BDP("NFLX US Equity","GROSS_MARGIN","EQY_FUND_YEAR=2014","FUND_PER=C2","EQY_FUND_CRNCY=USD","FILING_STATUS=MR","FA_ADJUSTED=GAAP","Fill=—")</f>
        <v>31.659194268062464</v>
      </c>
      <c r="P9" s="21">
        <f>_xll.BDP("NFLX US Equity","GROSS_MARGIN","EQY_FUND_YEAR=2014","FUND_PER=C3","EQY_FUND_CRNCY=USD","FILING_STATUS=MR","FA_ADJUSTED=GAAP","Fill=—")</f>
        <v>31.878680414176575</v>
      </c>
      <c r="Q9" s="21">
        <f>_xll.BDP("NFLX US Equity","GROSS_MARGIN","EQY_FUND_YEAR=2014","FUND_PER=C4","EQY_FUND_CRNCY=USD","FILING_STATUS=MR","FA_ADJUSTED=GAAP","Fill=—")</f>
        <v>31.825712633087335</v>
      </c>
      <c r="R9" s="21">
        <f>_xll.BDP("NFLX US Equity","GROSS_MARGIN","EQY_FUND_YEAR=2015","FUND_PER=C1","EQY_FUND_CRNCY=USD","FILING_STATUS=MR","FA_ADJUSTED=GAAP","Fill=—")</f>
        <v>33.482823086981419</v>
      </c>
      <c r="S9" s="21">
        <f>_xll.BDP("NFLX US Equity","GROSS_MARGIN","EQY_FUND_YEAR=2015","FUND_PER=C2","EQY_FUND_CRNCY=USD","FILING_STATUS=MR","FA_ADJUSTED=GAAP","Fill=—")</f>
        <v>32.62050150054867</v>
      </c>
      <c r="T9" s="21">
        <f>_xll.BDP("NFLX US Equity","GROSS_MARGIN","EQY_FUND_YEAR=2015","FUND_PER=C3","EQY_FUND_CRNCY=USD","FILING_STATUS=MR","FA_ADJUSTED=GAAP","Fill=—")</f>
        <v>32.566768183063644</v>
      </c>
      <c r="U9" s="21">
        <f>_xll.BDP("NFLX US Equity","GROSS_MARGIN","EQY_FUND_YEAR=2015","FUND_PER=C4","EQY_FUND_CRNCY=USD","FILING_STATUS=MR","FA_ADJUSTED=GAAP","Fill=—")</f>
        <v>32.27423039803314</v>
      </c>
      <c r="V9" s="21">
        <f>_xll.BDP("NFLX US Equity","GROSS_MARGIN","EQY_FUND_YEAR=2016","FUND_PER=C1","EQY_FUND_CRNCY=USD","FILING_STATUS=MR","FA_ADJUSTED=GAAP","Fill=—")</f>
        <v>30.044704699714366</v>
      </c>
      <c r="W9" s="21">
        <f>_xll.BDP("NFLX US Equity","GROSS_MARGIN","EQY_FUND_YEAR=2016","FUND_PER=C2","EQY_FUND_CRNCY=USD","FILING_STATUS=MR","FA_ADJUSTED=GAAP","Fill=—")</f>
        <v>30.03495006079342</v>
      </c>
      <c r="X9" s="21">
        <f>_xll.BDP("NFLX US Equity","GROSS_MARGIN","EQY_FUND_YEAR=2016","FUND_PER=C3","EQY_FUND_CRNCY=USD","FILING_STATUS=MR","FA_ADJUSTED=GAAP","Fill=—")</f>
        <v>31.128697548672079</v>
      </c>
      <c r="Y9" s="21">
        <f>_xll.BDP("NFLX US Equity","GROSS_MARGIN","EQY_FUND_YEAR=2016","FUND_PER=C4","EQY_FUND_CRNCY=USD","FILING_STATUS=MR","FA_ADJUSTED=GAAP","Fill=—")</f>
        <v>29.139434396193529</v>
      </c>
      <c r="Z9" s="21">
        <f>_xll.BDP("NFLX US Equity","GROSS_MARGIN","EQY_FUND_YEAR=2017","FUND_PER=C1","EQY_FUND_CRNCY=USD","FILING_STATUS=MR","FA_ADJUSTED=GAAP","Fill=—")</f>
        <v>37.153834338086241</v>
      </c>
      <c r="AA9" s="21">
        <f>_xll.BDP("NFLX US Equity","GROSS_MARGIN","EQY_FUND_YEAR=2017","FUND_PER=C2","EQY_FUND_CRNCY=USD","FILING_STATUS=MR","FA_ADJUSTED=GAAP","Fill=—")</f>
        <v>34.355090159733351</v>
      </c>
      <c r="AB9" s="21">
        <f>_xll.BDP("NFLX US Equity","GROSS_MARGIN","EQY_FUND_YEAR=2017","FUND_PER=C3","EQY_FUND_CRNCY=USD","FILING_STATUS=MR","FA_ADJUSTED=GAAP","Fill=—")</f>
        <v>33.955754269261249</v>
      </c>
      <c r="AC9" s="21">
        <f>_xll.BDP("NFLX US Equity","GROSS_MARGIN","EQY_FUND_YEAR=2017","FUND_PER=C4","EQY_FUND_CRNCY=USD","FILING_STATUS=MR","FA_ADJUSTED=GAAP","Fill=—")</f>
        <v>31.299092007132991</v>
      </c>
      <c r="AD9" s="21">
        <f>_xll.BDP("NFLX US Equity","GROSS_MARGIN","EQY_FUND_YEAR=2018","FUND_PER=C1","EQY_FUND_CRNCY=USD","FILING_STATUS=MR","FA_ADJUSTED=GAAP","Fill=—")</f>
        <v>37.836570782543276</v>
      </c>
      <c r="AE9" s="21">
        <f>_xll.BDP("NFLX US Equity","GROSS_MARGIN","EQY_FUND_YEAR=2018","FUND_PER=C2","EQY_FUND_CRNCY=USD","FILING_STATUS=MR","FA_ADJUSTED=GAAP","Fill=—")</f>
        <v>38.184383381663231</v>
      </c>
      <c r="AF9" s="21">
        <f>_xll.BDP("NFLX US Equity","GROSS_MARGIN","EQY_FUND_YEAR=2018","FUND_PER=C3","EQY_FUND_CRNCY=USD","FILING_STATUS=MR","FA_ADJUSTED=GAAP","Fill=—")</f>
        <v>37.677036398880034</v>
      </c>
      <c r="AG9" s="21">
        <f>_xll.BDP("NFLX US Equity","GROSS_MARGIN","EQY_FUND_YEAR=2018","FUND_PER=C4","EQY_FUND_CRNCY=USD","FILING_STATUS=MR","FA_ADJUSTED=GAAP","Fill=—")</f>
        <v>36.891713304151153</v>
      </c>
      <c r="AH9" s="21">
        <f>_xll.BDP("NFLX US Equity","GROSS_MARGIN","EQY_FUND_YEAR=2019","FUND_PER=C1","EQY_FUND_CRNCY=USD","FILING_STATUS=MR","FA_ADJUSTED=GAAP","Fill=—")</f>
        <v>36.504775942978881</v>
      </c>
      <c r="AI9" s="21">
        <f>_xll.BDP("NFLX US Equity","GROSS_MARGIN","EQY_FUND_YEAR=2019","FUND_PER=C2","EQY_FUND_CRNCY=USD","FILING_STATUS=MR","FA_ADJUSTED=GAAP","Fill=—")</f>
        <v>37.778443448550149</v>
      </c>
      <c r="AJ9" s="21">
        <f>_xll.BDP("NFLX US Equity","GROSS_MARGIN","EQY_FUND_YEAR=2019","FUND_PER=C3","EQY_FUND_CRNCY=USD","FILING_STATUS=MR","FA_ADJUSTED=GAAP","Fill=—")</f>
        <v>38.90542543600445</v>
      </c>
      <c r="AK9" s="21">
        <f>_xll.BDP("NFLX US Equity","GROSS_MARGIN","EQY_FUND_YEAR=2019","FUND_PER=C4","EQY_FUND_CRNCY=USD","FILING_STATUS=MR","FA_ADJUSTED=GAAP","Fill=—")</f>
        <v>38.281717010939474</v>
      </c>
      <c r="AL9" s="21">
        <f>_xll.BDP("NFLX US Equity","GROSS_MARGIN","EQY_FUND_YEAR=2020","FUND_PER=C1","EQY_FUND_CRNCY=USD","FILING_STATUS=MR","FA_ADJUSTED=GAAP","Fill=—")</f>
        <v>37.588525460188485</v>
      </c>
      <c r="AM9" s="21">
        <f>_xll.BDP("NFLX US Equity","GROSS_MARGIN","EQY_FUND_YEAR=2020","FUND_PER=C2","EQY_FUND_CRNCY=USD","FILING_STATUS=MR","FA_ADJUSTED=GAAP","Fill=—")</f>
        <v>39.212638627953048</v>
      </c>
      <c r="AN9" s="21">
        <f>_xll.BDP("NFLX US Equity","GROSS_MARGIN","EQY_FUND_YEAR=2020","FUND_PER=C3","EQY_FUND_CRNCY=USD","FILING_STATUS=MR","FA_ADJUSTED=GAAP","Fill=—")</f>
        <v>39.454050199617328</v>
      </c>
      <c r="AO9" s="21">
        <f>_xll.BDP("NFLX US Equity","GROSS_MARGIN","EQY_FUND_YEAR=2020","FUND_PER=C4","EQY_FUND_CRNCY=USD","FILING_STATUS=MR","FA_ADJUSTED=GAAP","Fill=—")</f>
        <v>38.885082510616876</v>
      </c>
      <c r="AP9" s="21">
        <f>_xll.BDP("NFLX US Equity","GROSS_MARGIN","EQY_FUND_YEAR=2021","FUND_PER=C1","EQY_FUND_CRNCY=USD","FILING_STATUS=MR","FA_ADJUSTED=GAAP","Fill=—")</f>
        <v>45.995271441219266</v>
      </c>
    </row>
    <row r="10" spans="1:42" x14ac:dyDescent="0.25">
      <c r="A10" s="8" t="s">
        <v>96</v>
      </c>
      <c r="B10" s="8" t="s">
        <v>97</v>
      </c>
      <c r="C10" s="21">
        <f>_xll.BDP("NFLX US Equity","EBITDA_TO_REVENUE","EQY_FUND_YEAR=2011","FUND_PER=C2","EQY_FUND_CRNCY=USD","FILING_STATUS=MR","FA_ADJUSTED=GAAP","Fill=—")</f>
        <v>15.7489269574691</v>
      </c>
      <c r="D10" s="21">
        <f>_xll.BDP("NFLX US Equity","EBITDA_TO_REVENUE","EQY_FUND_YEAR=2011","FUND_PER=C3","EQY_FUND_CRNCY=USD","FILING_STATUS=MR","FA_ADJUSTED=GAAP","Fill=—")</f>
        <v>14.861172296116534</v>
      </c>
      <c r="E10" s="21">
        <f>_xll.BDP("NFLX US Equity","EBITDA_TO_REVENUE","EQY_FUND_YEAR=2011","FUND_PER=C4","EQY_FUND_CRNCY=USD","FILING_STATUS=MR","FA_ADJUSTED=GAAP","Fill=—")</f>
        <v>13.100480968315006</v>
      </c>
      <c r="F10" s="21">
        <f>_xll.BDP("NFLX US Equity","EBITDA_TO_REVENUE","EQY_FUND_YEAR=2012","FUND_PER=C1","EQY_FUND_CRNCY=USD","FILING_STATUS=MR","FA_ADJUSTED=GAAP","Fill=—")</f>
        <v>1.0802595106180679</v>
      </c>
      <c r="G10" s="21">
        <f>_xll.BDP("NFLX US Equity","EBITDA_TO_REVENUE","EQY_FUND_YEAR=2012","FUND_PER=C2","EQY_FUND_CRNCY=USD","FILING_STATUS=MR","FA_ADJUSTED=GAAP","Fill=—")</f>
        <v>2.0806115452706555</v>
      </c>
      <c r="H10" s="21">
        <f>_xll.BDP("NFLX US Equity","EBITDA_TO_REVENUE","EQY_FUND_YEAR=2012","FUND_PER=C3","EQY_FUND_CRNCY=USD","FILING_STATUS=MR","FA_ADJUSTED=GAAP","Fill=—")</f>
        <v>2.3971084550812432</v>
      </c>
      <c r="I10" s="21">
        <f>_xll.BDP("NFLX US Equity","EBITDA_TO_REVENUE","EQY_FUND_YEAR=2012","FUND_PER=C4","EQY_FUND_CRNCY=USD","FILING_STATUS=MR","FA_ADJUSTED=GAAP","Fill=—")</f>
        <v>2.6448750748763881</v>
      </c>
      <c r="J10" s="21">
        <f>_xll.BDP("NFLX US Equity","EBITDA_TO_REVENUE","EQY_FUND_YEAR=2013","FUND_PER=C1","EQY_FUND_CRNCY=USD","FILING_STATUS=MR","FA_ADJUSTED=GAAP","Fill=—")</f>
        <v>4.284635840622836</v>
      </c>
      <c r="K10" s="21">
        <f>_xll.BDP("NFLX US Equity","EBITDA_TO_REVENUE","EQY_FUND_YEAR=2013","FUND_PER=C2","EQY_FUND_CRNCY=USD","FILING_STATUS=MR","FA_ADJUSTED=GAAP","Fill=—")</f>
        <v>5.3988543628748973</v>
      </c>
      <c r="L10" s="21">
        <f>_xll.BDP("NFLX US Equity","EBITDA_TO_REVENUE","EQY_FUND_YEAR=2013","FUND_PER=C3","EQY_FUND_CRNCY=USD","FILING_STATUS=MR","FA_ADJUSTED=GAAP","Fill=—")</f>
        <v>5.6758098253010312</v>
      </c>
      <c r="M10" s="21">
        <f>_xll.BDP("NFLX US Equity","EBITDA_TO_REVENUE","EQY_FUND_YEAR=2013","FUND_PER=C4","EQY_FUND_CRNCY=USD","FILING_STATUS=MR","FA_ADJUSTED=GAAP","Fill=—")</f>
        <v>6.3256847199788231</v>
      </c>
      <c r="N10" s="21">
        <f>_xll.BDP("NFLX US Equity","EBITDA_TO_REVENUE","EQY_FUND_YEAR=2014","FUND_PER=C1","EQY_FUND_CRNCY=USD","FILING_STATUS=MR","FA_ADJUSTED=GAAP","Fill=—")</f>
        <v>8.6589994874374945</v>
      </c>
      <c r="O10" s="21">
        <f>_xll.BDP("NFLX US Equity","EBITDA_TO_REVENUE","EQY_FUND_YEAR=2014","FUND_PER=C2","EQY_FUND_CRNCY=USD","FILING_STATUS=MR","FA_ADJUSTED=GAAP","Fill=—")</f>
        <v>9.674559930373384</v>
      </c>
      <c r="P10" s="21">
        <f>_xll.BDP("NFLX US Equity","EBITDA_TO_REVENUE","EQY_FUND_YEAR=2014","FUND_PER=C3","EQY_FUND_CRNCY=USD","FILING_STATUS=MR","FA_ADJUSTED=GAAP","Fill=—")</f>
        <v>9.3861880113275653</v>
      </c>
      <c r="Q10" s="21">
        <f>_xll.BDP("NFLX US Equity","EBITDA_TO_REVENUE","EQY_FUND_YEAR=2014","FUND_PER=C4","EQY_FUND_CRNCY=USD","FILING_STATUS=MR","FA_ADJUSTED=GAAP","Fill=—")</f>
        <v>8.2961769091474569</v>
      </c>
      <c r="R10" s="21">
        <f>_xll.BDP("NFLX US Equity","EBITDA_TO_REVENUE","EQY_FUND_YEAR=2015","FUND_PER=C1","EQY_FUND_CRNCY=USD","FILING_STATUS=MR","FA_ADJUSTED=GAAP","Fill=—")</f>
        <v>7.1591713076295722</v>
      </c>
      <c r="S10" s="21">
        <f>_xll.BDP("NFLX US Equity","EBITDA_TO_REVENUE","EQY_FUND_YEAR=2015","FUND_PER=C2","EQY_FUND_CRNCY=USD","FILING_STATUS=MR","FA_ADJUSTED=GAAP","Fill=—")</f>
        <v>6.3098249965893078</v>
      </c>
      <c r="T10" s="21">
        <f>_xll.BDP("NFLX US Equity","EBITDA_TO_REVENUE","EQY_FUND_YEAR=2015","FUND_PER=C3","EQY_FUND_CRNCY=USD","FILING_STATUS=MR","FA_ADJUSTED=GAAP","Fill=—")</f>
        <v>5.9063052214831666</v>
      </c>
      <c r="U10" s="21">
        <f>_xll.BDP("NFLX US Equity","EBITDA_TO_REVENUE","EQY_FUND_YEAR=2015","FUND_PER=C4","EQY_FUND_CRNCY=USD","FILING_STATUS=MR","FA_ADJUSTED=GAAP","Fill=—")</f>
        <v>5.4297278963040254</v>
      </c>
      <c r="V10" s="21">
        <f>_xll.BDP("NFLX US Equity","EBITDA_TO_REVENUE","EQY_FUND_YEAR=2016","FUND_PER=C1","EQY_FUND_CRNCY=USD","FILING_STATUS=MR","FA_ADJUSTED=GAAP","Fill=—")</f>
        <v>3.2819031779565786</v>
      </c>
      <c r="W10" s="21">
        <f>_xll.BDP("NFLX US Equity","EBITDA_TO_REVENUE","EQY_FUND_YEAR=2016","FUND_PER=C2","EQY_FUND_CRNCY=USD","FILING_STATUS=MR","FA_ADJUSTED=GAAP","Fill=—")</f>
        <v>3.6611911571423641</v>
      </c>
      <c r="X10" s="21">
        <f>_xll.BDP("NFLX US Equity","EBITDA_TO_REVENUE","EQY_FUND_YEAR=2016","FUND_PER=C3","EQY_FUND_CRNCY=USD","FILING_STATUS=MR","FA_ADJUSTED=GAAP","Fill=—")</f>
        <v>4.23725131935009</v>
      </c>
      <c r="Y10" s="21">
        <f>_xll.BDP("NFLX US Equity","EBITDA_TO_REVENUE","EQY_FUND_YEAR=2016","FUND_PER=C4","EQY_FUND_CRNCY=USD","FILING_STATUS=MR","FA_ADJUSTED=GAAP","Fill=—")</f>
        <v>4.9522974986379857</v>
      </c>
      <c r="Z10" s="21">
        <f>_xll.BDP("NFLX US Equity","EBITDA_TO_REVENUE","EQY_FUND_YEAR=2017","FUND_PER=C1","EQY_FUND_CRNCY=USD","FILING_STATUS=MR","FA_ADJUSTED=GAAP","Fill=—")</f>
        <v>10.315838180104564</v>
      </c>
      <c r="AA10" s="21">
        <f>_xll.BDP("NFLX US Equity","EBITDA_TO_REVENUE","EQY_FUND_YEAR=2017","FUND_PER=C2","EQY_FUND_CRNCY=USD","FILING_STATUS=MR","FA_ADJUSTED=GAAP","Fill=—")</f>
        <v>7.7156282096656676</v>
      </c>
      <c r="AB10" s="21">
        <f>_xll.BDP("NFLX US Equity","EBITDA_TO_REVENUE","EQY_FUND_YEAR=2017","FUND_PER=C3","EQY_FUND_CRNCY=USD","FILING_STATUS=MR","FA_ADJUSTED=GAAP","Fill=—")</f>
        <v>7.686656695560985</v>
      </c>
      <c r="AC10" s="21">
        <f>_xll.BDP("NFLX US Equity","EBITDA_TO_REVENUE","EQY_FUND_YEAR=2017","FUND_PER=C4","EQY_FUND_CRNCY=USD","FILING_STATUS=MR","FA_ADJUSTED=GAAP","Fill=—")</f>
        <v>7.7876708339629976</v>
      </c>
      <c r="AD10" s="21">
        <f>_xll.BDP("NFLX US Equity","EBITDA_TO_REVENUE","EQY_FUND_YEAR=2018","FUND_PER=C1","EQY_FUND_CRNCY=USD","FILING_STATUS=MR","FA_ADJUSTED=GAAP","Fill=—")</f>
        <v>12.581386576510948</v>
      </c>
      <c r="AE10" s="21">
        <f>_xll.BDP("NFLX US Equity","EBITDA_TO_REVENUE","EQY_FUND_YEAR=2018","FUND_PER=C2","EQY_FUND_CRNCY=USD","FILING_STATUS=MR","FA_ADJUSTED=GAAP","Fill=—")</f>
        <v>12.454683321490734</v>
      </c>
      <c r="AF10" s="21">
        <f>_xll.BDP("NFLX US Equity","EBITDA_TO_REVENUE","EQY_FUND_YEAR=2018","FUND_PER=C3","EQY_FUND_CRNCY=USD","FILING_STATUS=MR","FA_ADJUSTED=GAAP","Fill=—")</f>
        <v>12.486728408356667</v>
      </c>
      <c r="AG10" s="21">
        <f>_xll.BDP("NFLX US Equity","EBITDA_TO_REVENUE","EQY_FUND_YEAR=2018","FUND_PER=C4","EQY_FUND_CRNCY=USD","FILING_STATUS=MR","FA_ADJUSTED=GAAP","Fill=—")</f>
        <v>10.689797060858696</v>
      </c>
      <c r="AH10" s="21">
        <f>_xll.BDP("NFLX US Equity","EBITDA_TO_REVENUE","EQY_FUND_YEAR=2019","FUND_PER=C1","EQY_FUND_CRNCY=USD","FILING_STATUS=MR","FA_ADJUSTED=GAAP","Fill=—")</f>
        <v>11.626762445056306</v>
      </c>
      <c r="AI10" s="21">
        <f>_xll.BDP("NFLX US Equity","EBITDA_TO_REVENUE","EQY_FUND_YEAR=2019","FUND_PER=C2","EQY_FUND_CRNCY=USD","FILING_STATUS=MR","FA_ADJUSTED=GAAP","Fill=—")</f>
        <v>13.82406893271445</v>
      </c>
      <c r="AJ10" s="21">
        <f>_xll.BDP("NFLX US Equity","EBITDA_TO_REVENUE","EQY_FUND_YEAR=2019","FUND_PER=C3","EQY_FUND_CRNCY=USD","FILING_STATUS=MR","FA_ADJUSTED=GAAP","Fill=—")</f>
        <v>16.131124671208337</v>
      </c>
      <c r="AK10" s="21">
        <f>_xll.BDP("NFLX US Equity","EBITDA_TO_REVENUE","EQY_FUND_YEAR=2019","FUND_PER=C4","EQY_FUND_CRNCY=USD","FILING_STATUS=MR","FA_ADJUSTED=GAAP","Fill=—")</f>
        <v>14.515618749673493</v>
      </c>
      <c r="AL10" s="21">
        <f>_xll.BDP("NFLX US Equity","EBITDA_TO_REVENUE","EQY_FUND_YEAR=2020","FUND_PER=C1","EQY_FUND_CRNCY=USD","FILING_STATUS=MR","FA_ADJUSTED=GAAP","Fill=—")</f>
        <v>17.108631513026616</v>
      </c>
      <c r="AM10" s="21">
        <f>_xll.BDP("NFLX US Equity","EBITDA_TO_REVENUE","EQY_FUND_YEAR=2020","FUND_PER=C2","EQY_FUND_CRNCY=USD","FILING_STATUS=MR","FA_ADJUSTED=GAAP","Fill=—")</f>
        <v>19.900692993952575</v>
      </c>
      <c r="AN10" s="21">
        <f>_xll.BDP("NFLX US Equity","EBITDA_TO_REVENUE","EQY_FUND_YEAR=2020","FUND_PER=C3","EQY_FUND_CRNCY=USD","FILING_STATUS=MR","FA_ADJUSTED=GAAP","Fill=—")</f>
        <v>20.242437531652527</v>
      </c>
      <c r="AO10" s="21">
        <f>_xll.BDP("NFLX US Equity","EBITDA_TO_REVENUE","EQY_FUND_YEAR=2020","FUND_PER=C4","EQY_FUND_CRNCY=USD","FILING_STATUS=MR","FA_ADJUSTED=GAAP","Fill=—")</f>
        <v>20.103167475700964</v>
      </c>
      <c r="AP10" s="21">
        <f>_xll.BDP("NFLX US Equity","EBITDA_TO_REVENUE","EQY_FUND_YEAR=2021","FUND_PER=C1","EQY_FUND_CRNCY=USD","FILING_STATUS=MR","FA_ADJUSTED=GAAP","Fill=—")</f>
        <v>27.858696614205609</v>
      </c>
    </row>
    <row r="11" spans="1:42" x14ac:dyDescent="0.25">
      <c r="A11" s="6" t="s">
        <v>98</v>
      </c>
      <c r="B11" s="6" t="s">
        <v>97</v>
      </c>
      <c r="C11" s="23">
        <v>2.4111236852360798</v>
      </c>
      <c r="D11" s="23">
        <v>-0.51427253217533697</v>
      </c>
      <c r="E11" s="23">
        <v>-11.9430958191983</v>
      </c>
      <c r="F11" s="23">
        <v>-93.073509691482499</v>
      </c>
      <c r="G11" s="23">
        <v>-86.788865044583702</v>
      </c>
      <c r="H11" s="23">
        <v>-83.869993564437607</v>
      </c>
      <c r="I11" s="23">
        <v>-79.810855799874801</v>
      </c>
      <c r="J11" s="23">
        <v>296.63007053857399</v>
      </c>
      <c r="K11" s="23">
        <v>159.48394030218</v>
      </c>
      <c r="L11" s="23">
        <v>136.777400100454</v>
      </c>
      <c r="M11" s="23">
        <v>139.16763552152801</v>
      </c>
      <c r="N11" s="23">
        <v>102.09415688987301</v>
      </c>
      <c r="O11" s="23">
        <v>79.196548008151396</v>
      </c>
      <c r="P11" s="23">
        <v>65.371779534550996</v>
      </c>
      <c r="Q11" s="23">
        <v>31.150650087698001</v>
      </c>
      <c r="R11" s="23">
        <v>-17.321032142398899</v>
      </c>
      <c r="S11" s="23">
        <v>-34.779204428935302</v>
      </c>
      <c r="T11" s="23">
        <v>-37.074507776746003</v>
      </c>
      <c r="U11" s="23">
        <v>-34.551444599120799</v>
      </c>
      <c r="V11" s="23">
        <v>-54.158058244453201</v>
      </c>
      <c r="W11" s="23">
        <v>-41.976346412143002</v>
      </c>
      <c r="X11" s="23">
        <v>-28.258852192699202</v>
      </c>
      <c r="Y11" s="23">
        <v>-8.7929082267104395</v>
      </c>
      <c r="Z11" s="23">
        <v>214.32489016281099</v>
      </c>
      <c r="AA11" s="23">
        <v>110.740931024904</v>
      </c>
      <c r="AB11" s="23">
        <v>81.406695048275395</v>
      </c>
      <c r="AC11" s="23">
        <v>57.253714791338197</v>
      </c>
      <c r="AD11" s="23">
        <v>21.961851281495498</v>
      </c>
      <c r="AE11" s="23">
        <v>61.4215071022087</v>
      </c>
      <c r="AF11" s="23">
        <v>62.446795791720596</v>
      </c>
      <c r="AG11" s="23">
        <v>37.265647200555897</v>
      </c>
      <c r="AH11" s="23">
        <v>-7.5875974564648603</v>
      </c>
      <c r="AI11" s="23">
        <v>10.994948647027</v>
      </c>
      <c r="AJ11" s="23">
        <v>29.186164702234301</v>
      </c>
      <c r="AK11" s="23">
        <v>35.789472896445098</v>
      </c>
      <c r="AL11" s="23">
        <v>47.1487246406179</v>
      </c>
      <c r="AM11" s="23">
        <v>43.956840782551097</v>
      </c>
      <c r="AN11" s="23">
        <v>25.4868336833296</v>
      </c>
      <c r="AO11" s="23">
        <v>38.493349818564397</v>
      </c>
      <c r="AP11" s="23">
        <v>62.834158803579399</v>
      </c>
    </row>
    <row r="12" spans="1:42" x14ac:dyDescent="0.25">
      <c r="A12" s="8" t="s">
        <v>99</v>
      </c>
      <c r="B12" s="8" t="s">
        <v>100</v>
      </c>
      <c r="C12" s="21">
        <f>_xll.BDP("NFLX US Equity","OPER_MARGIN","EQY_FUND_YEAR=2011","FUND_PER=C2","EQY_FUND_CRNCY=USD","FILING_STATUS=MR","FA_ADJUSTED=GAAP","Fill=—")</f>
        <v>14.42139967608016</v>
      </c>
      <c r="D12" s="21">
        <f>_xll.BDP("NFLX US Equity","OPER_MARGIN","EQY_FUND_YEAR=2011","FUND_PER=C3","EQY_FUND_CRNCY=USD","FILING_STATUS=MR","FA_ADJUSTED=GAAP","Fill=—")</f>
        <v>13.490585237797134</v>
      </c>
      <c r="E12" s="21">
        <f>_xll.BDP("NFLX US Equity","OPER_MARGIN","EQY_FUND_YEAR=2011","FUND_PER=C4","EQY_FUND_CRNCY=USD","FILING_STATUS=MR","FA_ADJUSTED=GAAP","Fill=—")</f>
        <v>11.735339796796893</v>
      </c>
      <c r="F12" s="21">
        <f>_xll.BDP("NFLX US Equity","OPER_MARGIN","EQY_FUND_YEAR=2012","FUND_PER=C1","EQY_FUND_CRNCY=USD","FILING_STATUS=MR","FA_ADJUSTED=GAAP","Fill=—")</f>
        <v>-0.22246723638207339</v>
      </c>
      <c r="G12" s="21">
        <f>_xll.BDP("NFLX US Equity","OPER_MARGIN","EQY_FUND_YEAR=2012","FUND_PER=C2","EQY_FUND_CRNCY=USD","FILING_STATUS=MR","FA_ADJUSTED=GAAP","Fill=—")</f>
        <v>0.80837816111166072</v>
      </c>
      <c r="H12" s="21">
        <f>_xll.BDP("NFLX US Equity","OPER_MARGIN","EQY_FUND_YEAR=2012","FUND_PER=C3","EQY_FUND_CRNCY=USD","FILING_STATUS=MR","FA_ADJUSTED=GAAP","Fill=—")</f>
        <v>1.1393960232623872</v>
      </c>
      <c r="I12" s="21">
        <f>_xll.BDP("NFLX US Equity","OPER_MARGIN","EQY_FUND_YEAR=2012","FUND_PER=C4","EQY_FUND_CRNCY=USD","FILING_STATUS=MR","FA_ADJUSTED=GAAP","Fill=—")</f>
        <v>1.3850954289523509</v>
      </c>
      <c r="J12" s="21">
        <f>_xll.BDP("NFLX US Equity","OPER_MARGIN","EQY_FUND_YEAR=2013","FUND_PER=C1","EQY_FUND_CRNCY=USD","FILING_STATUS=MR","FA_ADJUSTED=GAAP","Fill=—")</f>
        <v>3.1077355485218674</v>
      </c>
      <c r="K12" s="21">
        <f>_xll.BDP("NFLX US Equity","OPER_MARGIN","EQY_FUND_YEAR=2013","FUND_PER=C2","EQY_FUND_CRNCY=USD","FILING_STATUS=MR","FA_ADJUSTED=GAAP","Fill=—")</f>
        <v>4.2486790204902896</v>
      </c>
      <c r="L12" s="21">
        <f>_xll.BDP("NFLX US Equity","OPER_MARGIN","EQY_FUND_YEAR=2013","FUND_PER=C3","EQY_FUND_CRNCY=USD","FILING_STATUS=MR","FA_ADJUSTED=GAAP","Fill=—")</f>
        <v>4.5652967556977524</v>
      </c>
      <c r="M12" s="21">
        <f>_xll.BDP("NFLX US Equity","OPER_MARGIN","EQY_FUND_YEAR=2013","FUND_PER=C4","EQY_FUND_CRNCY=USD","FILING_STATUS=MR","FA_ADJUSTED=GAAP","Fill=—")</f>
        <v>5.2198825848164914</v>
      </c>
      <c r="N12" s="21">
        <f>_xll.BDP("NFLX US Equity","OPER_MARGIN","EQY_FUND_YEAR=2014","FUND_PER=C1","EQY_FUND_CRNCY=USD","FILING_STATUS=MR","FA_ADJUSTED=GAAP","Fill=—")</f>
        <v>7.6841071767411577</v>
      </c>
      <c r="O12" s="21">
        <f>_xll.BDP("NFLX US Equity","OPER_MARGIN","EQY_FUND_YEAR=2014","FUND_PER=C2","EQY_FUND_CRNCY=USD","FILING_STATUS=MR","FA_ADJUSTED=GAAP","Fill=—")</f>
        <v>8.7031353428620442</v>
      </c>
      <c r="P12" s="21">
        <f>_xll.BDP("NFLX US Equity","OPER_MARGIN","EQY_FUND_YEAR=2014","FUND_PER=C3","EQY_FUND_CRNCY=USD","FILING_STATUS=MR","FA_ADJUSTED=GAAP","Fill=—")</f>
        <v>8.398210117196129</v>
      </c>
      <c r="Q12" s="21">
        <f>_xll.BDP("NFLX US Equity","OPER_MARGIN","EQY_FUND_YEAR=2014","FUND_PER=C4","EQY_FUND_CRNCY=USD","FILING_STATUS=MR","FA_ADJUSTED=GAAP","Fill=—")</f>
        <v>7.3146805177289931</v>
      </c>
      <c r="R12" s="21">
        <f>_xll.BDP("NFLX US Equity","OPER_MARGIN","EQY_FUND_YEAR=2015","FUND_PER=C1","EQY_FUND_CRNCY=USD","FILING_STATUS=MR","FA_ADJUSTED=GAAP","Fill=—")</f>
        <v>6.1950418560715628</v>
      </c>
      <c r="S12" s="21">
        <f>_xll.BDP("NFLX US Equity","OPER_MARGIN","EQY_FUND_YEAR=2015","FUND_PER=C2","EQY_FUND_CRNCY=USD","FILING_STATUS=MR","FA_ADJUSTED=GAAP","Fill=—")</f>
        <v>5.3542721274600868</v>
      </c>
      <c r="T12" s="21">
        <f>_xll.BDP("NFLX US Equity","OPER_MARGIN","EQY_FUND_YEAR=2015","FUND_PER=C3","EQY_FUND_CRNCY=USD","FILING_STATUS=MR","FA_ADJUSTED=GAAP","Fill=—")</f>
        <v>4.9621300929869747</v>
      </c>
      <c r="U12" s="21">
        <f>_xll.BDP("NFLX US Equity","OPER_MARGIN","EQY_FUND_YEAR=2015","FUND_PER=C4","EQY_FUND_CRNCY=USD","FILING_STATUS=MR","FA_ADJUSTED=GAAP","Fill=—")</f>
        <v>4.5110333178897415</v>
      </c>
      <c r="V12" s="21">
        <f>_xll.BDP("NFLX US Equity","OPER_MARGIN","EQY_FUND_YEAR=2016","FUND_PER=C1","EQY_FUND_CRNCY=USD","FILING_STATUS=MR","FA_ADJUSTED=GAAP","Fill=—")</f>
        <v>2.5260300673839575</v>
      </c>
      <c r="W12" s="21">
        <f>_xll.BDP("NFLX US Equity","OPER_MARGIN","EQY_FUND_YEAR=2016","FUND_PER=C2","EQY_FUND_CRNCY=USD","FILING_STATUS=MR","FA_ADJUSTED=GAAP","Fill=—")</f>
        <v>2.9491698129925621</v>
      </c>
      <c r="X12" s="21">
        <f>_xll.BDP("NFLX US Equity","OPER_MARGIN","EQY_FUND_YEAR=2016","FUND_PER=C3","EQY_FUND_CRNCY=USD","FILING_STATUS=MR","FA_ADJUSTED=GAAP","Fill=—")</f>
        <v>3.5550834171765473</v>
      </c>
      <c r="Y12" s="21">
        <f>_xll.BDP("NFLX US Equity","OPER_MARGIN","EQY_FUND_YEAR=2016","FUND_PER=C4","EQY_FUND_CRNCY=USD","FILING_STATUS=MR","FA_ADJUSTED=GAAP","Fill=—")</f>
        <v>4.3008406271370836</v>
      </c>
      <c r="Z12" s="21">
        <f>_xll.BDP("NFLX US Equity","OPER_MARGIN","EQY_FUND_YEAR=2017","FUND_PER=C1","EQY_FUND_CRNCY=USD","FILING_STATUS=MR","FA_ADJUSTED=GAAP","Fill=—")</f>
        <v>9.745072791645411</v>
      </c>
      <c r="AA12" s="21">
        <f>_xll.BDP("NFLX US Equity","OPER_MARGIN","EQY_FUND_YEAR=2017","FUND_PER=C2","EQY_FUND_CRNCY=USD","FILING_STATUS=MR","FA_ADJUSTED=GAAP","Fill=—")</f>
        <v>7.0959419958949486</v>
      </c>
      <c r="AB12" s="21">
        <f>_xll.BDP("NFLX US Equity","OPER_MARGIN","EQY_FUND_YEAR=2017","FUND_PER=C3","EQY_FUND_CRNCY=USD","FILING_STATUS=MR","FA_ADJUSTED=GAAP","Fill=—")</f>
        <v>7.0581534961873231</v>
      </c>
      <c r="AC12" s="21">
        <f>_xll.BDP("NFLX US Equity","OPER_MARGIN","EQY_FUND_YEAR=2017","FUND_PER=C4","EQY_FUND_CRNCY=USD","FILING_STATUS=MR","FA_ADJUSTED=GAAP","Fill=—")</f>
        <v>7.1726638633822617</v>
      </c>
      <c r="AD12" s="21">
        <f>_xll.BDP("NFLX US Equity","OPER_MARGIN","EQY_FUND_YEAR=2018","FUND_PER=C1","EQY_FUND_CRNCY=USD","FILING_STATUS=MR","FA_ADJUSTED=GAAP","Fill=—")</f>
        <v>12.06688398575897</v>
      </c>
      <c r="AE12" s="21">
        <f>_xll.BDP("NFLX US Equity","OPER_MARGIN","EQY_FUND_YEAR=2018","FUND_PER=C2","EQY_FUND_CRNCY=USD","FILING_STATUS=MR","FA_ADJUSTED=GAAP","Fill=—")</f>
        <v>11.945004591143734</v>
      </c>
      <c r="AF12" s="21">
        <f>_xll.BDP("NFLX US Equity","OPER_MARGIN","EQY_FUND_YEAR=2018","FUND_PER=C3","EQY_FUND_CRNCY=USD","FILING_STATUS=MR","FA_ADJUSTED=GAAP","Fill=—")</f>
        <v>11.97035537368081</v>
      </c>
      <c r="AG12" s="21">
        <f>_xll.BDP("NFLX US Equity","OPER_MARGIN","EQY_FUND_YEAR=2018","FUND_PER=C4","EQY_FUND_CRNCY=USD","FILING_STATUS=MR","FA_ADJUSTED=GAAP","Fill=—")</f>
        <v>10.163298361102878</v>
      </c>
      <c r="AH12" s="21">
        <f>_xll.BDP("NFLX US Equity","OPER_MARGIN","EQY_FUND_YEAR=2019","FUND_PER=C1","EQY_FUND_CRNCY=USD","FILING_STATUS=MR","FA_ADJUSTED=GAAP","Fill=—")</f>
        <v>10.154497066130618</v>
      </c>
      <c r="AI12" s="21">
        <f>_xll.BDP("NFLX US Equity","OPER_MARGIN","EQY_FUND_YEAR=2019","FUND_PER=C2","EQY_FUND_CRNCY=USD","FILING_STATUS=MR","FA_ADJUSTED=GAAP","Fill=—")</f>
        <v>12.341059632100777</v>
      </c>
      <c r="AJ12" s="21">
        <f>_xll.BDP("NFLX US Equity","OPER_MARGIN","EQY_FUND_YEAR=2019","FUND_PER=C3","EQY_FUND_CRNCY=USD","FILING_STATUS=MR","FA_ADJUSTED=GAAP","Fill=—")</f>
        <v>14.607802443908247</v>
      </c>
      <c r="AK12" s="21">
        <f>_xll.BDP("NFLX US Equity","OPER_MARGIN","EQY_FUND_YEAR=2019","FUND_PER=C4","EQY_FUND_CRNCY=USD","FILING_STATUS=MR","FA_ADJUSTED=GAAP","Fill=—")</f>
        <v>12.920203645017397</v>
      </c>
      <c r="AL12" s="21">
        <f>_xll.BDP("NFLX US Equity","OPER_MARGIN","EQY_FUND_YEAR=2020","FUND_PER=C1","EQY_FUND_CRNCY=USD","FILING_STATUS=MR","FA_ADJUSTED=GAAP","Fill=—")</f>
        <v>16.614204887189693</v>
      </c>
      <c r="AM12" s="21">
        <f>_xll.BDP("NFLX US Equity","OPER_MARGIN","EQY_FUND_YEAR=2020","FUND_PER=C2","EQY_FUND_CRNCY=USD","FILING_STATUS=MR","FA_ADJUSTED=GAAP","Fill=—")</f>
        <v>19.437634026987464</v>
      </c>
      <c r="AN12" s="21">
        <f>_xll.BDP("NFLX US Equity","OPER_MARGIN","EQY_FUND_YEAR=2020","FUND_PER=C3","EQY_FUND_CRNCY=USD","FILING_STATUS=MR","FA_ADJUSTED=GAAP","Fill=—")</f>
        <v>19.785981767053297</v>
      </c>
      <c r="AO12" s="21">
        <f>_xll.BDP("NFLX US Equity","OPER_MARGIN","EQY_FUND_YEAR=2020","FUND_PER=C4","EQY_FUND_CRNCY=USD","FILING_STATUS=MR","FA_ADJUSTED=GAAP","Fill=—")</f>
        <v>18.344049957321264</v>
      </c>
      <c r="AP12" s="21">
        <f>_xll.BDP("NFLX US Equity","OPER_MARGIN","EQY_FUND_YEAR=2021","FUND_PER=C1","EQY_FUND_CRNCY=USD","FILING_STATUS=MR","FA_ADJUSTED=GAAP","Fill=—")</f>
        <v>27.359749343945971</v>
      </c>
    </row>
    <row r="13" spans="1:42" x14ac:dyDescent="0.25">
      <c r="A13" s="8" t="s">
        <v>107</v>
      </c>
      <c r="B13" s="8" t="s">
        <v>108</v>
      </c>
      <c r="C13" s="21">
        <f>_xll.BDP("NFLX US Equity","PROF_MARGIN","EQY_FUND_YEAR=2011","FUND_PER=C2","EQY_FUND_CRNCY=USD","FILING_STATUS=MR","FA_ADJUSTED=GAAP","Fill=—")</f>
        <v>8.5224358612837499</v>
      </c>
      <c r="D13" s="21">
        <f>_xll.BDP("NFLX US Equity","PROF_MARGIN","EQY_FUND_YEAR=2011","FUND_PER=C3","EQY_FUND_CRNCY=USD","FILING_STATUS=MR","FA_ADJUSTED=GAAP","Fill=—")</f>
        <v>8.1969444422976032</v>
      </c>
      <c r="E13" s="21">
        <f>_xll.BDP("NFLX US Equity","PROF_MARGIN","EQY_FUND_YEAR=2011","FUND_PER=C4","EQY_FUND_CRNCY=USD","FILING_STATUS=MR","FA_ADJUSTED=GAAP","Fill=—")</f>
        <v>7.0563447219399</v>
      </c>
      <c r="F13" s="21">
        <f>_xll.BDP("NFLX US Equity","PROF_MARGIN","EQY_FUND_YEAR=2012","FUND_PER=C1","EQY_FUND_CRNCY=USD","FILING_STATUS=MR","FA_ADJUSTED=GAAP","Fill=—")</f>
        <v>-0.52702315843691172</v>
      </c>
      <c r="G13" s="21">
        <f>_xll.BDP("NFLX US Equity","PROF_MARGIN","EQY_FUND_YEAR=2012","FUND_PER=C2","EQY_FUND_CRNCY=USD","FILING_STATUS=MR","FA_ADJUSTED=GAAP","Fill=—")</f>
        <v>8.9826112564626484E-2</v>
      </c>
      <c r="H13" s="21">
        <f>_xll.BDP("NFLX US Equity","PROF_MARGIN","EQY_FUND_YEAR=2012","FUND_PER=C3","EQY_FUND_CRNCY=USD","FILING_STATUS=MR","FA_ADJUSTED=GAAP","Fill=—")</f>
        <v>0.34740430240803172</v>
      </c>
      <c r="I13" s="21">
        <f>_xll.BDP("NFLX US Equity","PROF_MARGIN","EQY_FUND_YEAR=2012","FUND_PER=C4","EQY_FUND_CRNCY=USD","FILING_STATUS=MR","FA_ADJUSTED=GAAP","Fill=—")</f>
        <v>0.47521917101517702</v>
      </c>
      <c r="J13" s="21">
        <f>_xll.BDP("NFLX US Equity","PROF_MARGIN","EQY_FUND_YEAR=2013","FUND_PER=C1","EQY_FUND_CRNCY=USD","FILING_STATUS=MR","FA_ADJUSTED=GAAP","Fill=—")</f>
        <v>0.26260765790884616</v>
      </c>
      <c r="K13" s="21">
        <f>_xll.BDP("NFLX US Equity","PROF_MARGIN","EQY_FUND_YEAR=2013","FUND_PER=C2","EQY_FUND_CRNCY=USD","FILING_STATUS=MR","FA_ADJUSTED=GAAP","Fill=—")</f>
        <v>1.5363059771187859</v>
      </c>
      <c r="L13" s="21">
        <f>_xll.BDP("NFLX US Equity","PROF_MARGIN","EQY_FUND_YEAR=2013","FUND_PER=C3","EQY_FUND_CRNCY=USD","FILING_STATUS=MR","FA_ADJUSTED=GAAP","Fill=—")</f>
        <v>1.9998549697249302</v>
      </c>
      <c r="M13" s="21">
        <f>_xll.BDP("NFLX US Equity","PROF_MARGIN","EQY_FUND_YEAR=2013","FUND_PER=C4","EQY_FUND_CRNCY=USD","FILING_STATUS=MR","FA_ADJUSTED=GAAP","Fill=—")</f>
        <v>2.5694686690919002</v>
      </c>
      <c r="N13" s="21">
        <f>_xll.BDP("NFLX US Equity","PROF_MARGIN","EQY_FUND_YEAR=2014","FUND_PER=C1","EQY_FUND_CRNCY=USD","FILING_STATUS=MR","FA_ADJUSTED=GAAP","Fill=—")</f>
        <v>4.1819903959486311</v>
      </c>
      <c r="O13" s="21">
        <f>_xll.BDP("NFLX US Equity","PROF_MARGIN","EQY_FUND_YEAR=2014","FUND_PER=C2","EQY_FUND_CRNCY=USD","FILING_STATUS=MR","FA_ADJUSTED=GAAP","Fill=—")</f>
        <v>4.7551499791610485</v>
      </c>
      <c r="P13" s="21">
        <f>_xll.BDP("NFLX US Equity","PROF_MARGIN","EQY_FUND_YEAR=2014","FUND_PER=C3","EQY_FUND_CRNCY=USD","FILING_STATUS=MR","FA_ADJUSTED=GAAP","Fill=—")</f>
        <v>4.5629672969267112</v>
      </c>
      <c r="Q13" s="21">
        <f>_xll.BDP("NFLX US Equity","PROF_MARGIN","EQY_FUND_YEAR=2014","FUND_PER=C4","EQY_FUND_CRNCY=USD","FILING_STATUS=MR","FA_ADJUSTED=GAAP","Fill=—")</f>
        <v>4.8467878828395445</v>
      </c>
      <c r="R13" s="21">
        <f>_xll.BDP("NFLX US Equity","PROF_MARGIN","EQY_FUND_YEAR=2015","FUND_PER=C1","EQY_FUND_CRNCY=USD","FILING_STATUS=MR","FA_ADJUSTED=GAAP","Fill=—")</f>
        <v>1.5062973220886529</v>
      </c>
      <c r="S13" s="21">
        <f>_xll.BDP("NFLX US Equity","PROF_MARGIN","EQY_FUND_YEAR=2015","FUND_PER=C2","EQY_FUND_CRNCY=USD","FILING_STATUS=MR","FA_ADJUSTED=GAAP","Fill=—")</f>
        <v>1.5548089500261513</v>
      </c>
      <c r="T13" s="21">
        <f>_xll.BDP("NFLX US Equity","PROF_MARGIN","EQY_FUND_YEAR=2015","FUND_PER=C3","EQY_FUND_CRNCY=USD","FILING_STATUS=MR","FA_ADJUSTED=GAAP","Fill=—")</f>
        <v>1.6033120682913324</v>
      </c>
      <c r="U13" s="21">
        <f>_xll.BDP("NFLX US Equity","PROF_MARGIN","EQY_FUND_YEAR=2015","FUND_PER=C4","EQY_FUND_CRNCY=USD","FILING_STATUS=MR","FA_ADJUSTED=GAAP","Fill=—")</f>
        <v>1.808994778531962</v>
      </c>
      <c r="V13" s="21">
        <f>_xll.BDP("NFLX US Equity","PROF_MARGIN","EQY_FUND_YEAR=2016","FUND_PER=C1","EQY_FUND_CRNCY=USD","FILING_STATUS=MR","FA_ADJUSTED=GAAP","Fill=—")</f>
        <v>1.4127543243828584</v>
      </c>
      <c r="W13" s="21">
        <f>_xll.BDP("NFLX US Equity","PROF_MARGIN","EQY_FUND_YEAR=2016","FUND_PER=C2","EQY_FUND_CRNCY=USD","FILING_STATUS=MR","FA_ADJUSTED=GAAP","Fill=—")</f>
        <v>1.6838299359577054</v>
      </c>
      <c r="X13" s="21">
        <f>_xll.BDP("NFLX US Equity","PROF_MARGIN","EQY_FUND_YEAR=2016","FUND_PER=C3","EQY_FUND_CRNCY=USD","FILING_STATUS=MR","FA_ADJUSTED=GAAP","Fill=—")</f>
        <v>1.8877315237470427</v>
      </c>
      <c r="Y13" s="21">
        <f>_xll.BDP("NFLX US Equity","PROF_MARGIN","EQY_FUND_YEAR=2016","FUND_PER=C4","EQY_FUND_CRNCY=USD","FILING_STATUS=MR","FA_ADJUSTED=GAAP","Fill=—")</f>
        <v>2.1139734713191038</v>
      </c>
      <c r="Z13" s="21">
        <f>_xll.BDP("NFLX US Equity","PROF_MARGIN","EQY_FUND_YEAR=2017","FUND_PER=C1","EQY_FUND_CRNCY=USD","FILING_STATUS=MR","FA_ADJUSTED=GAAP","Fill=—")</f>
        <v>6.7594490705008461</v>
      </c>
      <c r="AA13" s="21">
        <f>_xll.BDP("NFLX US Equity","PROF_MARGIN","EQY_FUND_YEAR=2017","FUND_PER=C2","EQY_FUND_CRNCY=USD","FILING_STATUS=MR","FA_ADJUSTED=GAAP","Fill=—")</f>
        <v>4.4968194051786954</v>
      </c>
      <c r="AB13" s="21">
        <f>_xll.BDP("NFLX US Equity","PROF_MARGIN","EQY_FUND_YEAR=2017","FUND_PER=C3","EQY_FUND_CRNCY=USD","FILING_STATUS=MR","FA_ADJUSTED=GAAP","Fill=—")</f>
        <v>4.4417017427706904</v>
      </c>
      <c r="AC13" s="21">
        <f>_xll.BDP("NFLX US Equity","PROF_MARGIN","EQY_FUND_YEAR=2017","FUND_PER=C4","EQY_FUND_CRNCY=USD","FILING_STATUS=MR","FA_ADJUSTED=GAAP","Fill=—")</f>
        <v>4.7801481144709532</v>
      </c>
      <c r="AD13" s="21">
        <f>_xll.BDP("NFLX US Equity","PROF_MARGIN","EQY_FUND_YEAR=2018","FUND_PER=C1","EQY_FUND_CRNCY=USD","FILING_STATUS=MR","FA_ADJUSTED=GAAP","Fill=—")</f>
        <v>7.8393755390644762</v>
      </c>
      <c r="AE13" s="21">
        <f>_xll.BDP("NFLX US Equity","PROF_MARGIN","EQY_FUND_YEAR=2018","FUND_PER=C2","EQY_FUND_CRNCY=USD","FILING_STATUS=MR","FA_ADJUSTED=GAAP","Fill=—")</f>
        <v>8.8651660080287833</v>
      </c>
      <c r="AF13" s="21">
        <f>_xll.BDP("NFLX US Equity","PROF_MARGIN","EQY_FUND_YEAR=2018","FUND_PER=C3","EQY_FUND_CRNCY=USD","FILING_STATUS=MR","FA_ADJUSTED=GAAP","Fill=—")</f>
        <v>9.2811371957785909</v>
      </c>
      <c r="AG13" s="21">
        <f>_xll.BDP("NFLX US Equity","PROF_MARGIN","EQY_FUND_YEAR=2018","FUND_PER=C4","EQY_FUND_CRNCY=USD","FILING_STATUS=MR","FA_ADJUSTED=GAAP","Fill=—")</f>
        <v>7.6688353125970874</v>
      </c>
      <c r="AH13" s="21">
        <f>_xll.BDP("NFLX US Equity","PROF_MARGIN","EQY_FUND_YEAR=2019","FUND_PER=C1","EQY_FUND_CRNCY=USD","FILING_STATUS=MR","FA_ADJUSTED=GAAP","Fill=—")</f>
        <v>7.6100997303246727</v>
      </c>
      <c r="AI13" s="21">
        <f>_xll.BDP("NFLX US Equity","PROF_MARGIN","EQY_FUND_YEAR=2019","FUND_PER=C2","EQY_FUND_CRNCY=USD","FILING_STATUS=MR","FA_ADJUSTED=GAAP","Fill=—")</f>
        <v>6.5088412796634687</v>
      </c>
      <c r="AJ13" s="21">
        <f>_xll.BDP("NFLX US Equity","PROF_MARGIN","EQY_FUND_YEAR=2019","FUND_PER=C3","EQY_FUND_CRNCY=USD","FILING_STATUS=MR","FA_ADJUSTED=GAAP","Fill=—")</f>
        <v>8.7136283424897218</v>
      </c>
      <c r="AK13" s="21">
        <f>_xll.BDP("NFLX US Equity","PROF_MARGIN","EQY_FUND_YEAR=2019","FUND_PER=C4","EQY_FUND_CRNCY=USD","FILING_STATUS=MR","FA_ADJUSTED=GAAP","Fill=—")</f>
        <v>9.2621283899885718</v>
      </c>
      <c r="AL13" s="21">
        <f>_xll.BDP("NFLX US Equity","PROF_MARGIN","EQY_FUND_YEAR=2020","FUND_PER=C1","EQY_FUND_CRNCY=USD","FILING_STATUS=MR","FA_ADJUSTED=GAAP","Fill=—")</f>
        <v>12.293775793467439</v>
      </c>
      <c r="AM13" s="21">
        <f>_xll.BDP("NFLX US Equity","PROF_MARGIN","EQY_FUND_YEAR=2020","FUND_PER=C2","EQY_FUND_CRNCY=USD","FILING_STATUS=MR","FA_ADJUSTED=GAAP","Fill=—")</f>
        <v>11.994509556371247</v>
      </c>
      <c r="AN13" s="21">
        <f>_xll.BDP("NFLX US Equity","PROF_MARGIN","EQY_FUND_YEAR=2020","FUND_PER=C3","EQY_FUND_CRNCY=USD","FILING_STATUS=MR","FA_ADJUSTED=GAAP","Fill=—")</f>
        <v>12.092881857693824</v>
      </c>
      <c r="AO13" s="21">
        <f>_xll.BDP("NFLX US Equity","PROF_MARGIN","EQY_FUND_YEAR=2020","FUND_PER=C4","EQY_FUND_CRNCY=USD","FILING_STATUS=MR","FA_ADJUSTED=GAAP","Fill=—")</f>
        <v>11.047322825648974</v>
      </c>
      <c r="AP13" s="21">
        <f>_xll.BDP("NFLX US Equity","PROF_MARGIN","EQY_FUND_YEAR=2021","FUND_PER=C1","EQY_FUND_CRNCY=USD","FILING_STATUS=MR","FA_ADJUSTED=GAAP","Fill=—")</f>
        <v>23.82588037159503</v>
      </c>
    </row>
    <row r="14" spans="1:42" x14ac:dyDescent="0.25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2" x14ac:dyDescent="0.25">
      <c r="A15" s="7" t="s">
        <v>111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 spans="1:42" x14ac:dyDescent="0.25">
      <c r="A16" s="8" t="s">
        <v>112</v>
      </c>
      <c r="B16" s="8" t="s">
        <v>113</v>
      </c>
      <c r="C16" s="21">
        <f>_xll.BDP("NFLX US Equity","EFF_TAX_RATE","EQY_FUND_YEAR=2011","FUND_PER=C2","EQY_FUND_CRNCY=USD","FILING_STATUS=MR","FA_ADJUSTED=GAAP","Fill=—")</f>
        <v>38.56091914437684</v>
      </c>
      <c r="D16" s="21">
        <f>_xll.BDP("NFLX US Equity","EFF_TAX_RATE","EQY_FUND_YEAR=2011","FUND_PER=C3","EQY_FUND_CRNCY=USD","FILING_STATUS=MR","FA_ADJUSTED=GAAP","Fill=—")</f>
        <v>36.929237132747687</v>
      </c>
      <c r="E16" s="21">
        <f>_xll.BDP("NFLX US Equity","EFF_TAX_RATE","EQY_FUND_YEAR=2011","FUND_PER=C4","EQY_FUND_CRNCY=USD","FILING_STATUS=MR","FA_ADJUSTED=GAAP","Fill=—")</f>
        <v>37.10370992595724</v>
      </c>
      <c r="F16" s="21" t="str">
        <f>_xll.BDP("NFLX US Equity","EFF_TAX_RATE","EQY_FUND_YEAR=2012","FUND_PER=C1","EQY_FUND_CRNCY=USD","FILING_STATUS=MR","FA_ADJUSTED=GAAP","Fill=—")</f>
        <v>—</v>
      </c>
      <c r="G16" s="21">
        <f>_xll.BDP("NFLX US Equity","EFF_TAX_RATE","EQY_FUND_YEAR=2012","FUND_PER=C2","EQY_FUND_CRNCY=USD","FILING_STATUS=MR","FA_ADJUSTED=GAAP","Fill=—")</f>
        <v>56.473829201101921</v>
      </c>
      <c r="H16" s="21">
        <f>_xll.BDP("NFLX US Equity","EFF_TAX_RATE","EQY_FUND_YEAR=2012","FUND_PER=C3","EQY_FUND_CRNCY=USD","FILING_STATUS=MR","FA_ADJUSTED=GAAP","Fill=—")</f>
        <v>40.581664098613246</v>
      </c>
      <c r="I16" s="21">
        <f>_xll.BDP("NFLX US Equity","EFF_TAX_RATE","EQY_FUND_YEAR=2012","FUND_PER=C4","EQY_FUND_CRNCY=USD","FILING_STATUS=MR","FA_ADJUSTED=GAAP","Fill=—")</f>
        <v>43.727034120734906</v>
      </c>
      <c r="J16" s="21" t="str">
        <f>_xll.BDP("NFLX US Equity","EFF_TAX_RATE","EQY_FUND_YEAR=2013","FUND_PER=C1","EQY_FUND_CRNCY=USD","FILING_STATUS=MR","FA_ADJUSTED=GAAP","Fill=—")</f>
        <v>—</v>
      </c>
      <c r="K16" s="21">
        <f>_xll.BDP("NFLX US Equity","EFF_TAX_RATE","EQY_FUND_YEAR=2013","FUND_PER=C2","EQY_FUND_CRNCY=USD","FILING_STATUS=MR","FA_ADJUSTED=GAAP","Fill=—")</f>
        <v>32.407154416864586</v>
      </c>
      <c r="L16" s="21">
        <f>_xll.BDP("NFLX US Equity","EFF_TAX_RATE","EQY_FUND_YEAR=2013","FUND_PER=C3","EQY_FUND_CRNCY=USD","FILING_STATUS=MR","FA_ADJUSTED=GAAP","Fill=—")</f>
        <v>34.086741526733292</v>
      </c>
      <c r="M16" s="21">
        <f>_xll.BDP("NFLX US Equity","EFF_TAX_RATE","EQY_FUND_YEAR=2013","FUND_PER=C4","EQY_FUND_CRNCY=USD","FILING_STATUS=MR","FA_ADJUSTED=GAAP","Fill=—")</f>
        <v>34.295684908285303</v>
      </c>
      <c r="N16" s="21">
        <f>_xll.BDP("NFLX US Equity","EFF_TAX_RATE","EQY_FUND_YEAR=2014","FUND_PER=C1","EQY_FUND_CRNCY=USD","FILING_STATUS=MR","FA_ADJUSTED=GAAP","Fill=—")</f>
        <v>40.282649757150566</v>
      </c>
      <c r="O16" s="21">
        <f>_xll.BDP("NFLX US Equity","EFF_TAX_RATE","EQY_FUND_YEAR=2014","FUND_PER=C2","EQY_FUND_CRNCY=USD","FILING_STATUS=MR","FA_ADJUSTED=GAAP","Fill=—")</f>
        <v>39.833556292289501</v>
      </c>
      <c r="P16" s="21">
        <f>_xll.BDP("NFLX US Equity","EFF_TAX_RATE","EQY_FUND_YEAR=2014","FUND_PER=C3","EQY_FUND_CRNCY=USD","FILING_STATUS=MR","FA_ADJUSTED=GAAP","Fill=—")</f>
        <v>39.632651314945058</v>
      </c>
      <c r="Q16" s="21">
        <f>_xll.BDP("NFLX US Equity","EFF_TAX_RATE","EQY_FUND_YEAR=2014","FUND_PER=C4","EQY_FUND_CRNCY=USD","FILING_STATUS=MR","FA_ADJUSTED=GAAP","Fill=—")</f>
        <v>23.634037364505719</v>
      </c>
      <c r="R16" s="21">
        <f>_xll.BDP("NFLX US Equity","EFF_TAX_RATE","EQY_FUND_YEAR=2015","FUND_PER=C1","EQY_FUND_CRNCY=USD","FILING_STATUS=MR","FA_ADJUSTED=GAAP","Fill=—")</f>
        <v>38.333420080154063</v>
      </c>
      <c r="S16" s="21">
        <f>_xll.BDP("NFLX US Equity","EFF_TAX_RATE","EQY_FUND_YEAR=2015","FUND_PER=C2","EQY_FUND_CRNCY=USD","FILING_STATUS=MR","FA_ADJUSTED=GAAP","Fill=—")</f>
        <v>36.602209944751387</v>
      </c>
      <c r="T16" s="21">
        <f>_xll.BDP("NFLX US Equity","EFF_TAX_RATE","EQY_FUND_YEAR=2015","FUND_PER=C3","EQY_FUND_CRNCY=USD","FILING_STATUS=MR","FA_ADJUSTED=GAAP","Fill=—")</f>
        <v>34.411575350380517</v>
      </c>
      <c r="U16" s="21">
        <f>_xll.BDP("NFLX US Equity","EFF_TAX_RATE","EQY_FUND_YEAR=2015","FUND_PER=C4","EQY_FUND_CRNCY=USD","FILING_STATUS=MR","FA_ADJUSTED=GAAP","Fill=—")</f>
        <v>13.56309687422913</v>
      </c>
      <c r="V16" s="21">
        <f>_xll.BDP("NFLX US Equity","EFF_TAX_RATE","EQY_FUND_YEAR=2016","FUND_PER=C1","EQY_FUND_CRNCY=USD","FILING_STATUS=MR","FA_ADJUSTED=GAAP","Fill=—")</f>
        <v>30.645201735249127</v>
      </c>
      <c r="W16" s="21">
        <f>_xll.BDP("NFLX US Equity","EFF_TAX_RATE","EQY_FUND_YEAR=2016","FUND_PER=C2","EQY_FUND_CRNCY=USD","FILING_STATUS=MR","FA_ADJUSTED=GAAP","Fill=—")</f>
        <v>24.912469405450494</v>
      </c>
      <c r="X16" s="21">
        <f>_xll.BDP("NFLX US Equity","EFF_TAX_RATE","EQY_FUND_YEAR=2016","FUND_PER=C3","EQY_FUND_CRNCY=USD","FILING_STATUS=MR","FA_ADJUSTED=GAAP","Fill=—")</f>
        <v>29.551568979898729</v>
      </c>
      <c r="Y16" s="21">
        <f>_xll.BDP("NFLX US Equity","EFF_TAX_RATE","EQY_FUND_YEAR=2016","FUND_PER=C4","EQY_FUND_CRNCY=USD","FILING_STATUS=MR","FA_ADJUSTED=GAAP","Fill=—")</f>
        <v>28.340505245540427</v>
      </c>
      <c r="Z16" s="21">
        <f>_xll.BDP("NFLX US Equity","EFF_TAX_RATE","EQY_FUND_YEAR=2017","FUND_PER=C1","EQY_FUND_CRNCY=USD","FILING_STATUS=MR","FA_ADJUSTED=GAAP","Fill=—")</f>
        <v>20.362658182598125</v>
      </c>
      <c r="AA16" s="21" t="str">
        <f>_xll.BDP("NFLX US Equity","EFF_TAX_RATE","EQY_FUND_YEAR=2017","FUND_PER=C2","EQY_FUND_CRNCY=USD","FILING_STATUS=MR","FA_ADJUSTED=GAAP","Fill=—")</f>
        <v>—</v>
      </c>
      <c r="AB16" s="21" t="str">
        <f>_xll.BDP("NFLX US Equity","EFF_TAX_RATE","EQY_FUND_YEAR=2017","FUND_PER=C3","EQY_FUND_CRNCY=USD","FILING_STATUS=MR","FA_ADJUSTED=GAAP","Fill=—")</f>
        <v>—</v>
      </c>
      <c r="AC16" s="21" t="str">
        <f>_xll.BDP("NFLX US Equity","EFF_TAX_RATE","EQY_FUND_YEAR=2017","FUND_PER=C4","EQY_FUND_CRNCY=USD","FILING_STATUS=MR","FA_ADJUSTED=GAAP","Fill=—")</f>
        <v>—</v>
      </c>
      <c r="AD16" s="21">
        <f>_xll.BDP("NFLX US Equity","EFF_TAX_RATE","EQY_FUND_YEAR=2018","FUND_PER=C1","EQY_FUND_CRNCY=USD","FILING_STATUS=MR","FA_ADJUSTED=GAAP","Fill=—")</f>
        <v>3.1680551105414936</v>
      </c>
      <c r="AE16" s="21">
        <f>_xll.BDP("NFLX US Equity","EFF_TAX_RATE","EQY_FUND_YEAR=2018","FUND_PER=C2","EQY_FUND_CRNCY=USD","FILING_STATUS=MR","FA_ADJUSTED=GAAP","Fill=—")</f>
        <v>7.3846690431334228</v>
      </c>
      <c r="AF16" s="21">
        <f>_xll.BDP("NFLX US Equity","EFF_TAX_RATE","EQY_FUND_YEAR=2018","FUND_PER=C3","EQY_FUND_CRNCY=USD","FILING_STATUS=MR","FA_ADJUSTED=GAAP","Fill=—")</f>
        <v>2.6876543499822056</v>
      </c>
      <c r="AG16" s="21">
        <f>_xll.BDP("NFLX US Equity","EFF_TAX_RATE","EQY_FUND_YEAR=2018","FUND_PER=C4","EQY_FUND_CRNCY=USD","FILING_STATUS=MR","FA_ADJUSTED=GAAP","Fill=—")</f>
        <v>1.2406458272521357</v>
      </c>
      <c r="AH16" s="21">
        <f>_xll.BDP("NFLX US Equity","EFF_TAX_RATE","EQY_FUND_YEAR=2019","FUND_PER=C1","EQY_FUND_CRNCY=USD","FILING_STATUS=MR","FA_ADJUSTED=GAAP","Fill=—")</f>
        <v>13.913611353679013</v>
      </c>
      <c r="AI16" s="21">
        <f>_xll.BDP("NFLX US Equity","EFF_TAX_RATE","EQY_FUND_YEAR=2019","FUND_PER=C2","EQY_FUND_CRNCY=USD","FILING_STATUS=MR","FA_ADJUSTED=GAAP","Fill=—")</f>
        <v>31.743386169946973</v>
      </c>
      <c r="AJ16" s="21">
        <f>_xll.BDP("NFLX US Equity","EFF_TAX_RATE","EQY_FUND_YEAR=2019","FUND_PER=C3","EQY_FUND_CRNCY=USD","FILING_STATUS=MR","FA_ADJUSTED=GAAP","Fill=—")</f>
        <v>33.088643513663563</v>
      </c>
      <c r="AK16" s="21">
        <f>_xll.BDP("NFLX US Equity","EFF_TAX_RATE","EQY_FUND_YEAR=2019","FUND_PER=C4","EQY_FUND_CRNCY=USD","FILING_STATUS=MR","FA_ADJUSTED=GAAP","Fill=—")</f>
        <v>9.4710534367876331</v>
      </c>
      <c r="AL16" s="21">
        <f>_xll.BDP("NFLX US Equity","EFF_TAX_RATE","EQY_FUND_YEAR=2020","FUND_PER=C1","EQY_FUND_CRNCY=USD","FILING_STATUS=MR","FA_ADJUSTED=GAAP","Fill=—")</f>
        <v>10.906680739316723</v>
      </c>
      <c r="AM16" s="21">
        <f>_xll.BDP("NFLX US Equity","EFF_TAX_RATE","EQY_FUND_YEAR=2020","FUND_PER=C2","EQY_FUND_CRNCY=USD","FILING_STATUS=MR","FA_ADJUSTED=GAAP","Fill=—")</f>
        <v>21.960969100264705</v>
      </c>
      <c r="AN16" s="21">
        <f>_xll.BDP("NFLX US Equity","EFF_TAX_RATE","EQY_FUND_YEAR=2020","FUND_PER=C3","EQY_FUND_CRNCY=USD","FILING_STATUS=MR","FA_ADJUSTED=GAAP","Fill=—")</f>
        <v>17.59023250494257</v>
      </c>
      <c r="AO16" s="21">
        <f>_xll.BDP("NFLX US Equity","EFF_TAX_RATE","EQY_FUND_YEAR=2020","FUND_PER=C4","EQY_FUND_CRNCY=USD","FILING_STATUS=MR","FA_ADJUSTED=GAAP","Fill=—")</f>
        <v>13.688847324877655</v>
      </c>
      <c r="AP16" s="21">
        <f>_xll.BDP("NFLX US Equity","EFF_TAX_RATE","EQY_FUND_YEAR=2021","FUND_PER=C1","EQY_FUND_CRNCY=USD","FILING_STATUS=MR","FA_ADJUSTED=GAAP","Fill=—")</f>
        <v>16.111412031052318</v>
      </c>
    </row>
    <row r="17" spans="1:42" x14ac:dyDescent="0.25">
      <c r="A17" s="8" t="s">
        <v>114</v>
      </c>
      <c r="B17" s="8" t="s">
        <v>115</v>
      </c>
      <c r="C17" s="21">
        <f>_xll.BDP("NFLX US Equity","DVD_PAYOUT_RATIO","EQY_FUND_YEAR=2011","FUND_PER=C2","EQY_FUND_CRNCY=USD","FILING_STATUS=MR","FA_ADJUSTED=GAAP","Fill=—")</f>
        <v>0</v>
      </c>
      <c r="D17" s="21">
        <f>_xll.BDP("NFLX US Equity","DVD_PAYOUT_RATIO","EQY_FUND_YEAR=2011","FUND_PER=C3","EQY_FUND_CRNCY=USD","FILING_STATUS=MR","FA_ADJUSTED=GAAP","Fill=—")</f>
        <v>0</v>
      </c>
      <c r="E17" s="21">
        <f>_xll.BDP("NFLX US Equity","DVD_PAYOUT_RATIO","EQY_FUND_YEAR=2011","FUND_PER=C4","EQY_FUND_CRNCY=USD","FILING_STATUS=MR","FA_ADJUSTED=GAAP","Fill=—")</f>
        <v>0</v>
      </c>
      <c r="F17" s="21" t="str">
        <f>_xll.BDP("NFLX US Equity","DVD_PAYOUT_RATIO","EQY_FUND_YEAR=2012","FUND_PER=C1","EQY_FUND_CRNCY=USD","FILING_STATUS=MR","FA_ADJUSTED=GAAP","Fill=—")</f>
        <v>—</v>
      </c>
      <c r="G17" s="21">
        <f>_xll.BDP("NFLX US Equity","DVD_PAYOUT_RATIO","EQY_FUND_YEAR=2012","FUND_PER=C2","EQY_FUND_CRNCY=USD","FILING_STATUS=MR","FA_ADJUSTED=GAAP","Fill=—")</f>
        <v>0</v>
      </c>
      <c r="H17" s="21">
        <f>_xll.BDP("NFLX US Equity","DVD_PAYOUT_RATIO","EQY_FUND_YEAR=2012","FUND_PER=C3","EQY_FUND_CRNCY=USD","FILING_STATUS=MR","FA_ADJUSTED=GAAP","Fill=—")</f>
        <v>0</v>
      </c>
      <c r="I17" s="21">
        <f>_xll.BDP("NFLX US Equity","DVD_PAYOUT_RATIO","EQY_FUND_YEAR=2012","FUND_PER=C4","EQY_FUND_CRNCY=USD","FILING_STATUS=MR","FA_ADJUSTED=GAAP","Fill=—")</f>
        <v>0</v>
      </c>
      <c r="J17" s="21">
        <f>_xll.BDP("NFLX US Equity","DVD_PAYOUT_RATIO","EQY_FUND_YEAR=2013","FUND_PER=C1","EQY_FUND_CRNCY=USD","FILING_STATUS=MR","FA_ADJUSTED=GAAP","Fill=—")</f>
        <v>0</v>
      </c>
      <c r="K17" s="21">
        <f>_xll.BDP("NFLX US Equity","DVD_PAYOUT_RATIO","EQY_FUND_YEAR=2013","FUND_PER=C2","EQY_FUND_CRNCY=USD","FILING_STATUS=MR","FA_ADJUSTED=GAAP","Fill=—")</f>
        <v>0</v>
      </c>
      <c r="L17" s="21">
        <f>_xll.BDP("NFLX US Equity","DVD_PAYOUT_RATIO","EQY_FUND_YEAR=2013","FUND_PER=C3","EQY_FUND_CRNCY=USD","FILING_STATUS=MR","FA_ADJUSTED=GAAP","Fill=—")</f>
        <v>0</v>
      </c>
      <c r="M17" s="21">
        <f>_xll.BDP("NFLX US Equity","DVD_PAYOUT_RATIO","EQY_FUND_YEAR=2013","FUND_PER=C4","EQY_FUND_CRNCY=USD","FILING_STATUS=MR","FA_ADJUSTED=GAAP","Fill=—")</f>
        <v>0</v>
      </c>
      <c r="N17" s="21">
        <f>_xll.BDP("NFLX US Equity","DVD_PAYOUT_RATIO","EQY_FUND_YEAR=2014","FUND_PER=C1","EQY_FUND_CRNCY=USD","FILING_STATUS=MR","FA_ADJUSTED=GAAP","Fill=—")</f>
        <v>0</v>
      </c>
      <c r="O17" s="21">
        <f>_xll.BDP("NFLX US Equity","DVD_PAYOUT_RATIO","EQY_FUND_YEAR=2014","FUND_PER=C2","EQY_FUND_CRNCY=USD","FILING_STATUS=MR","FA_ADJUSTED=GAAP","Fill=—")</f>
        <v>0</v>
      </c>
      <c r="P17" s="21">
        <f>_xll.BDP("NFLX US Equity","DVD_PAYOUT_RATIO","EQY_FUND_YEAR=2014","FUND_PER=C3","EQY_FUND_CRNCY=USD","FILING_STATUS=MR","FA_ADJUSTED=GAAP","Fill=—")</f>
        <v>0</v>
      </c>
      <c r="Q17" s="21">
        <f>_xll.BDP("NFLX US Equity","DVD_PAYOUT_RATIO","EQY_FUND_YEAR=2014","FUND_PER=C4","EQY_FUND_CRNCY=USD","FILING_STATUS=MR","FA_ADJUSTED=GAAP","Fill=—")</f>
        <v>0</v>
      </c>
      <c r="R17" s="21">
        <f>_xll.BDP("NFLX US Equity","DVD_PAYOUT_RATIO","EQY_FUND_YEAR=2015","FUND_PER=C1","EQY_FUND_CRNCY=USD","FILING_STATUS=MR","FA_ADJUSTED=GAAP","Fill=—")</f>
        <v>0</v>
      </c>
      <c r="S17" s="21">
        <f>_xll.BDP("NFLX US Equity","DVD_PAYOUT_RATIO","EQY_FUND_YEAR=2015","FUND_PER=C2","EQY_FUND_CRNCY=USD","FILING_STATUS=MR","FA_ADJUSTED=GAAP","Fill=—")</f>
        <v>0</v>
      </c>
      <c r="T17" s="21">
        <f>_xll.BDP("NFLX US Equity","DVD_PAYOUT_RATIO","EQY_FUND_YEAR=2015","FUND_PER=C3","EQY_FUND_CRNCY=USD","FILING_STATUS=MR","FA_ADJUSTED=GAAP","Fill=—")</f>
        <v>0</v>
      </c>
      <c r="U17" s="21">
        <f>_xll.BDP("NFLX US Equity","DVD_PAYOUT_RATIO","EQY_FUND_YEAR=2015","FUND_PER=C4","EQY_FUND_CRNCY=USD","FILING_STATUS=MR","FA_ADJUSTED=GAAP","Fill=—")</f>
        <v>0</v>
      </c>
      <c r="V17" s="21">
        <f>_xll.BDP("NFLX US Equity","DVD_PAYOUT_RATIO","EQY_FUND_YEAR=2016","FUND_PER=C1","EQY_FUND_CRNCY=USD","FILING_STATUS=MR","FA_ADJUSTED=GAAP","Fill=—")</f>
        <v>0</v>
      </c>
      <c r="W17" s="21">
        <f>_xll.BDP("NFLX US Equity","DVD_PAYOUT_RATIO","EQY_FUND_YEAR=2016","FUND_PER=C2","EQY_FUND_CRNCY=USD","FILING_STATUS=MR","FA_ADJUSTED=GAAP","Fill=—")</f>
        <v>0</v>
      </c>
      <c r="X17" s="21">
        <f>_xll.BDP("NFLX US Equity","DVD_PAYOUT_RATIO","EQY_FUND_YEAR=2016","FUND_PER=C3","EQY_FUND_CRNCY=USD","FILING_STATUS=MR","FA_ADJUSTED=GAAP","Fill=—")</f>
        <v>0</v>
      </c>
      <c r="Y17" s="21">
        <f>_xll.BDP("NFLX US Equity","DVD_PAYOUT_RATIO","EQY_FUND_YEAR=2016","FUND_PER=C4","EQY_FUND_CRNCY=USD","FILING_STATUS=MR","FA_ADJUSTED=GAAP","Fill=—")</f>
        <v>0</v>
      </c>
      <c r="Z17" s="21">
        <f>_xll.BDP("NFLX US Equity","DVD_PAYOUT_RATIO","EQY_FUND_YEAR=2017","FUND_PER=C1","EQY_FUND_CRNCY=USD","FILING_STATUS=MR","FA_ADJUSTED=GAAP","Fill=—")</f>
        <v>0</v>
      </c>
      <c r="AA17" s="21">
        <f>_xll.BDP("NFLX US Equity","DVD_PAYOUT_RATIO","EQY_FUND_YEAR=2017","FUND_PER=C2","EQY_FUND_CRNCY=USD","FILING_STATUS=MR","FA_ADJUSTED=GAAP","Fill=—")</f>
        <v>0</v>
      </c>
      <c r="AB17" s="21">
        <f>_xll.BDP("NFLX US Equity","DVD_PAYOUT_RATIO","EQY_FUND_YEAR=2017","FUND_PER=C3","EQY_FUND_CRNCY=USD","FILING_STATUS=MR","FA_ADJUSTED=GAAP","Fill=—")</f>
        <v>0</v>
      </c>
      <c r="AC17" s="21">
        <f>_xll.BDP("NFLX US Equity","DVD_PAYOUT_RATIO","EQY_FUND_YEAR=2017","FUND_PER=C4","EQY_FUND_CRNCY=USD","FILING_STATUS=MR","FA_ADJUSTED=GAAP","Fill=—")</f>
        <v>0</v>
      </c>
      <c r="AD17" s="21">
        <f>_xll.BDP("NFLX US Equity","DVD_PAYOUT_RATIO","EQY_FUND_YEAR=2018","FUND_PER=C1","EQY_FUND_CRNCY=USD","FILING_STATUS=MR","FA_ADJUSTED=GAAP","Fill=—")</f>
        <v>0</v>
      </c>
      <c r="AE17" s="21">
        <f>_xll.BDP("NFLX US Equity","DVD_PAYOUT_RATIO","EQY_FUND_YEAR=2018","FUND_PER=C2","EQY_FUND_CRNCY=USD","FILING_STATUS=MR","FA_ADJUSTED=GAAP","Fill=—")</f>
        <v>0</v>
      </c>
      <c r="AF17" s="21">
        <f>_xll.BDP("NFLX US Equity","DVD_PAYOUT_RATIO","EQY_FUND_YEAR=2018","FUND_PER=C3","EQY_FUND_CRNCY=USD","FILING_STATUS=MR","FA_ADJUSTED=GAAP","Fill=—")</f>
        <v>0</v>
      </c>
      <c r="AG17" s="21">
        <f>_xll.BDP("NFLX US Equity","DVD_PAYOUT_RATIO","EQY_FUND_YEAR=2018","FUND_PER=C4","EQY_FUND_CRNCY=USD","FILING_STATUS=MR","FA_ADJUSTED=GAAP","Fill=—")</f>
        <v>0</v>
      </c>
      <c r="AH17" s="21">
        <f>_xll.BDP("NFLX US Equity","DVD_PAYOUT_RATIO","EQY_FUND_YEAR=2019","FUND_PER=C1","EQY_FUND_CRNCY=USD","FILING_STATUS=MR","FA_ADJUSTED=GAAP","Fill=—")</f>
        <v>0</v>
      </c>
      <c r="AI17" s="21">
        <f>_xll.BDP("NFLX US Equity","DVD_PAYOUT_RATIO","EQY_FUND_YEAR=2019","FUND_PER=C2","EQY_FUND_CRNCY=USD","FILING_STATUS=MR","FA_ADJUSTED=GAAP","Fill=—")</f>
        <v>0</v>
      </c>
      <c r="AJ17" s="21">
        <f>_xll.BDP("NFLX US Equity","DVD_PAYOUT_RATIO","EQY_FUND_YEAR=2019","FUND_PER=C3","EQY_FUND_CRNCY=USD","FILING_STATUS=MR","FA_ADJUSTED=GAAP","Fill=—")</f>
        <v>0</v>
      </c>
      <c r="AK17" s="21">
        <f>_xll.BDP("NFLX US Equity","DVD_PAYOUT_RATIO","EQY_FUND_YEAR=2019","FUND_PER=C4","EQY_FUND_CRNCY=USD","FILING_STATUS=MR","FA_ADJUSTED=GAAP","Fill=—")</f>
        <v>0</v>
      </c>
      <c r="AL17" s="21">
        <f>_xll.BDP("NFLX US Equity","DVD_PAYOUT_RATIO","EQY_FUND_YEAR=2020","FUND_PER=C1","EQY_FUND_CRNCY=USD","FILING_STATUS=MR","FA_ADJUSTED=GAAP","Fill=—")</f>
        <v>0</v>
      </c>
      <c r="AM17" s="21">
        <f>_xll.BDP("NFLX US Equity","DVD_PAYOUT_RATIO","EQY_FUND_YEAR=2020","FUND_PER=C2","EQY_FUND_CRNCY=USD","FILING_STATUS=MR","FA_ADJUSTED=GAAP","Fill=—")</f>
        <v>0</v>
      </c>
      <c r="AN17" s="21">
        <f>_xll.BDP("NFLX US Equity","DVD_PAYOUT_RATIO","EQY_FUND_YEAR=2020","FUND_PER=C3","EQY_FUND_CRNCY=USD","FILING_STATUS=MR","FA_ADJUSTED=GAAP","Fill=—")</f>
        <v>0</v>
      </c>
      <c r="AO17" s="21">
        <f>_xll.BDP("NFLX US Equity","DVD_PAYOUT_RATIO","EQY_FUND_YEAR=2020","FUND_PER=C4","EQY_FUND_CRNCY=USD","FILING_STATUS=MR","FA_ADJUSTED=GAAP","Fill=—")</f>
        <v>0</v>
      </c>
      <c r="AP17" s="21">
        <f>_xll.BDP("NFLX US Equity","DVD_PAYOUT_RATIO","EQY_FUND_YEAR=2021","FUND_PER=C1","EQY_FUND_CRNCY=USD","FILING_STATUS=MR","FA_ADJUSTED=GAAP","Fill=—")</f>
        <v>0</v>
      </c>
    </row>
    <row r="18" spans="1:42" x14ac:dyDescent="0.25">
      <c r="A18" s="15" t="s">
        <v>118</v>
      </c>
      <c r="B18" s="15"/>
      <c r="C18" s="15" t="s">
        <v>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20.25" x14ac:dyDescent="0.25">
      <c r="A2" s="16" t="s">
        <v>194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x14ac:dyDescent="0.25">
      <c r="A4" s="2" t="s">
        <v>2</v>
      </c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</row>
    <row r="5" spans="1:42" x14ac:dyDescent="0.25">
      <c r="A5" s="4" t="s">
        <v>43</v>
      </c>
      <c r="B5" s="4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60</v>
      </c>
      <c r="T5" s="5" t="s">
        <v>61</v>
      </c>
      <c r="U5" s="5" t="s">
        <v>62</v>
      </c>
      <c r="V5" s="5" t="s">
        <v>63</v>
      </c>
      <c r="W5" s="5" t="s">
        <v>64</v>
      </c>
      <c r="X5" s="5" t="s">
        <v>65</v>
      </c>
      <c r="Y5" s="5" t="s">
        <v>66</v>
      </c>
      <c r="Z5" s="5" t="s">
        <v>67</v>
      </c>
      <c r="AA5" s="5" t="s">
        <v>68</v>
      </c>
      <c r="AB5" s="5" t="s">
        <v>69</v>
      </c>
      <c r="AC5" s="5" t="s">
        <v>70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75</v>
      </c>
      <c r="AI5" s="5" t="s">
        <v>76</v>
      </c>
      <c r="AJ5" s="5" t="s">
        <v>77</v>
      </c>
      <c r="AK5" s="5" t="s">
        <v>78</v>
      </c>
      <c r="AL5" s="5" t="s">
        <v>79</v>
      </c>
      <c r="AM5" s="5" t="s">
        <v>80</v>
      </c>
      <c r="AN5" s="5" t="s">
        <v>81</v>
      </c>
      <c r="AO5" s="5" t="s">
        <v>82</v>
      </c>
      <c r="AP5" s="5" t="s">
        <v>83</v>
      </c>
    </row>
    <row r="6" spans="1:42" x14ac:dyDescent="0.25">
      <c r="A6" s="8" t="s">
        <v>193</v>
      </c>
      <c r="B6" s="8" t="s">
        <v>192</v>
      </c>
      <c r="C6" s="21">
        <f>_xll.BDH("NFLX US Equity","CASH_RATIO","FQ2 2011","FQ2 2011","Currency=USD","Period=FQ","BEST_FPERIOD_OVERRIDE=FQ","FILING_STATUS=MR","Sort=A","Dates=H","DateFormat=P","Fill=—","Direction=H","UseDPDF=Y")</f>
        <v>0.51800000000000002</v>
      </c>
      <c r="D6" s="21">
        <f>_xll.BDH("NFLX US Equity","CASH_RATIO","FQ3 2011","FQ3 2011","Currency=USD","Period=FQ","BEST_FPERIOD_OVERRIDE=FQ","FILING_STATUS=MR","Sort=A","Dates=H","DateFormat=P","Fill=—","Direction=H","UseDPDF=Y")</f>
        <v>0.37790000000000001</v>
      </c>
      <c r="E6" s="21">
        <f>_xll.BDH("NFLX US Equity","CASH_RATIO","FQ4 2011","FQ4 2011","Currency=USD","Period=FQ","BEST_FPERIOD_OVERRIDE=FQ","FILING_STATUS=MR","Sort=A","Dates=H","DateFormat=P","Fill=—","Direction=H","UseDPDF=Y")</f>
        <v>0.6512</v>
      </c>
      <c r="F6" s="21">
        <f>_xll.BDH("NFLX US Equity","CASH_RATIO","FQ1 2012","FQ1 2012","Currency=USD","Period=FQ","BEST_FPERIOD_OVERRIDE=FQ","FILING_STATUS=MR","Sort=A","Dates=H","DateFormat=P","Fill=—","Direction=H","UseDPDF=Y")</f>
        <v>0.55610000000000004</v>
      </c>
      <c r="G6" s="21">
        <f>_xll.BDH("NFLX US Equity","CASH_RATIO","FQ2 2012","FQ2 2012","Currency=USD","Period=FQ","BEST_FPERIOD_OVERRIDE=FQ","FILING_STATUS=MR","Sort=A","Dates=H","DateFormat=P","Fill=—","Direction=H","UseDPDF=Y")</f>
        <v>0.54259999999999997</v>
      </c>
      <c r="H6" s="21">
        <f>_xll.BDH("NFLX US Equity","CASH_RATIO","FQ3 2012","FQ3 2012","Currency=USD","Period=FQ","BEST_FPERIOD_OVERRIDE=FQ","FILING_STATUS=MR","Sort=A","Dates=H","DateFormat=P","Fill=—","Direction=H","UseDPDF=Y")</f>
        <v>0.4995</v>
      </c>
      <c r="I6" s="21">
        <f>_xll.BDH("NFLX US Equity","CASH_RATIO","FQ4 2012","FQ4 2012","Currency=USD","Period=FQ","BEST_FPERIOD_OVERRIDE=FQ","FILING_STATUS=MR","Sort=A","Dates=H","DateFormat=P","Fill=—","Direction=H","UseDPDF=Y")</f>
        <v>0.44640000000000002</v>
      </c>
      <c r="J6" s="21">
        <f>_xll.BDH("NFLX US Equity","CASH_RATIO","FQ1 2013","FQ1 2013","Currency=USD","Period=FQ","BEST_FPERIOD_OVERRIDE=FQ","FILING_STATUS=MR","Sort=A","Dates=H","DateFormat=P","Fill=—","Direction=H","UseDPDF=Y")</f>
        <v>0.60750000000000004</v>
      </c>
      <c r="K6" s="21">
        <f>_xll.BDH("NFLX US Equity","CASH_RATIO","FQ2 2013","FQ2 2013","Currency=USD","Period=FQ","BEST_FPERIOD_OVERRIDE=FQ","FILING_STATUS=MR","Sort=A","Dates=H","DateFormat=P","Fill=—","Direction=H","UseDPDF=Y")</f>
        <v>0.64670000000000005</v>
      </c>
      <c r="L6" s="21">
        <f>_xll.BDH("NFLX US Equity","CASH_RATIO","FQ3 2013","FQ3 2013","Currency=USD","Period=FQ","BEST_FPERIOD_OVERRIDE=FQ","FILING_STATUS=MR","Sort=A","Dates=H","DateFormat=P","Fill=—","Direction=H","UseDPDF=Y")</f>
        <v>0.58650000000000002</v>
      </c>
      <c r="M6" s="21">
        <f>_xll.BDH("NFLX US Equity","CASH_RATIO","FQ4 2013","FQ4 2013","Currency=USD","Period=FQ","BEST_FPERIOD_OVERRIDE=FQ","FILING_STATUS=MR","Sort=A","Dates=H","DateFormat=P","Fill=—","Direction=H","UseDPDF=Y")</f>
        <v>0.55720000000000003</v>
      </c>
      <c r="N6" s="21">
        <f>_xll.BDH("NFLX US Equity","CASH_RATIO","FQ1 2014","FQ1 2014","Currency=USD","Period=FQ","BEST_FPERIOD_OVERRIDE=FQ","FILING_STATUS=MR","Sort=A","Dates=H","DateFormat=P","Fill=—","Direction=H","UseDPDF=Y")</f>
        <v>0.73699999999999999</v>
      </c>
      <c r="O6" s="21">
        <f>_xll.BDH("NFLX US Equity","CASH_RATIO","FQ2 2014","FQ2 2014","Currency=USD","Period=FQ","BEST_FPERIOD_OVERRIDE=FQ","FILING_STATUS=MR","Sort=A","Dates=H","DateFormat=P","Fill=—","Direction=H","UseDPDF=Y")</f>
        <v>0.73419999999999996</v>
      </c>
      <c r="P6" s="21">
        <f>_xll.BDH("NFLX US Equity","CASH_RATIO","FQ3 2014","FQ3 2014","Currency=USD","Period=FQ","BEST_FPERIOD_OVERRIDE=FQ","FILING_STATUS=MR","Sort=A","Dates=H","DateFormat=P","Fill=—","Direction=H","UseDPDF=Y")</f>
        <v>0.65400000000000003</v>
      </c>
      <c r="Q6" s="21">
        <f>_xll.BDH("NFLX US Equity","CASH_RATIO","FQ4 2014","FQ4 2014","Currency=USD","Period=FQ","BEST_FPERIOD_OVERRIDE=FQ","FILING_STATUS=MR","Sort=A","Dates=H","DateFormat=P","Fill=—","Direction=H","UseDPDF=Y")</f>
        <v>0.60399999999999998</v>
      </c>
      <c r="R6" s="21">
        <f>_xll.BDH("NFLX US Equity","CASH_RATIO","FQ1 2015","FQ1 2015","Currency=USD","Period=FQ","BEST_FPERIOD_OVERRIDE=FQ","FILING_STATUS=MR","Sort=A","Dates=H","DateFormat=P","Fill=—","Direction=H","UseDPDF=Y")</f>
        <v>0.98299999999999998</v>
      </c>
      <c r="S6" s="21">
        <f>_xll.BDH("NFLX US Equity","CASH_RATIO","FQ2 2015","FQ2 2015","Currency=USD","Period=FQ","BEST_FPERIOD_OVERRIDE=FQ","FILING_STATUS=MR","Sort=A","Dates=H","DateFormat=P","Fill=—","Direction=H","UseDPDF=Y")</f>
        <v>0.86850000000000005</v>
      </c>
      <c r="T6" s="21">
        <f>_xll.BDH("NFLX US Equity","CASH_RATIO","FQ3 2015","FQ3 2015","Currency=USD","Period=FQ","BEST_FPERIOD_OVERRIDE=FQ","FILING_STATUS=MR","Sort=A","Dates=H","DateFormat=P","Fill=—","Direction=H","UseDPDF=Y")</f>
        <v>0.78100000000000003</v>
      </c>
      <c r="U6" s="21">
        <f>_xll.BDH("NFLX US Equity","CASH_RATIO","FQ4 2015","FQ4 2015","Currency=USD","Period=FQ","BEST_FPERIOD_OVERRIDE=FQ","FILING_STATUS=MR","Sort=A","Dates=H","DateFormat=P","Fill=—","Direction=H","UseDPDF=Y")</f>
        <v>0.65469999999999995</v>
      </c>
      <c r="V6" s="21">
        <f>_xll.BDH("NFLX US Equity","CASH_RATIO","FQ1 2016","FQ1 2016","Currency=USD","Period=FQ","BEST_FPERIOD_OVERRIDE=FQ","FILING_STATUS=MR","Sort=A","Dates=H","DateFormat=P","Fill=—","Direction=H","UseDPDF=Y")</f>
        <v>0.52690000000000003</v>
      </c>
      <c r="W6" s="21">
        <f>_xll.BDH("NFLX US Equity","CASH_RATIO","FQ2 2016","FQ2 2016","Currency=USD","Period=FQ","BEST_FPERIOD_OVERRIDE=FQ","FILING_STATUS=MR","Sort=A","Dates=H","DateFormat=P","Fill=—","Direction=H","UseDPDF=Y")</f>
        <v>0.45269999999999999</v>
      </c>
      <c r="X6" s="21">
        <f>_xll.BDH("NFLX US Equity","CASH_RATIO","FQ3 2016","FQ3 2016","Currency=USD","Period=FQ","BEST_FPERIOD_OVERRIDE=FQ","FILING_STATUS=MR","Sort=A","Dates=H","DateFormat=P","Fill=—","Direction=H","UseDPDF=Y")</f>
        <v>0.30449999999999999</v>
      </c>
      <c r="Y6" s="21">
        <f>_xll.BDH("NFLX US Equity","CASH_RATIO","FQ4 2016","FQ4 2016","Currency=USD","Period=FQ","BEST_FPERIOD_OVERRIDE=FQ","FILING_STATUS=MR","Sort=A","Dates=H","DateFormat=P","Fill=—","Direction=H","UseDPDF=Y")</f>
        <v>0.378</v>
      </c>
      <c r="Z6" s="21">
        <f>_xll.BDH("NFLX US Equity","CASH_RATIO","FQ1 2017","FQ1 2017","Currency=USD","Period=FQ","BEST_FPERIOD_OVERRIDE=FQ","FILING_STATUS=MR","Sort=A","Dates=H","DateFormat=P","Fill=—","Direction=H","UseDPDF=Y")</f>
        <v>0.27310000000000001</v>
      </c>
      <c r="AA6" s="21">
        <f>_xll.BDH("NFLX US Equity","CASH_RATIO","FQ2 2017","FQ2 2017","Currency=USD","Period=FQ","BEST_FPERIOD_OVERRIDE=FQ","FILING_STATUS=MR","Sort=A","Dates=H","DateFormat=P","Fill=—","Direction=H","UseDPDF=Y")</f>
        <v>0.42259999999999998</v>
      </c>
      <c r="AB6" s="21">
        <f>_xll.BDH("NFLX US Equity","CASH_RATIO","FQ3 2017","FQ3 2017","Currency=USD","Period=FQ","BEST_FPERIOD_OVERRIDE=FQ","FILING_STATUS=MR","Sort=A","Dates=H","DateFormat=P","Fill=—","Direction=H","UseDPDF=Y")</f>
        <v>0.32890000000000003</v>
      </c>
      <c r="AC6" s="21">
        <f>_xll.BDH("NFLX US Equity","CASH_RATIO","FQ4 2017","FQ4 2017","Currency=USD","Period=FQ","BEST_FPERIOD_OVERRIDE=FQ","FILING_STATUS=MR","Sort=A","Dates=H","DateFormat=P","Fill=—","Direction=H","UseDPDF=Y")</f>
        <v>0.51639999999999997</v>
      </c>
      <c r="AD6" s="21">
        <f>_xll.BDH("NFLX US Equity","CASH_RATIO","FQ1 2018","FQ1 2018","Currency=USD","Period=FQ","BEST_FPERIOD_OVERRIDE=FQ","FILING_STATUS=MR","Sort=A","Dates=H","DateFormat=P","Fill=—","Direction=H","UseDPDF=Y")</f>
        <v>0.43190000000000001</v>
      </c>
      <c r="AE6" s="21">
        <f>_xll.BDH("NFLX US Equity","CASH_RATIO","FQ2 2018","FQ2 2018","Currency=USD","Period=FQ","BEST_FPERIOD_OVERRIDE=FQ","FILING_STATUS=MR","Sort=A","Dates=H","DateFormat=P","Fill=—","Direction=H","UseDPDF=Y")</f>
        <v>0.64249999999999996</v>
      </c>
      <c r="AF6" s="21">
        <f>_xll.BDH("NFLX US Equity","CASH_RATIO","FQ3 2018","FQ3 2018","Currency=USD","Period=FQ","BEST_FPERIOD_OVERRIDE=FQ","FILING_STATUS=MR","Sort=A","Dates=H","DateFormat=P","Fill=—","Direction=H","UseDPDF=Y")</f>
        <v>0.48699999999999999</v>
      </c>
      <c r="AG6" s="21">
        <f>_xll.BDH("NFLX US Equity","CASH_RATIO","FQ4 2018","FQ4 2018","Currency=USD","Period=FQ","BEST_FPERIOD_OVERRIDE=FQ","FILING_STATUS=MR","Sort=A","Dates=H","DateFormat=P","Fill=—","Direction=H","UseDPDF=Y")</f>
        <v>0.58489999999999998</v>
      </c>
      <c r="AH6" s="21">
        <f>_xll.BDH("NFLX US Equity","CASH_RATIO","FQ1 2019","FQ1 2019","Currency=USD","Period=FQ","BEST_FPERIOD_OVERRIDE=FQ","FILING_STATUS=MR","Sort=A","Dates=H","DateFormat=P","Fill=—","Direction=H","UseDPDF=Y")</f>
        <v>0.48830000000000001</v>
      </c>
      <c r="AI6" s="21">
        <f>_xll.BDH("NFLX US Equity","CASH_RATIO","FQ2 2019","FQ2 2019","Currency=USD","Period=FQ","BEST_FPERIOD_OVERRIDE=FQ","FILING_STATUS=MR","Sort=A","Dates=H","DateFormat=P","Fill=—","Direction=H","UseDPDF=Y")</f>
        <v>0.72170000000000001</v>
      </c>
      <c r="AJ6" s="21">
        <f>_xll.BDH("NFLX US Equity","CASH_RATIO","FQ3 2019","FQ3 2019","Currency=USD","Period=FQ","BEST_FPERIOD_OVERRIDE=FQ","FILING_STATUS=MR","Sort=A","Dates=H","DateFormat=P","Fill=—","Direction=H","UseDPDF=Y")</f>
        <v>0.61109999999999998</v>
      </c>
      <c r="AK6" s="21">
        <f>_xll.BDH("NFLX US Equity","CASH_RATIO","FQ4 2019","FQ4 2019","Currency=USD","Period=FQ","BEST_FPERIOD_OVERRIDE=FQ","FILING_STATUS=MR","Sort=A","Dates=H","DateFormat=P","Fill=—","Direction=H","UseDPDF=Y")</f>
        <v>0.73199999999999998</v>
      </c>
      <c r="AL6" s="21">
        <f>_xll.BDH("NFLX US Equity","CASH_RATIO","FQ1 2020","FQ1 2020","Currency=USD","Period=FQ","BEST_FPERIOD_OVERRIDE=FQ","FILING_STATUS=MR","Sort=A","Dates=H","DateFormat=P","Fill=—","Direction=H","UseDPDF=Y")</f>
        <v>0.65600000000000003</v>
      </c>
      <c r="AM6" s="21">
        <f>_xll.BDH("NFLX US Equity","CASH_RATIO","FQ2 2020","FQ2 2020","Currency=USD","Period=FQ","BEST_FPERIOD_OVERRIDE=FQ","FILING_STATUS=MR","Sort=A","Dates=H","DateFormat=P","Fill=—","Direction=H","UseDPDF=Y")</f>
        <v>0.93799999999999994</v>
      </c>
      <c r="AN6" s="21">
        <f>_xll.BDH("NFLX US Equity","CASH_RATIO","FQ3 2020","FQ3 2020","Currency=USD","Period=FQ","BEST_FPERIOD_OVERRIDE=FQ","FILING_STATUS=MR","Sort=A","Dates=H","DateFormat=P","Fill=—","Direction=H","UseDPDF=Y")</f>
        <v>1.0569999999999999</v>
      </c>
      <c r="AO6" s="21">
        <f>_xll.BDH("NFLX US Equity","CASH_RATIO","FQ4 2020","FQ4 2020","Currency=USD","Period=FQ","BEST_FPERIOD_OVERRIDE=FQ","FILING_STATUS=MR","Sort=A","Dates=H","DateFormat=P","Fill=—","Direction=H","UseDPDF=Y")</f>
        <v>1.0511999999999999</v>
      </c>
      <c r="AP6" s="21">
        <f>_xll.BDH("NFLX US Equity","CASH_RATIO","FQ1 2021","FQ1 2021","Currency=USD","Period=FQ","BEST_FPERIOD_OVERRIDE=FQ","FILING_STATUS=MR","Sort=A","Dates=H","DateFormat=P","Fill=—","Direction=H","UseDPDF=Y")</f>
        <v>1.0555000000000001</v>
      </c>
    </row>
    <row r="7" spans="1:42" x14ac:dyDescent="0.25">
      <c r="A7" s="8" t="s">
        <v>191</v>
      </c>
      <c r="B7" s="8" t="s">
        <v>190</v>
      </c>
      <c r="C7" s="21">
        <f>_xll.BDH("NFLX US Equity","CUR_RATIO","FQ2 2011","FQ2 2011","Currency=USD","Period=FQ","BEST_FPERIOD_OVERRIDE=FQ","FILING_STATUS=MR","Sort=A","Dates=H","DateFormat=P","Fill=—","Direction=H","UseDPDF=Y")</f>
        <v>1.3340000000000001</v>
      </c>
      <c r="D7" s="21">
        <f>_xll.BDH("NFLX US Equity","CUR_RATIO","FQ3 2011","FQ3 2011","Currency=USD","Period=FQ","BEST_FPERIOD_OVERRIDE=FQ","FILING_STATUS=MR","Sort=A","Dates=H","DateFormat=P","Fill=—","Direction=H","UseDPDF=Y")</f>
        <v>1.2295</v>
      </c>
      <c r="E7" s="21">
        <f>_xll.BDH("NFLX US Equity","CUR_RATIO","FQ4 2011","FQ4 2011","Currency=USD","Period=FQ","BEST_FPERIOD_OVERRIDE=FQ","FILING_STATUS=MR","Sort=A","Dates=H","DateFormat=P","Fill=—","Direction=H","UseDPDF=Y")</f>
        <v>1.4944999999999999</v>
      </c>
      <c r="F7" s="21">
        <f>_xll.BDH("NFLX US Equity","CUR_RATIO","FQ1 2012","FQ1 2012","Currency=USD","Period=FQ","BEST_FPERIOD_OVERRIDE=FQ","FILING_STATUS=MR","Sort=A","Dates=H","DateFormat=P","Fill=—","Direction=H","UseDPDF=Y")</f>
        <v>1.4231</v>
      </c>
      <c r="G7" s="21">
        <f>_xll.BDH("NFLX US Equity","CUR_RATIO","FQ2 2012","FQ2 2012","Currency=USD","Period=FQ","BEST_FPERIOD_OVERRIDE=FQ","FILING_STATUS=MR","Sort=A","Dates=H","DateFormat=P","Fill=—","Direction=H","UseDPDF=Y")</f>
        <v>1.4262999999999999</v>
      </c>
      <c r="H7" s="21">
        <f>_xll.BDH("NFLX US Equity","CUR_RATIO","FQ3 2012","FQ3 2012","Currency=USD","Period=FQ","BEST_FPERIOD_OVERRIDE=FQ","FILING_STATUS=MR","Sort=A","Dates=H","DateFormat=P","Fill=—","Direction=H","UseDPDF=Y")</f>
        <v>1.3921999999999999</v>
      </c>
      <c r="I7" s="21">
        <f>_xll.BDH("NFLX US Equity","CUR_RATIO","FQ4 2012","FQ4 2012","Currency=USD","Period=FQ","BEST_FPERIOD_OVERRIDE=FQ","FILING_STATUS=MR","Sort=A","Dates=H","DateFormat=P","Fill=—","Direction=H","UseDPDF=Y")</f>
        <v>1.337</v>
      </c>
      <c r="J7" s="21">
        <f>_xll.BDH("NFLX US Equity","CUR_RATIO","FQ1 2013","FQ1 2013","Currency=USD","Period=FQ","BEST_FPERIOD_OVERRIDE=FQ","FILING_STATUS=MR","Sort=A","Dates=H","DateFormat=P","Fill=—","Direction=H","UseDPDF=Y")</f>
        <v>1.5142</v>
      </c>
      <c r="K7" s="21">
        <f>_xll.BDH("NFLX US Equity","CUR_RATIO","FQ2 2013","FQ2 2013","Currency=USD","Period=FQ","BEST_FPERIOD_OVERRIDE=FQ","FILING_STATUS=MR","Sort=A","Dates=H","DateFormat=P","Fill=—","Direction=H","UseDPDF=Y")</f>
        <v>1.5388999999999999</v>
      </c>
      <c r="L7" s="21">
        <f>_xll.BDH("NFLX US Equity","CUR_RATIO","FQ3 2013","FQ3 2013","Currency=USD","Period=FQ","BEST_FPERIOD_OVERRIDE=FQ","FILING_STATUS=MR","Sort=A","Dates=H","DateFormat=P","Fill=—","Direction=H","UseDPDF=Y")</f>
        <v>1.4723999999999999</v>
      </c>
      <c r="M7" s="21">
        <f>_xll.BDH("NFLX US Equity","CUR_RATIO","FQ4 2013","FQ4 2013","Currency=USD","Period=FQ","BEST_FPERIOD_OVERRIDE=FQ","FILING_STATUS=MR","Sort=A","Dates=H","DateFormat=P","Fill=—","Direction=H","UseDPDF=Y")</f>
        <v>1.4198999999999999</v>
      </c>
      <c r="N7" s="21">
        <f>_xll.BDH("NFLX US Equity","CUR_RATIO","FQ1 2014","FQ1 2014","Currency=USD","Period=FQ","BEST_FPERIOD_OVERRIDE=FQ","FILING_STATUS=MR","Sort=A","Dates=H","DateFormat=P","Fill=—","Direction=H","UseDPDF=Y")</f>
        <v>1.5845</v>
      </c>
      <c r="O7" s="21">
        <f>_xll.BDH("NFLX US Equity","CUR_RATIO","FQ2 2014","FQ2 2014","Currency=USD","Period=FQ","BEST_FPERIOD_OVERRIDE=FQ","FILING_STATUS=MR","Sort=A","Dates=H","DateFormat=P","Fill=—","Direction=H","UseDPDF=Y")</f>
        <v>1.571</v>
      </c>
      <c r="P7" s="21">
        <f>_xll.BDH("NFLX US Equity","CUR_RATIO","FQ3 2014","FQ3 2014","Currency=USD","Period=FQ","BEST_FPERIOD_OVERRIDE=FQ","FILING_STATUS=MR","Sort=A","Dates=H","DateFormat=P","Fill=—","Direction=H","UseDPDF=Y")</f>
        <v>1.5002</v>
      </c>
      <c r="Q7" s="21">
        <f>_xll.BDH("NFLX US Equity","CUR_RATIO","FQ4 2014","FQ4 2014","Currency=USD","Period=FQ","BEST_FPERIOD_OVERRIDE=FQ","FILING_STATUS=MR","Sort=A","Dates=H","DateFormat=P","Fill=—","Direction=H","UseDPDF=Y")</f>
        <v>1.4746000000000001</v>
      </c>
      <c r="R7" s="21">
        <f>_xll.BDH("NFLX US Equity","CUR_RATIO","FQ1 2015","FQ1 2015","Currency=USD","Period=FQ","BEST_FPERIOD_OVERRIDE=FQ","FILING_STATUS=MR","Sort=A","Dates=H","DateFormat=P","Fill=—","Direction=H","UseDPDF=Y")</f>
        <v>1.8409</v>
      </c>
      <c r="S7" s="21">
        <f>_xll.BDH("NFLX US Equity","CUR_RATIO","FQ2 2015","FQ2 2015","Currency=USD","Period=FQ","BEST_FPERIOD_OVERRIDE=FQ","FILING_STATUS=MR","Sort=A","Dates=H","DateFormat=P","Fill=—","Direction=H","UseDPDF=Y")</f>
        <v>1.7393000000000001</v>
      </c>
      <c r="T7" s="21">
        <f>_xll.BDH("NFLX US Equity","CUR_RATIO","FQ3 2015","FQ3 2015","Currency=USD","Period=FQ","BEST_FPERIOD_OVERRIDE=FQ","FILING_STATUS=MR","Sort=A","Dates=H","DateFormat=P","Fill=—","Direction=H","UseDPDF=Y")</f>
        <v>1.6669</v>
      </c>
      <c r="U7" s="21">
        <f>_xll.BDH("NFLX US Equity","CUR_RATIO","FQ4 2015","FQ4 2015","Currency=USD","Period=FQ","BEST_FPERIOD_OVERRIDE=FQ","FILING_STATUS=MR","Sort=A","Dates=H","DateFormat=P","Fill=—","Direction=H","UseDPDF=Y")</f>
        <v>1.5388999999999999</v>
      </c>
      <c r="V7" s="21">
        <f>_xll.BDH("NFLX US Equity","CUR_RATIO","FQ1 2016","FQ1 2016","Currency=USD","Period=FQ","BEST_FPERIOD_OVERRIDE=FQ","FILING_STATUS=MR","Sort=A","Dates=H","DateFormat=P","Fill=—","Direction=H","UseDPDF=Y")</f>
        <v>1.4093</v>
      </c>
      <c r="W7" s="21">
        <f>_xll.BDH("NFLX US Equity","CUR_RATIO","FQ2 2016","FQ2 2016","Currency=USD","Period=FQ","BEST_FPERIOD_OVERRIDE=FQ","FILING_STATUS=MR","Sort=A","Dates=H","DateFormat=P","Fill=—","Direction=H","UseDPDF=Y")</f>
        <v>1.3294999999999999</v>
      </c>
      <c r="X7" s="21">
        <f>_xll.BDH("NFLX US Equity","CUR_RATIO","FQ3 2016","FQ3 2016","Currency=USD","Period=FQ","BEST_FPERIOD_OVERRIDE=FQ","FILING_STATUS=MR","Sort=A","Dates=H","DateFormat=P","Fill=—","Direction=H","UseDPDF=Y")</f>
        <v>1.1774</v>
      </c>
      <c r="Y7" s="21">
        <f>_xll.BDH("NFLX US Equity","CUR_RATIO","FQ4 2016","FQ4 2016","Currency=USD","Period=FQ","BEST_FPERIOD_OVERRIDE=FQ","FILING_STATUS=MR","Sort=A","Dates=H","DateFormat=P","Fill=—","Direction=H","UseDPDF=Y")</f>
        <v>1.2472000000000001</v>
      </c>
      <c r="Z7" s="21">
        <f>_xll.BDH("NFLX US Equity","CUR_RATIO","FQ1 2017","FQ1 2017","Currency=USD","Period=FQ","BEST_FPERIOD_OVERRIDE=FQ","FILING_STATUS=MR","Sort=A","Dates=H","DateFormat=P","Fill=—","Direction=H","UseDPDF=Y")</f>
        <v>1.1525000000000001</v>
      </c>
      <c r="AA7" s="21">
        <f>_xll.BDH("NFLX US Equity","CUR_RATIO","FQ2 2017","FQ2 2017","Currency=USD","Period=FQ","BEST_FPERIOD_OVERRIDE=FQ","FILING_STATUS=MR","Sort=A","Dates=H","DateFormat=P","Fill=—","Direction=H","UseDPDF=Y")</f>
        <v>1.3080000000000001</v>
      </c>
      <c r="AB7" s="21">
        <f>_xll.BDH("NFLX US Equity","CUR_RATIO","FQ3 2017","FQ3 2017","Currency=USD","Period=FQ","BEST_FPERIOD_OVERRIDE=FQ","FILING_STATUS=MR","Sort=A","Dates=H","DateFormat=P","Fill=—","Direction=H","UseDPDF=Y")</f>
        <v>1.2023999999999999</v>
      </c>
      <c r="AC7" s="21">
        <f>_xll.BDH("NFLX US Equity","CUR_RATIO","FQ4 2017","FQ4 2017","Currency=USD","Period=FQ","BEST_FPERIOD_OVERRIDE=FQ","FILING_STATUS=MR","Sort=A","Dates=H","DateFormat=P","Fill=—","Direction=H","UseDPDF=Y")</f>
        <v>1.4031</v>
      </c>
      <c r="AD7" s="21">
        <f>_xll.BDH("NFLX US Equity","CUR_RATIO","FQ1 2018","FQ1 2018","Currency=USD","Period=FQ","BEST_FPERIOD_OVERRIDE=FQ","FILING_STATUS=MR","Sort=A","Dates=H","DateFormat=P","Fill=—","Direction=H","UseDPDF=Y")</f>
        <v>1.3017000000000001</v>
      </c>
      <c r="AE7" s="21">
        <f>_xll.BDH("NFLX US Equity","CUR_RATIO","FQ2 2018","FQ2 2018","Currency=USD","Period=FQ","BEST_FPERIOD_OVERRIDE=FQ","FILING_STATUS=MR","Sort=A","Dates=H","DateFormat=P","Fill=—","Direction=H","UseDPDF=Y")</f>
        <v>1.5373999999999999</v>
      </c>
      <c r="AF7" s="21">
        <f>_xll.BDH("NFLX US Equity","CUR_RATIO","FQ3 2018","FQ3 2018","Currency=USD","Period=FQ","BEST_FPERIOD_OVERRIDE=FQ","FILING_STATUS=MR","Sort=A","Dates=H","DateFormat=P","Fill=—","Direction=H","UseDPDF=Y")</f>
        <v>1.3860999999999999</v>
      </c>
      <c r="AG7" s="21">
        <f>_xll.BDH("NFLX US Equity","CUR_RATIO","FQ4 2018","FQ4 2018","Currency=USD","Period=FQ","BEST_FPERIOD_OVERRIDE=FQ","FILING_STATUS=MR","Sort=A","Dates=H","DateFormat=P","Fill=—","Direction=H","UseDPDF=Y")</f>
        <v>1.4943</v>
      </c>
      <c r="AH7" s="21">
        <f>_xll.BDH("NFLX US Equity","CUR_RATIO","FQ1 2019","FQ1 2019","Currency=USD","Period=FQ","BEST_FPERIOD_OVERRIDE=FQ","FILING_STATUS=MR","Sort=A","Dates=H","DateFormat=P","Fill=—","Direction=H","UseDPDF=Y")</f>
        <v>0.6079</v>
      </c>
      <c r="AI7" s="21">
        <f>_xll.BDH("NFLX US Equity","CUR_RATIO","FQ2 2019","FQ2 2019","Currency=USD","Period=FQ","BEST_FPERIOD_OVERRIDE=FQ","FILING_STATUS=MR","Sort=A","Dates=H","DateFormat=P","Fill=—","Direction=H","UseDPDF=Y")</f>
        <v>0.84760000000000002</v>
      </c>
      <c r="AJ7" s="21">
        <f>_xll.BDH("NFLX US Equity","CUR_RATIO","FQ3 2019","FQ3 2019","Currency=USD","Period=FQ","BEST_FPERIOD_OVERRIDE=FQ","FILING_STATUS=MR","Sort=A","Dates=H","DateFormat=P","Fill=—","Direction=H","UseDPDF=Y")</f>
        <v>0.73409999999999997</v>
      </c>
      <c r="AK7" s="21">
        <f>_xll.BDH("NFLX US Equity","CUR_RATIO","FQ4 2019","FQ4 2019","Currency=USD","Period=FQ","BEST_FPERIOD_OVERRIDE=FQ","FILING_STATUS=MR","Sort=A","Dates=H","DateFormat=P","Fill=—","Direction=H","UseDPDF=Y")</f>
        <v>0.9012</v>
      </c>
      <c r="AL7" s="21">
        <f>_xll.BDH("NFLX US Equity","CUR_RATIO","FQ1 2020","FQ1 2020","Currency=USD","Period=FQ","BEST_FPERIOD_OVERRIDE=FQ","FILING_STATUS=MR","Sort=A","Dates=H","DateFormat=P","Fill=—","Direction=H","UseDPDF=Y")</f>
        <v>0.82099999999999995</v>
      </c>
      <c r="AM7" s="21">
        <f>_xll.BDH("NFLX US Equity","CUR_RATIO","FQ2 2020","FQ2 2020","Currency=USD","Period=FQ","BEST_FPERIOD_OVERRIDE=FQ","FILING_STATUS=MR","Sort=A","Dates=H","DateFormat=P","Fill=—","Direction=H","UseDPDF=Y")</f>
        <v>1.123</v>
      </c>
      <c r="AN7" s="21">
        <f>_xll.BDH("NFLX US Equity","CUR_RATIO","FQ3 2020","FQ3 2020","Currency=USD","Period=FQ","BEST_FPERIOD_OVERRIDE=FQ","FILING_STATUS=MR","Sort=A","Dates=H","DateFormat=P","Fill=—","Direction=H","UseDPDF=Y")</f>
        <v>1.2376</v>
      </c>
      <c r="AO7" s="21">
        <f>_xll.BDH("NFLX US Equity","CUR_RATIO","FQ4 2020","FQ4 2020","Currency=USD","Period=FQ","BEST_FPERIOD_OVERRIDE=FQ","FILING_STATUS=MR","Sort=A","Dates=H","DateFormat=P","Fill=—","Direction=H","UseDPDF=Y")</f>
        <v>1.2505999999999999</v>
      </c>
      <c r="AP7" s="21">
        <f>_xll.BDH("NFLX US Equity","CUR_RATIO","FQ1 2021","FQ1 2021","Currency=USD","Period=FQ","BEST_FPERIOD_OVERRIDE=FQ","FILING_STATUS=MR","Sort=A","Dates=H","DateFormat=P","Fill=—","Direction=H","UseDPDF=Y")</f>
        <v>1.2695000000000001</v>
      </c>
    </row>
    <row r="8" spans="1:42" x14ac:dyDescent="0.25">
      <c r="A8" s="8" t="s">
        <v>189</v>
      </c>
      <c r="B8" s="8" t="s">
        <v>188</v>
      </c>
      <c r="C8" s="21">
        <f>_xll.BDH("NFLX US Equity","QUICK_RATIO","FQ2 2011","FQ2 2011","Currency=USD","Period=FQ","BEST_FPERIOD_OVERRIDE=FQ","FILING_STATUS=MR","Sort=A","Dates=H","DateFormat=P","Fill=—","Direction=H","UseDPDF=Y")</f>
        <v>0.51800000000000002</v>
      </c>
      <c r="D8" s="21">
        <f>_xll.BDH("NFLX US Equity","QUICK_RATIO","FQ3 2011","FQ3 2011","Currency=USD","Period=FQ","BEST_FPERIOD_OVERRIDE=FQ","FILING_STATUS=MR","Sort=A","Dates=H","DateFormat=P","Fill=—","Direction=H","UseDPDF=Y")</f>
        <v>0.37790000000000001</v>
      </c>
      <c r="E8" s="21">
        <f>_xll.BDH("NFLX US Equity","QUICK_RATIO","FQ4 2011","FQ4 2011","Currency=USD","Period=FQ","BEST_FPERIOD_OVERRIDE=FQ","FILING_STATUS=MR","Sort=A","Dates=H","DateFormat=P","Fill=—","Direction=H","UseDPDF=Y")</f>
        <v>0.6512</v>
      </c>
      <c r="F8" s="21">
        <f>_xll.BDH("NFLX US Equity","QUICK_RATIO","FQ1 2012","FQ1 2012","Currency=USD","Period=FQ","BEST_FPERIOD_OVERRIDE=FQ","FILING_STATUS=MR","Sort=A","Dates=H","DateFormat=P","Fill=—","Direction=H","UseDPDF=Y")</f>
        <v>0.55610000000000004</v>
      </c>
      <c r="G8" s="21">
        <f>_xll.BDH("NFLX US Equity","QUICK_RATIO","FQ2 2012","FQ2 2012","Currency=USD","Period=FQ","BEST_FPERIOD_OVERRIDE=FQ","FILING_STATUS=MR","Sort=A","Dates=H","DateFormat=P","Fill=—","Direction=H","UseDPDF=Y")</f>
        <v>0.54259999999999997</v>
      </c>
      <c r="H8" s="21">
        <f>_xll.BDH("NFLX US Equity","QUICK_RATIO","FQ3 2012","FQ3 2012","Currency=USD","Period=FQ","BEST_FPERIOD_OVERRIDE=FQ","FILING_STATUS=MR","Sort=A","Dates=H","DateFormat=P","Fill=—","Direction=H","UseDPDF=Y")</f>
        <v>0.4995</v>
      </c>
      <c r="I8" s="21">
        <f>_xll.BDH("NFLX US Equity","QUICK_RATIO","FQ4 2012","FQ4 2012","Currency=USD","Period=FQ","BEST_FPERIOD_OVERRIDE=FQ","FILING_STATUS=MR","Sort=A","Dates=H","DateFormat=P","Fill=—","Direction=H","UseDPDF=Y")</f>
        <v>0.44640000000000002</v>
      </c>
      <c r="J8" s="21">
        <f>_xll.BDH("NFLX US Equity","QUICK_RATIO","FQ1 2013","FQ1 2013","Currency=USD","Period=FQ","BEST_FPERIOD_OVERRIDE=FQ","FILING_STATUS=MR","Sort=A","Dates=H","DateFormat=P","Fill=—","Direction=H","UseDPDF=Y")</f>
        <v>0.60750000000000004</v>
      </c>
      <c r="K8" s="21">
        <f>_xll.BDH("NFLX US Equity","QUICK_RATIO","FQ2 2013","FQ2 2013","Currency=USD","Period=FQ","BEST_FPERIOD_OVERRIDE=FQ","FILING_STATUS=MR","Sort=A","Dates=H","DateFormat=P","Fill=—","Direction=H","UseDPDF=Y")</f>
        <v>0.64670000000000005</v>
      </c>
      <c r="L8" s="21">
        <f>_xll.BDH("NFLX US Equity","QUICK_RATIO","FQ3 2013","FQ3 2013","Currency=USD","Period=FQ","BEST_FPERIOD_OVERRIDE=FQ","FILING_STATUS=MR","Sort=A","Dates=H","DateFormat=P","Fill=—","Direction=H","UseDPDF=Y")</f>
        <v>0.58650000000000002</v>
      </c>
      <c r="M8" s="21">
        <f>_xll.BDH("NFLX US Equity","QUICK_RATIO","FQ4 2013","FQ4 2013","Currency=USD","Period=FQ","BEST_FPERIOD_OVERRIDE=FQ","FILING_STATUS=MR","Sort=A","Dates=H","DateFormat=P","Fill=—","Direction=H","UseDPDF=Y")</f>
        <v>0.55720000000000003</v>
      </c>
      <c r="N8" s="21">
        <f>_xll.BDH("NFLX US Equity","QUICK_RATIO","FQ1 2014","FQ1 2014","Currency=USD","Period=FQ","BEST_FPERIOD_OVERRIDE=FQ","FILING_STATUS=MR","Sort=A","Dates=H","DateFormat=P","Fill=—","Direction=H","UseDPDF=Y")</f>
        <v>0.73699999999999999</v>
      </c>
      <c r="O8" s="21">
        <f>_xll.BDH("NFLX US Equity","QUICK_RATIO","FQ2 2014","FQ2 2014","Currency=USD","Period=FQ","BEST_FPERIOD_OVERRIDE=FQ","FILING_STATUS=MR","Sort=A","Dates=H","DateFormat=P","Fill=—","Direction=H","UseDPDF=Y")</f>
        <v>0.73419999999999996</v>
      </c>
      <c r="P8" s="21">
        <f>_xll.BDH("NFLX US Equity","QUICK_RATIO","FQ3 2014","FQ3 2014","Currency=USD","Period=FQ","BEST_FPERIOD_OVERRIDE=FQ","FILING_STATUS=MR","Sort=A","Dates=H","DateFormat=P","Fill=—","Direction=H","UseDPDF=Y")</f>
        <v>0.65400000000000003</v>
      </c>
      <c r="Q8" s="21">
        <f>_xll.BDH("NFLX US Equity","QUICK_RATIO","FQ4 2014","FQ4 2014","Currency=USD","Period=FQ","BEST_FPERIOD_OVERRIDE=FQ","FILING_STATUS=MR","Sort=A","Dates=H","DateFormat=P","Fill=—","Direction=H","UseDPDF=Y")</f>
        <v>0.60399999999999998</v>
      </c>
      <c r="R8" s="21">
        <f>_xll.BDH("NFLX US Equity","QUICK_RATIO","FQ1 2015","FQ1 2015","Currency=USD","Period=FQ","BEST_FPERIOD_OVERRIDE=FQ","FILING_STATUS=MR","Sort=A","Dates=H","DateFormat=P","Fill=—","Direction=H","UseDPDF=Y")</f>
        <v>0.98299999999999998</v>
      </c>
      <c r="S8" s="21">
        <f>_xll.BDH("NFLX US Equity","QUICK_RATIO","FQ2 2015","FQ2 2015","Currency=USD","Period=FQ","BEST_FPERIOD_OVERRIDE=FQ","FILING_STATUS=MR","Sort=A","Dates=H","DateFormat=P","Fill=—","Direction=H","UseDPDF=Y")</f>
        <v>0.86850000000000005</v>
      </c>
      <c r="T8" s="21">
        <f>_xll.BDH("NFLX US Equity","QUICK_RATIO","FQ3 2015","FQ3 2015","Currency=USD","Period=FQ","BEST_FPERIOD_OVERRIDE=FQ","FILING_STATUS=MR","Sort=A","Dates=H","DateFormat=P","Fill=—","Direction=H","UseDPDF=Y")</f>
        <v>0.78100000000000003</v>
      </c>
      <c r="U8" s="21">
        <f>_xll.BDH("NFLX US Equity","QUICK_RATIO","FQ4 2015","FQ4 2015","Currency=USD","Period=FQ","BEST_FPERIOD_OVERRIDE=FQ","FILING_STATUS=MR","Sort=A","Dates=H","DateFormat=P","Fill=—","Direction=H","UseDPDF=Y")</f>
        <v>0.65469999999999995</v>
      </c>
      <c r="V8" s="21">
        <f>_xll.BDH("NFLX US Equity","QUICK_RATIO","FQ1 2016","FQ1 2016","Currency=USD","Period=FQ","BEST_FPERIOD_OVERRIDE=FQ","FILING_STATUS=MR","Sort=A","Dates=H","DateFormat=P","Fill=—","Direction=H","UseDPDF=Y")</f>
        <v>0.52690000000000003</v>
      </c>
      <c r="W8" s="21">
        <f>_xll.BDH("NFLX US Equity","QUICK_RATIO","FQ2 2016","FQ2 2016","Currency=USD","Period=FQ","BEST_FPERIOD_OVERRIDE=FQ","FILING_STATUS=MR","Sort=A","Dates=H","DateFormat=P","Fill=—","Direction=H","UseDPDF=Y")</f>
        <v>0.45269999999999999</v>
      </c>
      <c r="X8" s="21">
        <f>_xll.BDH("NFLX US Equity","QUICK_RATIO","FQ3 2016","FQ3 2016","Currency=USD","Period=FQ","BEST_FPERIOD_OVERRIDE=FQ","FILING_STATUS=MR","Sort=A","Dates=H","DateFormat=P","Fill=—","Direction=H","UseDPDF=Y")</f>
        <v>0.30449999999999999</v>
      </c>
      <c r="Y8" s="21">
        <f>_xll.BDH("NFLX US Equity","QUICK_RATIO","FQ4 2016","FQ4 2016","Currency=USD","Period=FQ","BEST_FPERIOD_OVERRIDE=FQ","FILING_STATUS=MR","Sort=A","Dates=H","DateFormat=P","Fill=—","Direction=H","UseDPDF=Y")</f>
        <v>0.378</v>
      </c>
      <c r="Z8" s="21">
        <f>_xll.BDH("NFLX US Equity","QUICK_RATIO","FQ1 2017","FQ1 2017","Currency=USD","Period=FQ","BEST_FPERIOD_OVERRIDE=FQ","FILING_STATUS=MR","Sort=A","Dates=H","DateFormat=P","Fill=—","Direction=H","UseDPDF=Y")</f>
        <v>0.27310000000000001</v>
      </c>
      <c r="AA8" s="21">
        <f>_xll.BDH("NFLX US Equity","QUICK_RATIO","FQ2 2017","FQ2 2017","Currency=USD","Period=FQ","BEST_FPERIOD_OVERRIDE=FQ","FILING_STATUS=MR","Sort=A","Dates=H","DateFormat=P","Fill=—","Direction=H","UseDPDF=Y")</f>
        <v>0.42259999999999998</v>
      </c>
      <c r="AB8" s="21">
        <f>_xll.BDH("NFLX US Equity","QUICK_RATIO","FQ3 2017","FQ3 2017","Currency=USD","Period=FQ","BEST_FPERIOD_OVERRIDE=FQ","FILING_STATUS=MR","Sort=A","Dates=H","DateFormat=P","Fill=—","Direction=H","UseDPDF=Y")</f>
        <v>0.32890000000000003</v>
      </c>
      <c r="AC8" s="21">
        <f>_xll.BDH("NFLX US Equity","QUICK_RATIO","FQ4 2017","FQ4 2017","Currency=USD","Period=FQ","BEST_FPERIOD_OVERRIDE=FQ","FILING_STATUS=MR","Sort=A","Dates=H","DateFormat=P","Fill=—","Direction=H","UseDPDF=Y")</f>
        <v>0.51639999999999997</v>
      </c>
      <c r="AD8" s="21">
        <f>_xll.BDH("NFLX US Equity","QUICK_RATIO","FQ1 2018","FQ1 2018","Currency=USD","Period=FQ","BEST_FPERIOD_OVERRIDE=FQ","FILING_STATUS=MR","Sort=A","Dates=H","DateFormat=P","Fill=—","Direction=H","UseDPDF=Y")</f>
        <v>0.43190000000000001</v>
      </c>
      <c r="AE8" s="21">
        <f>_xll.BDH("NFLX US Equity","QUICK_RATIO","FQ2 2018","FQ2 2018","Currency=USD","Period=FQ","BEST_FPERIOD_OVERRIDE=FQ","FILING_STATUS=MR","Sort=A","Dates=H","DateFormat=P","Fill=—","Direction=H","UseDPDF=Y")</f>
        <v>0.64249999999999996</v>
      </c>
      <c r="AF8" s="21">
        <f>_xll.BDH("NFLX US Equity","QUICK_RATIO","FQ3 2018","FQ3 2018","Currency=USD","Period=FQ","BEST_FPERIOD_OVERRIDE=FQ","FILING_STATUS=MR","Sort=A","Dates=H","DateFormat=P","Fill=—","Direction=H","UseDPDF=Y")</f>
        <v>0.48699999999999999</v>
      </c>
      <c r="AG8" s="21">
        <f>_xll.BDH("NFLX US Equity","QUICK_RATIO","FQ4 2018","FQ4 2018","Currency=USD","Period=FQ","BEST_FPERIOD_OVERRIDE=FQ","FILING_STATUS=MR","Sort=A","Dates=H","DateFormat=P","Fill=—","Direction=H","UseDPDF=Y")</f>
        <v>0.58489999999999998</v>
      </c>
      <c r="AH8" s="21">
        <f>_xll.BDH("NFLX US Equity","QUICK_RATIO","FQ1 2019","FQ1 2019","Currency=USD","Period=FQ","BEST_FPERIOD_OVERRIDE=FQ","FILING_STATUS=MR","Sort=A","Dates=H","DateFormat=P","Fill=—","Direction=H","UseDPDF=Y")</f>
        <v>0.5514</v>
      </c>
      <c r="AI8" s="21">
        <f>_xll.BDH("NFLX US Equity","QUICK_RATIO","FQ2 2019","FQ2 2019","Currency=USD","Period=FQ","BEST_FPERIOD_OVERRIDE=FQ","FILING_STATUS=MR","Sort=A","Dates=H","DateFormat=P","Fill=—","Direction=H","UseDPDF=Y")</f>
        <v>0.79269999999999996</v>
      </c>
      <c r="AJ8" s="21">
        <f>_xll.BDH("NFLX US Equity","QUICK_RATIO","FQ3 2019","FQ3 2019","Currency=USD","Period=FQ","BEST_FPERIOD_OVERRIDE=FQ","FILING_STATUS=MR","Sort=A","Dates=H","DateFormat=P","Fill=—","Direction=H","UseDPDF=Y")</f>
        <v>0.61109999999999998</v>
      </c>
      <c r="AK8" s="21">
        <f>_xll.BDH("NFLX US Equity","QUICK_RATIO","FQ4 2019","FQ4 2019","Currency=USD","Period=FQ","BEST_FPERIOD_OVERRIDE=FQ","FILING_STATUS=MR","Sort=A","Dates=H","DateFormat=P","Fill=—","Direction=H","UseDPDF=Y")</f>
        <v>0.73199999999999998</v>
      </c>
      <c r="AL8" s="21">
        <f>_xll.BDH("NFLX US Equity","QUICK_RATIO","FQ1 2020","FQ1 2020","Currency=USD","Period=FQ","BEST_FPERIOD_OVERRIDE=FQ","FILING_STATUS=MR","Sort=A","Dates=H","DateFormat=P","Fill=—","Direction=H","UseDPDF=Y")</f>
        <v>0.65600000000000003</v>
      </c>
      <c r="AM8" s="21">
        <f>_xll.BDH("NFLX US Equity","QUICK_RATIO","FQ2 2020","FQ2 2020","Currency=USD","Period=FQ","BEST_FPERIOD_OVERRIDE=FQ","FILING_STATUS=MR","Sort=A","Dates=H","DateFormat=P","Fill=—","Direction=H","UseDPDF=Y")</f>
        <v>0.93799999999999994</v>
      </c>
      <c r="AN8" s="21">
        <f>_xll.BDH("NFLX US Equity","QUICK_RATIO","FQ3 2020","FQ3 2020","Currency=USD","Period=FQ","BEST_FPERIOD_OVERRIDE=FQ","FILING_STATUS=MR","Sort=A","Dates=H","DateFormat=P","Fill=—","Direction=H","UseDPDF=Y")</f>
        <v>1.0569999999999999</v>
      </c>
      <c r="AO8" s="21">
        <f>_xll.BDH("NFLX US Equity","QUICK_RATIO","FQ4 2020","FQ4 2020","Currency=USD","Period=FQ","BEST_FPERIOD_OVERRIDE=FQ","FILING_STATUS=MR","Sort=A","Dates=H","DateFormat=P","Fill=—","Direction=H","UseDPDF=Y")</f>
        <v>1.0511999999999999</v>
      </c>
      <c r="AP8" s="21">
        <f>_xll.BDH("NFLX US Equity","QUICK_RATIO","FQ1 2021","FQ1 2021","Currency=USD","Period=FQ","BEST_FPERIOD_OVERRIDE=FQ","FILING_STATUS=MR","Sort=A","Dates=H","DateFormat=P","Fill=—","Direction=H","UseDPDF=Y")</f>
        <v>1.0555000000000001</v>
      </c>
    </row>
    <row r="9" spans="1:42" x14ac:dyDescent="0.25">
      <c r="A9" s="8" t="s">
        <v>187</v>
      </c>
      <c r="B9" s="8" t="s">
        <v>186</v>
      </c>
      <c r="C9" s="21">
        <f>_xll.BDH("NFLX US Equity","CFO_TO_AVG_CURRENT_LIABILITIES","FQ2 2011","FQ2 2011","Currency=USD","Period=FQ","BEST_FPERIOD_OVERRIDE=FQ","FILING_STATUS=MR","Sort=A","Dates=H","DateFormat=P","Fill=—","Direction=H","UseDPDF=Y")</f>
        <v>0.69379999999999997</v>
      </c>
      <c r="D9" s="21">
        <f>_xll.BDH("NFLX US Equity","CFO_TO_AVG_CURRENT_LIABILITIES","FQ3 2011","FQ3 2011","Currency=USD","Period=FQ","BEST_FPERIOD_OVERRIDE=FQ","FILING_STATUS=MR","Sort=A","Dates=H","DateFormat=P","Fill=—","Direction=H","UseDPDF=Y")</f>
        <v>0.54520000000000002</v>
      </c>
      <c r="E9" s="21">
        <f>_xll.BDH("NFLX US Equity","CFO_TO_AVG_CURRENT_LIABILITIES","FQ4 2011","FQ4 2011","Currency=USD","Period=FQ","BEST_FPERIOD_OVERRIDE=FQ","FILING_STATUS=MR","Sort=A","Dates=H","DateFormat=P","Fill=—","Direction=H","UseDPDF=Y")</f>
        <v>0.39379999999999998</v>
      </c>
      <c r="F9" s="21">
        <f>_xll.BDH("NFLX US Equity","CFO_TO_AVG_CURRENT_LIABILITIES","FQ1 2012","FQ1 2012","Currency=USD","Period=FQ","BEST_FPERIOD_OVERRIDE=FQ","FILING_STATUS=MR","Sort=A","Dates=H","DateFormat=P","Fill=—","Direction=H","UseDPDF=Y")</f>
        <v>0.22770000000000001</v>
      </c>
      <c r="G9" s="21">
        <f>_xll.BDH("NFLX US Equity","CFO_TO_AVG_CURRENT_LIABILITIES","FQ2 2012","FQ2 2012","Currency=USD","Period=FQ","BEST_FPERIOD_OVERRIDE=FQ","FILING_STATUS=MR","Sort=A","Dates=H","DateFormat=P","Fill=—","Direction=H","UseDPDF=Y")</f>
        <v>0.13800000000000001</v>
      </c>
      <c r="H9" s="21">
        <f>_xll.BDH("NFLX US Equity","CFO_TO_AVG_CURRENT_LIABILITIES","FQ3 2012","FQ3 2012","Currency=USD","Period=FQ","BEST_FPERIOD_OVERRIDE=FQ","FILING_STATUS=MR","Sort=A","Dates=H","DateFormat=P","Fill=—","Direction=H","UseDPDF=Y")</f>
        <v>7.8799999999999995E-2</v>
      </c>
      <c r="I9" s="21">
        <f>_xll.BDH("NFLX US Equity","CFO_TO_AVG_CURRENT_LIABILITIES","FQ4 2012","FQ4 2012","Currency=USD","Period=FQ","BEST_FPERIOD_OVERRIDE=FQ","FILING_STATUS=MR","Sort=A","Dates=H","DateFormat=P","Fill=—","Direction=H","UseDPDF=Y")</f>
        <v>1.49E-2</v>
      </c>
      <c r="J9" s="21">
        <f>_xll.BDH("NFLX US Equity","CFO_TO_AVG_CURRENT_LIABILITIES","FQ1 2013","FQ1 2013","Currency=USD","Period=FQ","BEST_FPERIOD_OVERRIDE=FQ","FILING_STATUS=MR","Sort=A","Dates=H","DateFormat=P","Fill=—","Direction=H","UseDPDF=Y")</f>
        <v>-6.1999999999999998E-3</v>
      </c>
      <c r="K9" s="21">
        <f>_xll.BDH("NFLX US Equity","CFO_TO_AVG_CURRENT_LIABILITIES","FQ2 2013","FQ2 2013","Currency=USD","Period=FQ","BEST_FPERIOD_OVERRIDE=FQ","FILING_STATUS=MR","Sort=A","Dates=H","DateFormat=P","Fill=—","Direction=H","UseDPDF=Y")</f>
        <v>3.0000000000000001E-3</v>
      </c>
      <c r="L9" s="21">
        <f>_xll.BDH("NFLX US Equity","CFO_TO_AVG_CURRENT_LIABILITIES","FQ3 2013","FQ3 2013","Currency=USD","Period=FQ","BEST_FPERIOD_OVERRIDE=FQ","FILING_STATUS=MR","Sort=A","Dates=H","DateFormat=P","Fill=—","Direction=H","UseDPDF=Y")</f>
        <v>2.4E-2</v>
      </c>
      <c r="M9" s="21">
        <f>_xll.BDH("NFLX US Equity","CFO_TO_AVG_CURRENT_LIABILITIES","FQ4 2013","FQ4 2013","Currency=USD","Period=FQ","BEST_FPERIOD_OVERRIDE=FQ","FILING_STATUS=MR","Sort=A","Dates=H","DateFormat=P","Fill=—","Direction=H","UseDPDF=Y")</f>
        <v>5.11E-2</v>
      </c>
      <c r="N9" s="21">
        <f>_xll.BDH("NFLX US Equity","CFO_TO_AVG_CURRENT_LIABILITIES","FQ1 2014","FQ1 2014","Currency=USD","Period=FQ","BEST_FPERIOD_OVERRIDE=FQ","FILING_STATUS=MR","Sort=A","Dates=H","DateFormat=P","Fill=—","Direction=H","UseDPDF=Y")</f>
        <v>7.4099999999999999E-2</v>
      </c>
      <c r="O9" s="21">
        <f>_xll.BDH("NFLX US Equity","CFO_TO_AVG_CURRENT_LIABILITIES","FQ2 2014","FQ2 2014","Currency=USD","Period=FQ","BEST_FPERIOD_OVERRIDE=FQ","FILING_STATUS=MR","Sort=A","Dates=H","DateFormat=P","Fill=—","Direction=H","UseDPDF=Y")</f>
        <v>8.4099999999999994E-2</v>
      </c>
      <c r="P9" s="21">
        <f>_xll.BDH("NFLX US Equity","CFO_TO_AVG_CURRENT_LIABILITIES","FQ3 2014","FQ3 2014","Currency=USD","Period=FQ","BEST_FPERIOD_OVERRIDE=FQ","FILING_STATUS=MR","Sort=A","Dates=H","DateFormat=P","Fill=—","Direction=H","UseDPDF=Y")</f>
        <v>4.2999999999999997E-2</v>
      </c>
      <c r="Q9" s="21">
        <f>_xll.BDH("NFLX US Equity","CFO_TO_AVG_CURRENT_LIABILITIES","FQ4 2014","FQ4 2014","Currency=USD","Period=FQ","BEST_FPERIOD_OVERRIDE=FQ","FILING_STATUS=MR","Sort=A","Dates=H","DateFormat=P","Fill=—","Direction=H","UseDPDF=Y")</f>
        <v>6.7999999999999996E-3</v>
      </c>
      <c r="R9" s="21">
        <f>_xll.BDH("NFLX US Equity","CFO_TO_AVG_CURRENT_LIABILITIES","FQ1 2015","FQ1 2015","Currency=USD","Period=FQ","BEST_FPERIOD_OVERRIDE=FQ","FILING_STATUS=MR","Sort=A","Dates=H","DateFormat=P","Fill=—","Direction=H","UseDPDF=Y")</f>
        <v>-5.5899999999999998E-2</v>
      </c>
      <c r="S9" s="21">
        <f>_xll.BDH("NFLX US Equity","CFO_TO_AVG_CURRENT_LIABILITIES","FQ2 2015","FQ2 2015","Currency=USD","Period=FQ","BEST_FPERIOD_OVERRIDE=FQ","FILING_STATUS=MR","Sort=A","Dates=H","DateFormat=P","Fill=—","Direction=H","UseDPDF=Y")</f>
        <v>-0.13850000000000001</v>
      </c>
      <c r="T9" s="21">
        <f>_xll.BDH("NFLX US Equity","CFO_TO_AVG_CURRENT_LIABILITIES","FQ3 2015","FQ3 2015","Currency=USD","Period=FQ","BEST_FPERIOD_OVERRIDE=FQ","FILING_STATUS=MR","Sort=A","Dates=H","DateFormat=P","Fill=—","Direction=H","UseDPDF=Y")</f>
        <v>-0.18440000000000001</v>
      </c>
      <c r="U9" s="21">
        <f>_xll.BDH("NFLX US Equity","CFO_TO_AVG_CURRENT_LIABILITIES","FQ4 2015","FQ4 2015","Currency=USD","Period=FQ","BEST_FPERIOD_OVERRIDE=FQ","FILING_STATUS=MR","Sort=A","Dates=H","DateFormat=P","Fill=—","Direction=H","UseDPDF=Y")</f>
        <v>-0.24199999999999999</v>
      </c>
      <c r="V9" s="21">
        <f>_xll.BDH("NFLX US Equity","CFO_TO_AVG_CURRENT_LIABILITIES","FQ1 2016","FQ1 2016","Currency=USD","Period=FQ","BEST_FPERIOD_OVERRIDE=FQ","FILING_STATUS=MR","Sort=A","Dates=H","DateFormat=P","Fill=—","Direction=H","UseDPDF=Y")</f>
        <v>-0.24510000000000001</v>
      </c>
      <c r="W9" s="21">
        <f>_xll.BDH("NFLX US Equity","CFO_TO_AVG_CURRENT_LIABILITIES","FQ2 2016","FQ2 2016","Currency=USD","Period=FQ","BEST_FPERIOD_OVERRIDE=FQ","FILING_STATUS=MR","Sort=A","Dates=H","DateFormat=P","Fill=—","Direction=H","UseDPDF=Y")</f>
        <v>-0.24629999999999999</v>
      </c>
      <c r="X9" s="21">
        <f>_xll.BDH("NFLX US Equity","CFO_TO_AVG_CURRENT_LIABILITIES","FQ3 2016","FQ3 2016","Currency=USD","Period=FQ","BEST_FPERIOD_OVERRIDE=FQ","FILING_STATUS=MR","Sort=A","Dates=H","DateFormat=P","Fill=—","Direction=H","UseDPDF=Y")</f>
        <v>-0.29970000000000002</v>
      </c>
      <c r="Y9" s="21">
        <f>_xll.BDH("NFLX US Equity","CFO_TO_AVG_CURRENT_LIABILITIES","FQ4 2016","FQ4 2016","Currency=USD","Period=FQ","BEST_FPERIOD_OVERRIDE=FQ","FILING_STATUS=MR","Sort=A","Dates=H","DateFormat=P","Fill=—","Direction=H","UseDPDF=Y")</f>
        <v>-0.36320000000000002</v>
      </c>
      <c r="Z9" s="21">
        <f>_xll.BDH("NFLX US Equity","CFO_TO_AVG_CURRENT_LIABILITIES","FQ1 2017","FQ1 2017","Currency=USD","Period=FQ","BEST_FPERIOD_OVERRIDE=FQ","FILING_STATUS=MR","Sort=A","Dates=H","DateFormat=P","Fill=—","Direction=H","UseDPDF=Y")</f>
        <v>-0.3594</v>
      </c>
      <c r="AA9" s="21">
        <f>_xll.BDH("NFLX US Equity","CFO_TO_AVG_CURRENT_LIABILITIES","FQ2 2017","FQ2 2017","Currency=USD","Period=FQ","BEST_FPERIOD_OVERRIDE=FQ","FILING_STATUS=MR","Sort=A","Dates=H","DateFormat=P","Fill=—","Direction=H","UseDPDF=Y")</f>
        <v>-0.41360000000000002</v>
      </c>
      <c r="AB9" s="21">
        <f>_xll.BDH("NFLX US Equity","CFO_TO_AVG_CURRENT_LIABILITIES","FQ3 2017","FQ3 2017","Currency=USD","Period=FQ","BEST_FPERIOD_OVERRIDE=FQ","FILING_STATUS=MR","Sort=A","Dates=H","DateFormat=P","Fill=—","Direction=H","UseDPDF=Y")</f>
        <v>-0.38159999999999999</v>
      </c>
      <c r="AC9" s="21">
        <f>_xll.BDH("NFLX US Equity","CFO_TO_AVG_CURRENT_LIABILITIES","FQ4 2017","FQ4 2017","Currency=USD","Period=FQ","BEST_FPERIOD_OVERRIDE=FQ","FILING_STATUS=MR","Sort=A","Dates=H","DateFormat=P","Fill=—","Direction=H","UseDPDF=Y")</f>
        <v>-0.3553</v>
      </c>
      <c r="AD9" s="21">
        <f>_xll.BDH("NFLX US Equity","CFO_TO_AVG_CURRENT_LIABILITIES","FQ1 2018","FQ1 2018","Currency=USD","Period=FQ","BEST_FPERIOD_OVERRIDE=FQ","FILING_STATUS=MR","Sort=A","Dates=H","DateFormat=P","Fill=—","Direction=H","UseDPDF=Y")</f>
        <v>-0.30759999999999998</v>
      </c>
      <c r="AE9" s="21">
        <f>_xll.BDH("NFLX US Equity","CFO_TO_AVG_CURRENT_LIABILITIES","FQ2 2018","FQ2 2018","Currency=USD","Period=FQ","BEST_FPERIOD_OVERRIDE=FQ","FILING_STATUS=MR","Sort=A","Dates=H","DateFormat=P","Fill=—","Direction=H","UseDPDF=Y")</f>
        <v>-0.29680000000000001</v>
      </c>
      <c r="AF9" s="21">
        <f>_xll.BDH("NFLX US Equity","CFO_TO_AVG_CURRENT_LIABILITIES","FQ3 2018","FQ3 2018","Currency=USD","Period=FQ","BEST_FPERIOD_OVERRIDE=FQ","FILING_STATUS=MR","Sort=A","Dates=H","DateFormat=P","Fill=—","Direction=H","UseDPDF=Y")</f>
        <v>-0.33310000000000001</v>
      </c>
      <c r="AG9" s="21">
        <f>_xll.BDH("NFLX US Equity","CFO_TO_AVG_CURRENT_LIABILITIES","FQ4 2018","FQ4 2018","Currency=USD","Period=FQ","BEST_FPERIOD_OVERRIDE=FQ","FILING_STATUS=MR","Sort=A","Dates=H","DateFormat=P","Fill=—","Direction=H","UseDPDF=Y")</f>
        <v>-0.44850000000000001</v>
      </c>
      <c r="AH9" s="21">
        <f>_xll.BDH("NFLX US Equity","CFO_TO_AVG_CURRENT_LIABILITIES","FQ1 2019","FQ1 2019","Currency=USD","Period=FQ","BEST_FPERIOD_OVERRIDE=FQ","FILING_STATUS=MR","Sort=A","Dates=H","DateFormat=P","Fill=—","Direction=H","UseDPDF=Y")</f>
        <v>-0.439</v>
      </c>
      <c r="AI9" s="21">
        <f>_xll.BDH("NFLX US Equity","CFO_TO_AVG_CURRENT_LIABILITIES","FQ2 2019","FQ2 2019","Currency=USD","Period=FQ","BEST_FPERIOD_OVERRIDE=FQ","FILING_STATUS=MR","Sort=A","Dates=H","DateFormat=P","Fill=—","Direction=H","UseDPDF=Y")</f>
        <v>-0.43790000000000001</v>
      </c>
      <c r="AJ9" s="21">
        <f>_xll.BDH("NFLX US Equity","CFO_TO_AVG_CURRENT_LIABILITIES","FQ3 2019","FQ3 2019","Currency=USD","Period=FQ","BEST_FPERIOD_OVERRIDE=FQ","FILING_STATUS=MR","Sort=A","Dates=H","DateFormat=P","Fill=—","Direction=H","UseDPDF=Y")</f>
        <v>-0.39250000000000002</v>
      </c>
      <c r="AK9" s="21">
        <f>_xll.BDH("NFLX US Equity","CFO_TO_AVG_CURRENT_LIABILITIES","FQ4 2019","FQ4 2019","Currency=USD","Period=FQ","BEST_FPERIOD_OVERRIDE=FQ","FILING_STATUS=MR","Sort=A","Dates=H","DateFormat=P","Fill=—","Direction=H","UseDPDF=Y")</f>
        <v>-0.43280000000000002</v>
      </c>
      <c r="AL9" s="21">
        <f>_xll.BDH("NFLX US Equity","CFO_TO_AVG_CURRENT_LIABILITIES","FQ1 2020","FQ1 2020","Currency=USD","Period=FQ","BEST_FPERIOD_OVERRIDE=FQ","FILING_STATUS=MR","Sort=A","Dates=H","DateFormat=P","Fill=—","Direction=H","UseDPDF=Y")</f>
        <v>-0.30559999999999998</v>
      </c>
      <c r="AM9" s="21">
        <f>_xll.BDH("NFLX US Equity","CFO_TO_AVG_CURRENT_LIABILITIES","FQ2 2020","FQ2 2020","Currency=USD","Period=FQ","BEST_FPERIOD_OVERRIDE=FQ","FILING_STATUS=MR","Sort=A","Dates=H","DateFormat=P","Fill=—","Direction=H","UseDPDF=Y")</f>
        <v>-9.0999999999999998E-2</v>
      </c>
      <c r="AN9" s="21">
        <f>_xll.BDH("NFLX US Equity","CFO_TO_AVG_CURRENT_LIABILITIES","FQ3 2020","FQ3 2020","Currency=USD","Period=FQ","BEST_FPERIOD_OVERRIDE=FQ","FILING_STATUS=MR","Sort=A","Dates=H","DateFormat=P","Fill=—","Direction=H","UseDPDF=Y")</f>
        <v>0.14510000000000001</v>
      </c>
      <c r="AO9" s="21">
        <f>_xll.BDH("NFLX US Equity","CFO_TO_AVG_CURRENT_LIABILITIES","FQ4 2020","FQ4 2020","Currency=USD","Period=FQ","BEST_FPERIOD_OVERRIDE=FQ","FILING_STATUS=MR","Sort=A","Dates=H","DateFormat=P","Fill=—","Direction=H","UseDPDF=Y")</f>
        <v>0.33110000000000001</v>
      </c>
      <c r="AP9" s="21">
        <f>_xll.BDH("NFLX US Equity","CFO_TO_AVG_CURRENT_LIABILITIES","FQ1 2021","FQ1 2021","Currency=USD","Period=FQ","BEST_FPERIOD_OVERRIDE=FQ","FILING_STATUS=MR","Sort=A","Dates=H","DateFormat=P","Fill=—","Direction=H","UseDPDF=Y")</f>
        <v>0.37230000000000002</v>
      </c>
    </row>
    <row r="10" spans="1:42" x14ac:dyDescent="0.25">
      <c r="A10" s="8" t="s">
        <v>185</v>
      </c>
      <c r="B10" s="8" t="s">
        <v>184</v>
      </c>
      <c r="C10" s="21">
        <f>_xll.BDH("NFLX US Equity","COM_EQY_TO_TOT_ASSET","FQ2 2011","FQ2 2011","Currency=USD","Period=FQ","BEST_FPERIOD_OVERRIDE=FQ","FILING_STATUS=MR","Sort=A","Dates=H","DateFormat=P","Fill=—","Direction=H","UseDPDF=Y")</f>
        <v>21.2667</v>
      </c>
      <c r="D10" s="21">
        <f>_xll.BDH("NFLX US Equity","COM_EQY_TO_TOT_ASSET","FQ3 2011","FQ3 2011","Currency=USD","Period=FQ","BEST_FPERIOD_OVERRIDE=FQ","FILING_STATUS=MR","Sort=A","Dates=H","DateFormat=P","Fill=—","Direction=H","UseDPDF=Y")</f>
        <v>19.798100000000002</v>
      </c>
      <c r="E10" s="21">
        <f>_xll.BDH("NFLX US Equity","COM_EQY_TO_TOT_ASSET","FQ4 2011","FQ4 2011","Currency=USD","Period=FQ","BEST_FPERIOD_OVERRIDE=FQ","FILING_STATUS=MR","Sort=A","Dates=H","DateFormat=P","Fill=—","Direction=H","UseDPDF=Y")</f>
        <v>20.943899999999999</v>
      </c>
      <c r="F10" s="21">
        <f>_xll.BDH("NFLX US Equity","COM_EQY_TO_TOT_ASSET","FQ1 2012","FQ1 2012","Currency=USD","Period=FQ","BEST_FPERIOD_OVERRIDE=FQ","FILING_STATUS=MR","Sort=A","Dates=H","DateFormat=P","Fill=—","Direction=H","UseDPDF=Y")</f>
        <v>19.0608</v>
      </c>
      <c r="G10" s="21">
        <f>_xll.BDH("NFLX US Equity","COM_EQY_TO_TOT_ASSET","FQ2 2012","FQ2 2012","Currency=USD","Period=FQ","BEST_FPERIOD_OVERRIDE=FQ","FILING_STATUS=MR","Sort=A","Dates=H","DateFormat=P","Fill=—","Direction=H","UseDPDF=Y")</f>
        <v>19.786300000000001</v>
      </c>
      <c r="H10" s="21">
        <f>_xll.BDH("NFLX US Equity","COM_EQY_TO_TOT_ASSET","FQ3 2012","FQ3 2012","Currency=USD","Period=FQ","BEST_FPERIOD_OVERRIDE=FQ","FILING_STATUS=MR","Sort=A","Dates=H","DateFormat=P","Fill=—","Direction=H","UseDPDF=Y")</f>
        <v>18.820499999999999</v>
      </c>
      <c r="I10" s="21">
        <f>_xll.BDH("NFLX US Equity","COM_EQY_TO_TOT_ASSET","FQ4 2012","FQ4 2012","Currency=USD","Period=FQ","BEST_FPERIOD_OVERRIDE=FQ","FILING_STATUS=MR","Sort=A","Dates=H","DateFormat=P","Fill=—","Direction=H","UseDPDF=Y")</f>
        <v>18.767499999999998</v>
      </c>
      <c r="J10" s="21">
        <f>_xll.BDH("NFLX US Equity","COM_EQY_TO_TOT_ASSET","FQ1 2013","FQ1 2013","Currency=USD","Period=FQ","BEST_FPERIOD_OVERRIDE=FQ","FILING_STATUS=MR","Sort=A","Dates=H","DateFormat=P","Fill=—","Direction=H","UseDPDF=Y")</f>
        <v>18.6309</v>
      </c>
      <c r="K10" s="21">
        <f>_xll.BDH("NFLX US Equity","COM_EQY_TO_TOT_ASSET","FQ2 2013","FQ2 2013","Currency=USD","Period=FQ","BEST_FPERIOD_OVERRIDE=FQ","FILING_STATUS=MR","Sort=A","Dates=H","DateFormat=P","Fill=—","Direction=H","UseDPDF=Y")</f>
        <v>24.674900000000001</v>
      </c>
      <c r="L10" s="21">
        <f>_xll.BDH("NFLX US Equity","COM_EQY_TO_TOT_ASSET","FQ3 2013","FQ3 2013","Currency=USD","Period=FQ","BEST_FPERIOD_OVERRIDE=FQ","FILING_STATUS=MR","Sort=A","Dates=H","DateFormat=P","Fill=—","Direction=H","UseDPDF=Y")</f>
        <v>24.572299999999998</v>
      </c>
      <c r="M10" s="21">
        <f>_xll.BDH("NFLX US Equity","COM_EQY_TO_TOT_ASSET","FQ4 2013","FQ4 2013","Currency=USD","Period=FQ","BEST_FPERIOD_OVERRIDE=FQ","FILING_STATUS=MR","Sort=A","Dates=H","DateFormat=P","Fill=—","Direction=H","UseDPDF=Y")</f>
        <v>24.638300000000001</v>
      </c>
      <c r="N10" s="21">
        <f>_xll.BDH("NFLX US Equity","COM_EQY_TO_TOT_ASSET","FQ1 2014","FQ1 2014","Currency=USD","Period=FQ","BEST_FPERIOD_OVERRIDE=FQ","FILING_STATUS=MR","Sort=A","Dates=H","DateFormat=P","Fill=—","Direction=H","UseDPDF=Y")</f>
        <v>24.443300000000001</v>
      </c>
      <c r="O10" s="21">
        <f>_xll.BDH("NFLX US Equity","COM_EQY_TO_TOT_ASSET","FQ2 2014","FQ2 2014","Currency=USD","Period=FQ","BEST_FPERIOD_OVERRIDE=FQ","FILING_STATUS=MR","Sort=A","Dates=H","DateFormat=P","Fill=—","Direction=H","UseDPDF=Y")</f>
        <v>25.4466</v>
      </c>
      <c r="P10" s="21">
        <f>_xll.BDH("NFLX US Equity","COM_EQY_TO_TOT_ASSET","FQ3 2014","FQ3 2014","Currency=USD","Period=FQ","BEST_FPERIOD_OVERRIDE=FQ","FILING_STATUS=MR","Sort=A","Dates=H","DateFormat=P","Fill=—","Direction=H","UseDPDF=Y")</f>
        <v>25.446899999999999</v>
      </c>
      <c r="Q10" s="21">
        <f>_xll.BDH("NFLX US Equity","COM_EQY_TO_TOT_ASSET","FQ4 2014","FQ4 2014","Currency=USD","Period=FQ","BEST_FPERIOD_OVERRIDE=FQ","FILING_STATUS=MR","Sort=A","Dates=H","DateFormat=P","Fill=—","Direction=H","UseDPDF=Y")</f>
        <v>26.378499999999999</v>
      </c>
      <c r="R10" s="21">
        <f>_xll.BDH("NFLX US Equity","COM_EQY_TO_TOT_ASSET","FQ1 2015","FQ1 2015","Currency=USD","Period=FQ","BEST_FPERIOD_OVERRIDE=FQ","FILING_STATUS=MR","Sort=A","Dates=H","DateFormat=P","Fill=—","Direction=H","UseDPDF=Y")</f>
        <v>20.661100000000001</v>
      </c>
      <c r="S10" s="21">
        <f>_xll.BDH("NFLX US Equity","COM_EQY_TO_TOT_ASSET","FQ2 2015","FQ2 2015","Currency=USD","Period=FQ","BEST_FPERIOD_OVERRIDE=FQ","FILING_STATUS=MR","Sort=A","Dates=H","DateFormat=P","Fill=—","Direction=H","UseDPDF=Y")</f>
        <v>21.0472</v>
      </c>
      <c r="T10" s="21">
        <f>_xll.BDH("NFLX US Equity","COM_EQY_TO_TOT_ASSET","FQ3 2015","FQ3 2015","Currency=USD","Period=FQ","BEST_FPERIOD_OVERRIDE=FQ","FILING_STATUS=MR","Sort=A","Dates=H","DateFormat=P","Fill=—","Direction=H","UseDPDF=Y")</f>
        <v>21.856200000000001</v>
      </c>
      <c r="U10" s="21">
        <f>_xll.BDH("NFLX US Equity","COM_EQY_TO_TOT_ASSET","FQ4 2015","FQ4 2015","Currency=USD","Period=FQ","BEST_FPERIOD_OVERRIDE=FQ","FILING_STATUS=MR","Sort=A","Dates=H","DateFormat=P","Fill=—","Direction=H","UseDPDF=Y")</f>
        <v>21.792200000000001</v>
      </c>
      <c r="V10" s="21">
        <f>_xll.BDH("NFLX US Equity","COM_EQY_TO_TOT_ASSET","FQ1 2016","FQ1 2016","Currency=USD","Period=FQ","BEST_FPERIOD_OVERRIDE=FQ","FILING_STATUS=MR","Sort=A","Dates=H","DateFormat=P","Fill=—","Direction=H","UseDPDF=Y")</f>
        <v>20.575199999999999</v>
      </c>
      <c r="W10" s="21">
        <f>_xll.BDH("NFLX US Equity","COM_EQY_TO_TOT_ASSET","FQ2 2016","FQ2 2016","Currency=USD","Period=FQ","BEST_FPERIOD_OVERRIDE=FQ","FILING_STATUS=MR","Sort=A","Dates=H","DateFormat=P","Fill=—","Direction=H","UseDPDF=Y")</f>
        <v>20.837800000000001</v>
      </c>
      <c r="X10" s="21">
        <f>_xll.BDH("NFLX US Equity","COM_EQY_TO_TOT_ASSET","FQ3 2016","FQ3 2016","Currency=USD","Period=FQ","BEST_FPERIOD_OVERRIDE=FQ","FILING_STATUS=MR","Sort=A","Dates=H","DateFormat=P","Fill=—","Direction=H","UseDPDF=Y")</f>
        <v>20.4819</v>
      </c>
      <c r="Y10" s="21">
        <f>_xll.BDH("NFLX US Equity","COM_EQY_TO_TOT_ASSET","FQ4 2016","FQ4 2016","Currency=USD","Period=FQ","BEST_FPERIOD_OVERRIDE=FQ","FILING_STATUS=MR","Sort=A","Dates=H","DateFormat=P","Fill=—","Direction=H","UseDPDF=Y")</f>
        <v>19.723800000000001</v>
      </c>
      <c r="Z10" s="21">
        <f>_xll.BDH("NFLX US Equity","COM_EQY_TO_TOT_ASSET","FQ1 2017","FQ1 2017","Currency=USD","Period=FQ","BEST_FPERIOD_OVERRIDE=FQ","FILING_STATUS=MR","Sort=A","Dates=H","DateFormat=P","Fill=—","Direction=H","UseDPDF=Y")</f>
        <v>20.709399999999999</v>
      </c>
      <c r="AA10" s="21">
        <f>_xll.BDH("NFLX US Equity","COM_EQY_TO_TOT_ASSET","FQ2 2017","FQ2 2017","Currency=USD","Period=FQ","BEST_FPERIOD_OVERRIDE=FQ","FILING_STATUS=MR","Sort=A","Dates=H","DateFormat=P","Fill=—","Direction=H","UseDPDF=Y")</f>
        <v>18.844000000000001</v>
      </c>
      <c r="AB10" s="21">
        <f>_xll.BDH("NFLX US Equity","COM_EQY_TO_TOT_ASSET","FQ3 2017","FQ3 2017","Currency=USD","Period=FQ","BEST_FPERIOD_OVERRIDE=FQ","FILING_STATUS=MR","Sort=A","Dates=H","DateFormat=P","Fill=—","Direction=H","UseDPDF=Y")</f>
        <v>19.628699999999998</v>
      </c>
      <c r="AC10" s="21">
        <f>_xll.BDH("NFLX US Equity","COM_EQY_TO_TOT_ASSET","FQ4 2017","FQ4 2017","Currency=USD","Period=FQ","BEST_FPERIOD_OVERRIDE=FQ","FILING_STATUS=MR","Sort=A","Dates=H","DateFormat=P","Fill=—","Direction=H","UseDPDF=Y")</f>
        <v>18.8398</v>
      </c>
      <c r="AD10" s="21">
        <f>_xll.BDH("NFLX US Equity","COM_EQY_TO_TOT_ASSET","FQ1 2018","FQ1 2018","Currency=USD","Period=FQ","BEST_FPERIOD_OVERRIDE=FQ","FILING_STATUS=MR","Sort=A","Dates=H","DateFormat=P","Fill=—","Direction=H","UseDPDF=Y")</f>
        <v>19.9512</v>
      </c>
      <c r="AE10" s="21">
        <f>_xll.BDH("NFLX US Equity","COM_EQY_TO_TOT_ASSET","FQ2 2018","FQ2 2018","Currency=USD","Period=FQ","BEST_FPERIOD_OVERRIDE=FQ","FILING_STATUS=MR","Sort=A","Dates=H","DateFormat=P","Fill=—","Direction=H","UseDPDF=Y")</f>
        <v>19.840699999999998</v>
      </c>
      <c r="AF10" s="21">
        <f>_xll.BDH("NFLX US Equity","COM_EQY_TO_TOT_ASSET","FQ3 2018","FQ3 2018","Currency=USD","Period=FQ","BEST_FPERIOD_OVERRIDE=FQ","FILING_STATUS=MR","Sort=A","Dates=H","DateFormat=P","Fill=—","Direction=H","UseDPDF=Y")</f>
        <v>21.439699999999998</v>
      </c>
      <c r="AG10" s="21">
        <f>_xll.BDH("NFLX US Equity","COM_EQY_TO_TOT_ASSET","FQ4 2018","FQ4 2018","Currency=USD","Period=FQ","BEST_FPERIOD_OVERRIDE=FQ","FILING_STATUS=MR","Sort=A","Dates=H","DateFormat=P","Fill=—","Direction=H","UseDPDF=Y")</f>
        <v>20.169</v>
      </c>
      <c r="AH10" s="21">
        <f>_xll.BDH("NFLX US Equity","COM_EQY_TO_TOT_ASSET","FQ1 2019","FQ1 2019","Currency=USD","Period=FQ","BEST_FPERIOD_OVERRIDE=FQ","FILING_STATUS=MR","Sort=A","Dates=H","DateFormat=P","Fill=—","Direction=H","UseDPDF=Y")</f>
        <v>20.9528</v>
      </c>
      <c r="AI10" s="21">
        <f>_xll.BDH("NFLX US Equity","COM_EQY_TO_TOT_ASSET","FQ2 2019","FQ2 2019","Currency=USD","Period=FQ","BEST_FPERIOD_OVERRIDE=FQ","FILING_STATUS=MR","Sort=A","Dates=H","DateFormat=P","Fill=—","Direction=H","UseDPDF=Y")</f>
        <v>20.2363</v>
      </c>
      <c r="AJ10" s="21">
        <f>_xll.BDH("NFLX US Equity","COM_EQY_TO_TOT_ASSET","FQ3 2019","FQ3 2019","Currency=USD","Period=FQ","BEST_FPERIOD_OVERRIDE=FQ","FILING_STATUS=MR","Sort=A","Dates=H","DateFormat=P","Fill=—","Direction=H","UseDPDF=Y")</f>
        <v>22.175599999999999</v>
      </c>
      <c r="AK10" s="21">
        <f>_xll.BDH("NFLX US Equity","COM_EQY_TO_TOT_ASSET","FQ4 2019","FQ4 2019","Currency=USD","Period=FQ","BEST_FPERIOD_OVERRIDE=FQ","FILING_STATUS=MR","Sort=A","Dates=H","DateFormat=P","Fill=—","Direction=H","UseDPDF=Y")</f>
        <v>22.316400000000002</v>
      </c>
      <c r="AL10" s="21">
        <f>_xll.BDH("NFLX US Equity","COM_EQY_TO_TOT_ASSET","FQ1 2020","FQ1 2020","Currency=USD","Period=FQ","BEST_FPERIOD_OVERRIDE=FQ","FILING_STATUS=MR","Sort=A","Dates=H","DateFormat=P","Fill=—","Direction=H","UseDPDF=Y")</f>
        <v>23.985500000000002</v>
      </c>
      <c r="AM10" s="21">
        <f>_xll.BDH("NFLX US Equity","COM_EQY_TO_TOT_ASSET","FQ2 2020","FQ2 2020","Currency=USD","Period=FQ","BEST_FPERIOD_OVERRIDE=FQ","FILING_STATUS=MR","Sort=A","Dates=H","DateFormat=P","Fill=—","Direction=H","UseDPDF=Y")</f>
        <v>25.110099999999999</v>
      </c>
      <c r="AN10" s="21">
        <f>_xll.BDH("NFLX US Equity","COM_EQY_TO_TOT_ASSET","FQ3 2020","FQ3 2020","Currency=USD","Period=FQ","BEST_FPERIOD_OVERRIDE=FQ","FILING_STATUS=MR","Sort=A","Dates=H","DateFormat=P","Fill=—","Direction=H","UseDPDF=Y")</f>
        <v>26.7546</v>
      </c>
      <c r="AO10" s="21">
        <f>_xll.BDH("NFLX US Equity","COM_EQY_TO_TOT_ASSET","FQ4 2020","FQ4 2020","Currency=USD","Period=FQ","BEST_FPERIOD_OVERRIDE=FQ","FILING_STATUS=MR","Sort=A","Dates=H","DateFormat=P","Fill=—","Direction=H","UseDPDF=Y")</f>
        <v>28.169899999999998</v>
      </c>
      <c r="AP10" s="21">
        <f>_xll.BDH("NFLX US Equity","COM_EQY_TO_TOT_ASSET","FQ1 2021","FQ1 2021","Currency=USD","Period=FQ","BEST_FPERIOD_OVERRIDE=FQ","FILING_STATUS=MR","Sort=A","Dates=H","DateFormat=P","Fill=—","Direction=H","UseDPDF=Y")</f>
        <v>32.111400000000003</v>
      </c>
    </row>
    <row r="11" spans="1:42" x14ac:dyDescent="0.25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</row>
    <row r="12" spans="1:42" x14ac:dyDescent="0.25">
      <c r="A12" s="8" t="s">
        <v>183</v>
      </c>
      <c r="B12" s="8" t="s">
        <v>182</v>
      </c>
      <c r="C12" s="21">
        <f>_xll.BDH("NFLX US Equity","LT_DEBT_TO_TOT_EQY","FQ2 2011","FQ2 2011","Currency=USD","Period=FQ","BEST_FPERIOD_OVERRIDE=FQ","FILING_STATUS=MR","Sort=A","Dates=H","DateFormat=P","Fill=—","Direction=H","UseDPDF=Y")</f>
        <v>69.749200000000002</v>
      </c>
      <c r="D12" s="21">
        <f>_xll.BDH("NFLX US Equity","LT_DEBT_TO_TOT_EQY","FQ3 2011","FQ3 2011","Currency=USD","Period=FQ","BEST_FPERIOD_OVERRIDE=FQ","FILING_STATUS=MR","Sort=A","Dates=H","DateFormat=P","Fill=—","Direction=H","UseDPDF=Y")</f>
        <v>59.842599999999997</v>
      </c>
      <c r="E12" s="21">
        <f>_xll.BDH("NFLX US Equity","LT_DEBT_TO_TOT_EQY","FQ4 2011","FQ4 2011","Currency=USD","Period=FQ","BEST_FPERIOD_OVERRIDE=FQ","FILING_STATUS=MR","Sort=A","Dates=H","DateFormat=P","Fill=—","Direction=H","UseDPDF=Y")</f>
        <v>31.113399999999999</v>
      </c>
      <c r="F12" s="21">
        <f>_xll.BDH("NFLX US Equity","LT_DEBT_TO_TOT_EQY","FQ1 2012","FQ1 2012","Currency=USD","Period=FQ","BEST_FPERIOD_OVERRIDE=FQ","FILING_STATUS=MR","Sort=A","Dates=H","DateFormat=P","Fill=—","Direction=H","UseDPDF=Y")</f>
        <v>30.147600000000001</v>
      </c>
      <c r="G12" s="21">
        <f>_xll.BDH("NFLX US Equity","LT_DEBT_TO_TOT_EQY","FQ2 2012","FQ2 2012","Currency=USD","Period=FQ","BEST_FPERIOD_OVERRIDE=FQ","FILING_STATUS=MR","Sort=A","Dates=H","DateFormat=P","Fill=—","Direction=H","UseDPDF=Y")</f>
        <v>29.060199999999998</v>
      </c>
      <c r="H12" s="21">
        <f>_xll.BDH("NFLX US Equity","LT_DEBT_TO_TOT_EQY","FQ3 2012","FQ3 2012","Currency=USD","Period=FQ","BEST_FPERIOD_OVERRIDE=FQ","FILING_STATUS=MR","Sort=A","Dates=H","DateFormat=P","Fill=—","Direction=H","UseDPDF=Y")</f>
        <v>27.900200000000002</v>
      </c>
      <c r="I12" s="21">
        <f>_xll.BDH("NFLX US Equity","LT_DEBT_TO_TOT_EQY","FQ4 2012","FQ4 2012","Currency=USD","Period=FQ","BEST_FPERIOD_OVERRIDE=FQ","FILING_STATUS=MR","Sort=A","Dates=H","DateFormat=P","Fill=—","Direction=H","UseDPDF=Y")</f>
        <v>30.9666</v>
      </c>
      <c r="J12" s="21">
        <f>_xll.BDH("NFLX US Equity","LT_DEBT_TO_TOT_EQY","FQ1 2013","FQ1 2013","Currency=USD","Period=FQ","BEST_FPERIOD_OVERRIDE=FQ","FILING_STATUS=MR","Sort=A","Dates=H","DateFormat=P","Fill=—","Direction=H","UseDPDF=Y")</f>
        <v>61.506700000000002</v>
      </c>
      <c r="K12" s="21">
        <f>_xll.BDH("NFLX US Equity","LT_DEBT_TO_TOT_EQY","FQ2 2013","FQ2 2013","Currency=USD","Period=FQ","BEST_FPERIOD_OVERRIDE=FQ","FILING_STATUS=MR","Sort=A","Dates=H","DateFormat=P","Fill=—","Direction=H","UseDPDF=Y")</f>
        <v>45.223399999999998</v>
      </c>
      <c r="L12" s="21">
        <f>_xll.BDH("NFLX US Equity","LT_DEBT_TO_TOT_EQY","FQ3 2013","FQ3 2013","Currency=USD","Period=FQ","BEST_FPERIOD_OVERRIDE=FQ","FILING_STATUS=MR","Sort=A","Dates=H","DateFormat=P","Fill=—","Direction=H","UseDPDF=Y")</f>
        <v>41.515500000000003</v>
      </c>
      <c r="M12" s="21">
        <f>_xll.BDH("NFLX US Equity","LT_DEBT_TO_TOT_EQY","FQ4 2013","FQ4 2013","Currency=USD","Period=FQ","BEST_FPERIOD_OVERRIDE=FQ","FILING_STATUS=MR","Sort=A","Dates=H","DateFormat=P","Fill=—","Direction=H","UseDPDF=Y")</f>
        <v>37.493600000000001</v>
      </c>
      <c r="N12" s="21">
        <f>_xll.BDH("NFLX US Equity","LT_DEBT_TO_TOT_EQY","FQ1 2014","FQ1 2014","Currency=USD","Period=FQ","BEST_FPERIOD_OVERRIDE=FQ","FILING_STATUS=MR","Sort=A","Dates=H","DateFormat=P","Fill=—","Direction=H","UseDPDF=Y")</f>
        <v>60.878399999999999</v>
      </c>
      <c r="O12" s="21">
        <f>_xll.BDH("NFLX US Equity","LT_DEBT_TO_TOT_EQY","FQ2 2014","FQ2 2014","Currency=USD","Period=FQ","BEST_FPERIOD_OVERRIDE=FQ","FILING_STATUS=MR","Sort=A","Dates=H","DateFormat=P","Fill=—","Direction=H","UseDPDF=Y")</f>
        <v>55.910899999999998</v>
      </c>
      <c r="P12" s="21">
        <f>_xll.BDH("NFLX US Equity","LT_DEBT_TO_TOT_EQY","FQ3 2014","FQ3 2014","Currency=USD","Period=FQ","BEST_FPERIOD_OVERRIDE=FQ","FILING_STATUS=MR","Sort=A","Dates=H","DateFormat=P","Fill=—","Direction=H","UseDPDF=Y")</f>
        <v>52.177700000000002</v>
      </c>
      <c r="Q12" s="21">
        <f>_xll.BDH("NFLX US Equity","LT_DEBT_TO_TOT_EQY","FQ4 2014","FQ4 2014","Currency=USD","Period=FQ","BEST_FPERIOD_OVERRIDE=FQ","FILING_STATUS=MR","Sort=A","Dates=H","DateFormat=P","Fill=—","Direction=H","UseDPDF=Y")</f>
        <v>49.213799999999999</v>
      </c>
      <c r="R12" s="21">
        <f>_xll.BDH("NFLX US Equity","LT_DEBT_TO_TOT_EQY","FQ1 2015","FQ1 2015","Currency=USD","Period=FQ","BEST_FPERIOD_OVERRIDE=FQ","FILING_STATUS=MR","Sort=A","Dates=H","DateFormat=P","Fill=—","Direction=H","UseDPDF=Y")</f>
        <v>125.7062</v>
      </c>
      <c r="S12" s="21">
        <f>_xll.BDH("NFLX US Equity","LT_DEBT_TO_TOT_EQY","FQ2 2015","FQ2 2015","Currency=USD","Period=FQ","BEST_FPERIOD_OVERRIDE=FQ","FILING_STATUS=MR","Sort=A","Dates=H","DateFormat=P","Fill=—","Direction=H","UseDPDF=Y")</f>
        <v>118.10590000000001</v>
      </c>
      <c r="T12" s="21">
        <f>_xll.BDH("NFLX US Equity","LT_DEBT_TO_TOT_EQY","FQ3 2015","FQ3 2015","Currency=USD","Period=FQ","BEST_FPERIOD_OVERRIDE=FQ","FILING_STATUS=MR","Sort=A","Dates=H","DateFormat=P","Fill=—","Direction=H","UseDPDF=Y")</f>
        <v>110.7359</v>
      </c>
      <c r="U12" s="21">
        <f>_xll.BDH("NFLX US Equity","LT_DEBT_TO_TOT_EQY","FQ4 2015","FQ4 2015","Currency=USD","Period=FQ","BEST_FPERIOD_OVERRIDE=FQ","FILING_STATUS=MR","Sort=A","Dates=H","DateFormat=P","Fill=—","Direction=H","UseDPDF=Y")</f>
        <v>106.65349999999999</v>
      </c>
      <c r="V12" s="21">
        <f>_xll.BDH("NFLX US Equity","LT_DEBT_TO_TOT_EQY","FQ1 2016","FQ1 2016","Currency=USD","Period=FQ","BEST_FPERIOD_OVERRIDE=FQ","FILING_STATUS=MR","Sort=A","Dates=H","DateFormat=P","Fill=—","Direction=H","UseDPDF=Y")</f>
        <v>102.3729</v>
      </c>
      <c r="W12" s="21">
        <f>_xll.BDH("NFLX US Equity","LT_DEBT_TO_TOT_EQY","FQ2 2016","FQ2 2016","Currency=USD","Period=FQ","BEST_FPERIOD_OVERRIDE=FQ","FILING_STATUS=MR","Sort=A","Dates=H","DateFormat=P","Fill=—","Direction=H","UseDPDF=Y")</f>
        <v>98.230500000000006</v>
      </c>
      <c r="X12" s="21">
        <f>_xll.BDH("NFLX US Equity","LT_DEBT_TO_TOT_EQY","FQ3 2016","FQ3 2016","Currency=USD","Period=FQ","BEST_FPERIOD_OVERRIDE=FQ","FILING_STATUS=MR","Sort=A","Dates=H","DateFormat=P","Fill=—","Direction=H","UseDPDF=Y")</f>
        <v>93.870999999999995</v>
      </c>
      <c r="Y12" s="21">
        <f>_xll.BDH("NFLX US Equity","LT_DEBT_TO_TOT_EQY","FQ4 2016","FQ4 2016","Currency=USD","Period=FQ","BEST_FPERIOD_OVERRIDE=FQ","FILING_STATUS=MR","Sort=A","Dates=H","DateFormat=P","Fill=—","Direction=H","UseDPDF=Y")</f>
        <v>125.54340000000001</v>
      </c>
      <c r="Z12" s="21">
        <f>_xll.BDH("NFLX US Equity","LT_DEBT_TO_TOT_EQY","FQ1 2017","FQ1 2017","Currency=USD","Period=FQ","BEST_FPERIOD_OVERRIDE=FQ","FILING_STATUS=MR","Sort=A","Dates=H","DateFormat=P","Fill=—","Direction=H","UseDPDF=Y")</f>
        <v>113.1738</v>
      </c>
      <c r="AA12" s="21">
        <f>_xll.BDH("NFLX US Equity","LT_DEBT_TO_TOT_EQY","FQ2 2017","FQ2 2017","Currency=USD","Period=FQ","BEST_FPERIOD_OVERRIDE=FQ","FILING_STATUS=MR","Sort=A","Dates=H","DateFormat=P","Fill=—","Direction=H","UseDPDF=Y")</f>
        <v>155.3896</v>
      </c>
      <c r="AB12" s="21">
        <f>_xll.BDH("NFLX US Equity","LT_DEBT_TO_TOT_EQY","FQ3 2017","FQ3 2017","Currency=USD","Period=FQ","BEST_FPERIOD_OVERRIDE=FQ","FILING_STATUS=MR","Sort=A","Dates=H","DateFormat=P","Fill=—","Direction=H","UseDPDF=Y")</f>
        <v>146.92670000000001</v>
      </c>
      <c r="AC12" s="21">
        <f>_xll.BDH("NFLX US Equity","LT_DEBT_TO_TOT_EQY","FQ4 2017","FQ4 2017","Currency=USD","Period=FQ","BEST_FPERIOD_OVERRIDE=FQ","FILING_STATUS=MR","Sort=A","Dates=H","DateFormat=P","Fill=—","Direction=H","UseDPDF=Y")</f>
        <v>181.44919999999999</v>
      </c>
      <c r="AD12" s="21">
        <f>_xll.BDH("NFLX US Equity","LT_DEBT_TO_TOT_EQY","FQ1 2018","FQ1 2018","Currency=USD","Period=FQ","BEST_FPERIOD_OVERRIDE=FQ","FILING_STATUS=MR","Sort=A","Dates=H","DateFormat=P","Fill=—","Direction=H","UseDPDF=Y")</f>
        <v>162.71600000000001</v>
      </c>
      <c r="AE12" s="21">
        <f>_xll.BDH("NFLX US Equity","LT_DEBT_TO_TOT_EQY","FQ2 2018","FQ2 2018","Currency=USD","Period=FQ","BEST_FPERIOD_OVERRIDE=FQ","FILING_STATUS=MR","Sort=A","Dates=H","DateFormat=P","Fill=—","Direction=H","UseDPDF=Y")</f>
        <v>185.51939999999999</v>
      </c>
      <c r="AF12" s="21">
        <f>_xll.BDH("NFLX US Equity","LT_DEBT_TO_TOT_EQY","FQ3 2018","FQ3 2018","Currency=USD","Period=FQ","BEST_FPERIOD_OVERRIDE=FQ","FILING_STATUS=MR","Sort=A","Dates=H","DateFormat=P","Fill=—","Direction=H","UseDPDF=Y")</f>
        <v>166.41040000000001</v>
      </c>
      <c r="AG12" s="21">
        <f>_xll.BDH("NFLX US Equity","LT_DEBT_TO_TOT_EQY","FQ4 2018","FQ4 2018","Currency=USD","Period=FQ","BEST_FPERIOD_OVERRIDE=FQ","FILING_STATUS=MR","Sort=A","Dates=H","DateFormat=P","Fill=—","Direction=H","UseDPDF=Y")</f>
        <v>197.7576</v>
      </c>
      <c r="AH12" s="21">
        <f>_xll.BDH("NFLX US Equity","LT_DEBT_TO_TOT_EQY","FQ1 2019","FQ1 2019","Currency=USD","Period=FQ","BEST_FPERIOD_OVERRIDE=FQ","FILING_STATUS=MR","Sort=A","Dates=H","DateFormat=P","Fill=—","Direction=H","UseDPDF=Y")</f>
        <v>194.10720000000001</v>
      </c>
      <c r="AI12" s="21">
        <f>_xll.BDH("NFLX US Equity","LT_DEBT_TO_TOT_EQY","FQ2 2019","FQ2 2019","Currency=USD","Period=FQ","BEST_FPERIOD_OVERRIDE=FQ","FILING_STATUS=MR","Sort=A","Dates=H","DateFormat=P","Fill=—","Direction=H","UseDPDF=Y")</f>
        <v>221.773</v>
      </c>
      <c r="AJ12" s="21">
        <f>_xll.BDH("NFLX US Equity","LT_DEBT_TO_TOT_EQY","FQ3 2019","FQ3 2019","Currency=USD","Period=FQ","BEST_FPERIOD_OVERRIDE=FQ","FILING_STATUS=MR","Sort=A","Dates=H","DateFormat=P","Fill=—","Direction=H","UseDPDF=Y")</f>
        <v>194.97800000000001</v>
      </c>
      <c r="AK12" s="21">
        <f>_xll.BDH("NFLX US Equity","LT_DEBT_TO_TOT_EQY","FQ4 2019","FQ4 2019","Currency=USD","Period=FQ","BEST_FPERIOD_OVERRIDE=FQ","FILING_STATUS=MR","Sort=A","Dates=H","DateFormat=P","Fill=—","Direction=H","UseDPDF=Y")</f>
        <v>213.4204</v>
      </c>
      <c r="AL12" s="21">
        <f>_xll.BDH("NFLX US Equity","LT_DEBT_TO_TOT_EQY","FQ1 2020","FQ1 2020","Currency=USD","Period=FQ","BEST_FPERIOD_OVERRIDE=FQ","FILING_STATUS=MR","Sort=A","Dates=H","DateFormat=P","Fill=—","Direction=H","UseDPDF=Y")</f>
        <v>185.16050000000001</v>
      </c>
      <c r="AM12" s="21">
        <f>_xll.BDH("NFLX US Equity","LT_DEBT_TO_TOT_EQY","FQ2 2020","FQ2 2020","Currency=USD","Period=FQ","BEST_FPERIOD_OVERRIDE=FQ","FILING_STATUS=MR","Sort=A","Dates=H","DateFormat=P","Fill=—","Direction=H","UseDPDF=Y")</f>
        <v>181.92230000000001</v>
      </c>
      <c r="AN12" s="21">
        <f>_xll.BDH("NFLX US Equity","LT_DEBT_TO_TOT_EQY","FQ3 2020","FQ3 2020","Currency=USD","Period=FQ","BEST_FPERIOD_OVERRIDE=FQ","FILING_STATUS=MR","Sort=A","Dates=H","DateFormat=P","Fill=—","Direction=H","UseDPDF=Y")</f>
        <v>168.39320000000001</v>
      </c>
      <c r="AO12" s="21">
        <f>_xll.BDH("NFLX US Equity","LT_DEBT_TO_TOT_EQY","FQ4 2020","FQ4 2020","Currency=USD","Period=FQ","BEST_FPERIOD_OVERRIDE=FQ","FILING_STATUS=MR","Sort=A","Dates=H","DateFormat=P","Fill=—","Direction=H","UseDPDF=Y")</f>
        <v>160.45500000000001</v>
      </c>
      <c r="AP12" s="21">
        <f>_xll.BDH("NFLX US Equity","LT_DEBT_TO_TOT_EQY","FQ1 2021","FQ1 2021","Currency=USD","Period=FQ","BEST_FPERIOD_OVERRIDE=FQ","FILING_STATUS=MR","Sort=A","Dates=H","DateFormat=P","Fill=—","Direction=H","UseDPDF=Y")</f>
        <v>130.17959999999999</v>
      </c>
    </row>
    <row r="13" spans="1:42" x14ac:dyDescent="0.25">
      <c r="A13" s="8" t="s">
        <v>181</v>
      </c>
      <c r="B13" s="8" t="s">
        <v>180</v>
      </c>
      <c r="C13" s="21">
        <f>_xll.BDH("NFLX US Equity","LT_DEBT_TO_TOT_CAP","FQ2 2011","FQ2 2011","Currency=USD","Period=FQ","BEST_FPERIOD_OVERRIDE=FQ","FILING_STATUS=MR","Sort=A","Dates=H","DateFormat=P","Fill=—","Direction=H","UseDPDF=Y")</f>
        <v>40.930799999999998</v>
      </c>
      <c r="D13" s="21">
        <f>_xll.BDH("NFLX US Equity","LT_DEBT_TO_TOT_CAP","FQ3 2011","FQ3 2011","Currency=USD","Period=FQ","BEST_FPERIOD_OVERRIDE=FQ","FILING_STATUS=MR","Sort=A","Dates=H","DateFormat=P","Fill=—","Direction=H","UseDPDF=Y")</f>
        <v>37.302700000000002</v>
      </c>
      <c r="E13" s="21">
        <f>_xll.BDH("NFLX US Equity","LT_DEBT_TO_TOT_CAP","FQ4 2011","FQ4 2011","Currency=USD","Period=FQ","BEST_FPERIOD_OVERRIDE=FQ","FILING_STATUS=MR","Sort=A","Dates=H","DateFormat=P","Fill=—","Direction=H","UseDPDF=Y")</f>
        <v>23.7301</v>
      </c>
      <c r="F13" s="21">
        <f>_xll.BDH("NFLX US Equity","LT_DEBT_TO_TOT_CAP","FQ1 2012","FQ1 2012","Currency=USD","Period=FQ","BEST_FPERIOD_OVERRIDE=FQ","FILING_STATUS=MR","Sort=A","Dates=H","DateFormat=P","Fill=—","Direction=H","UseDPDF=Y")</f>
        <v>23.164200000000001</v>
      </c>
      <c r="G13" s="21">
        <f>_xll.BDH("NFLX US Equity","LT_DEBT_TO_TOT_CAP","FQ2 2012","FQ2 2012","Currency=USD","Period=FQ","BEST_FPERIOD_OVERRIDE=FQ","FILING_STATUS=MR","Sort=A","Dates=H","DateFormat=P","Fill=—","Direction=H","UseDPDF=Y")</f>
        <v>22.5168</v>
      </c>
      <c r="H13" s="21">
        <f>_xll.BDH("NFLX US Equity","LT_DEBT_TO_TOT_CAP","FQ3 2012","FQ3 2012","Currency=USD","Period=FQ","BEST_FPERIOD_OVERRIDE=FQ","FILING_STATUS=MR","Sort=A","Dates=H","DateFormat=P","Fill=—","Direction=H","UseDPDF=Y")</f>
        <v>21.8141</v>
      </c>
      <c r="I13" s="21">
        <f>_xll.BDH("NFLX US Equity","LT_DEBT_TO_TOT_CAP","FQ4 2012","FQ4 2012","Currency=USD","Period=FQ","BEST_FPERIOD_OVERRIDE=FQ","FILING_STATUS=MR","Sort=A","Dates=H","DateFormat=P","Fill=—","Direction=H","UseDPDF=Y")</f>
        <v>23.615600000000001</v>
      </c>
      <c r="J13" s="21">
        <f>_xll.BDH("NFLX US Equity","LT_DEBT_TO_TOT_CAP","FQ1 2013","FQ1 2013","Currency=USD","Period=FQ","BEST_FPERIOD_OVERRIDE=FQ","FILING_STATUS=MR","Sort=A","Dates=H","DateFormat=P","Fill=—","Direction=H","UseDPDF=Y")</f>
        <v>38.083100000000002</v>
      </c>
      <c r="K13" s="21">
        <f>_xll.BDH("NFLX US Equity","LT_DEBT_TO_TOT_CAP","FQ2 2013","FQ2 2013","Currency=USD","Period=FQ","BEST_FPERIOD_OVERRIDE=FQ","FILING_STATUS=MR","Sort=A","Dates=H","DateFormat=P","Fill=—","Direction=H","UseDPDF=Y")</f>
        <v>31.140599999999999</v>
      </c>
      <c r="L13" s="21">
        <f>_xll.BDH("NFLX US Equity","LT_DEBT_TO_TOT_CAP","FQ3 2013","FQ3 2013","Currency=USD","Period=FQ","BEST_FPERIOD_OVERRIDE=FQ","FILING_STATUS=MR","Sort=A","Dates=H","DateFormat=P","Fill=—","Direction=H","UseDPDF=Y")</f>
        <v>29.336400000000001</v>
      </c>
      <c r="M13" s="21">
        <f>_xll.BDH("NFLX US Equity","LT_DEBT_TO_TOT_CAP","FQ4 2013","FQ4 2013","Currency=USD","Period=FQ","BEST_FPERIOD_OVERRIDE=FQ","FILING_STATUS=MR","Sort=A","Dates=H","DateFormat=P","Fill=—","Direction=H","UseDPDF=Y")</f>
        <v>27.269300000000001</v>
      </c>
      <c r="N13" s="21">
        <f>_xll.BDH("NFLX US Equity","LT_DEBT_TO_TOT_CAP","FQ1 2014","FQ1 2014","Currency=USD","Period=FQ","BEST_FPERIOD_OVERRIDE=FQ","FILING_STATUS=MR","Sort=A","Dates=H","DateFormat=P","Fill=—","Direction=H","UseDPDF=Y")</f>
        <v>37.841200000000001</v>
      </c>
      <c r="O13" s="21">
        <f>_xll.BDH("NFLX US Equity","LT_DEBT_TO_TOT_CAP","FQ2 2014","FQ2 2014","Currency=USD","Period=FQ","BEST_FPERIOD_OVERRIDE=FQ","FILING_STATUS=MR","Sort=A","Dates=H","DateFormat=P","Fill=—","Direction=H","UseDPDF=Y")</f>
        <v>35.860799999999998</v>
      </c>
      <c r="P13" s="21">
        <f>_xll.BDH("NFLX US Equity","LT_DEBT_TO_TOT_CAP","FQ3 2014","FQ3 2014","Currency=USD","Period=FQ","BEST_FPERIOD_OVERRIDE=FQ","FILING_STATUS=MR","Sort=A","Dates=H","DateFormat=P","Fill=—","Direction=H","UseDPDF=Y")</f>
        <v>34.287399999999998</v>
      </c>
      <c r="Q13" s="21">
        <f>_xll.BDH("NFLX US Equity","LT_DEBT_TO_TOT_CAP","FQ4 2014","FQ4 2014","Currency=USD","Period=FQ","BEST_FPERIOD_OVERRIDE=FQ","FILING_STATUS=MR","Sort=A","Dates=H","DateFormat=P","Fill=—","Direction=H","UseDPDF=Y")</f>
        <v>32.967799999999997</v>
      </c>
      <c r="R13" s="21">
        <f>_xll.BDH("NFLX US Equity","LT_DEBT_TO_TOT_CAP","FQ1 2015","FQ1 2015","Currency=USD","Period=FQ","BEST_FPERIOD_OVERRIDE=FQ","FILING_STATUS=MR","Sort=A","Dates=H","DateFormat=P","Fill=—","Direction=H","UseDPDF=Y")</f>
        <v>55.694600000000001</v>
      </c>
      <c r="S13" s="21">
        <f>_xll.BDH("NFLX US Equity","LT_DEBT_TO_TOT_CAP","FQ2 2015","FQ2 2015","Currency=USD","Period=FQ","BEST_FPERIOD_OVERRIDE=FQ","FILING_STATUS=MR","Sort=A","Dates=H","DateFormat=P","Fill=—","Direction=H","UseDPDF=Y")</f>
        <v>54.150700000000001</v>
      </c>
      <c r="T13" s="21">
        <f>_xll.BDH("NFLX US Equity","LT_DEBT_TO_TOT_CAP","FQ3 2015","FQ3 2015","Currency=USD","Period=FQ","BEST_FPERIOD_OVERRIDE=FQ","FILING_STATUS=MR","Sort=A","Dates=H","DateFormat=P","Fill=—","Direction=H","UseDPDF=Y")</f>
        <v>52.547199999999997</v>
      </c>
      <c r="U13" s="21">
        <f>_xll.BDH("NFLX US Equity","LT_DEBT_TO_TOT_CAP","FQ4 2015","FQ4 2015","Currency=USD","Period=FQ","BEST_FPERIOD_OVERRIDE=FQ","FILING_STATUS=MR","Sort=A","Dates=H","DateFormat=P","Fill=—","Direction=H","UseDPDF=Y")</f>
        <v>51.6098</v>
      </c>
      <c r="V13" s="21">
        <f>_xll.BDH("NFLX US Equity","LT_DEBT_TO_TOT_CAP","FQ1 2016","FQ1 2016","Currency=USD","Period=FQ","BEST_FPERIOD_OVERRIDE=FQ","FILING_STATUS=MR","Sort=A","Dates=H","DateFormat=P","Fill=—","Direction=H","UseDPDF=Y")</f>
        <v>50.586300000000001</v>
      </c>
      <c r="W13" s="21">
        <f>_xll.BDH("NFLX US Equity","LT_DEBT_TO_TOT_CAP","FQ2 2016","FQ2 2016","Currency=USD","Period=FQ","BEST_FPERIOD_OVERRIDE=FQ","FILING_STATUS=MR","Sort=A","Dates=H","DateFormat=P","Fill=—","Direction=H","UseDPDF=Y")</f>
        <v>49.553699999999999</v>
      </c>
      <c r="X13" s="21">
        <f>_xll.BDH("NFLX US Equity","LT_DEBT_TO_TOT_CAP","FQ3 2016","FQ3 2016","Currency=USD","Period=FQ","BEST_FPERIOD_OVERRIDE=FQ","FILING_STATUS=MR","Sort=A","Dates=H","DateFormat=P","Fill=—","Direction=H","UseDPDF=Y")</f>
        <v>48.4193</v>
      </c>
      <c r="Y13" s="21">
        <f>_xll.BDH("NFLX US Equity","LT_DEBT_TO_TOT_CAP","FQ4 2016","FQ4 2016","Currency=USD","Period=FQ","BEST_FPERIOD_OVERRIDE=FQ","FILING_STATUS=MR","Sort=A","Dates=H","DateFormat=P","Fill=—","Direction=H","UseDPDF=Y")</f>
        <v>55.662599999999998</v>
      </c>
      <c r="Z13" s="21">
        <f>_xll.BDH("NFLX US Equity","LT_DEBT_TO_TOT_CAP","FQ1 2017","FQ1 2017","Currency=USD","Period=FQ","BEST_FPERIOD_OVERRIDE=FQ","FILING_STATUS=MR","Sort=A","Dates=H","DateFormat=P","Fill=—","Direction=H","UseDPDF=Y")</f>
        <v>53.0899</v>
      </c>
      <c r="AA13" s="21">
        <f>_xll.BDH("NFLX US Equity","LT_DEBT_TO_TOT_CAP","FQ2 2017","FQ2 2017","Currency=USD","Period=FQ","BEST_FPERIOD_OVERRIDE=FQ","FILING_STATUS=MR","Sort=A","Dates=H","DateFormat=P","Fill=—","Direction=H","UseDPDF=Y")</f>
        <v>60.844099999999997</v>
      </c>
      <c r="AB13" s="21">
        <f>_xll.BDH("NFLX US Equity","LT_DEBT_TO_TOT_CAP","FQ3 2017","FQ3 2017","Currency=USD","Period=FQ","BEST_FPERIOD_OVERRIDE=FQ","FILING_STATUS=MR","Sort=A","Dates=H","DateFormat=P","Fill=—","Direction=H","UseDPDF=Y")</f>
        <v>59.502200000000002</v>
      </c>
      <c r="AC13" s="21">
        <f>_xll.BDH("NFLX US Equity","LT_DEBT_TO_TOT_CAP","FQ4 2017","FQ4 2017","Currency=USD","Period=FQ","BEST_FPERIOD_OVERRIDE=FQ","FILING_STATUS=MR","Sort=A","Dates=H","DateFormat=P","Fill=—","Direction=H","UseDPDF=Y")</f>
        <v>64.4696</v>
      </c>
      <c r="AD13" s="21">
        <f>_xll.BDH("NFLX US Equity","LT_DEBT_TO_TOT_CAP","FQ1 2018","FQ1 2018","Currency=USD","Period=FQ","BEST_FPERIOD_OVERRIDE=FQ","FILING_STATUS=MR","Sort=A","Dates=H","DateFormat=P","Fill=—","Direction=H","UseDPDF=Y")</f>
        <v>61.936100000000003</v>
      </c>
      <c r="AE13" s="21">
        <f>_xll.BDH("NFLX US Equity","LT_DEBT_TO_TOT_CAP","FQ2 2018","FQ2 2018","Currency=USD","Period=FQ","BEST_FPERIOD_OVERRIDE=FQ","FILING_STATUS=MR","Sort=A","Dates=H","DateFormat=P","Fill=—","Direction=H","UseDPDF=Y")</f>
        <v>64.976100000000002</v>
      </c>
      <c r="AF13" s="21">
        <f>_xll.BDH("NFLX US Equity","LT_DEBT_TO_TOT_CAP","FQ3 2018","FQ3 2018","Currency=USD","Period=FQ","BEST_FPERIOD_OVERRIDE=FQ","FILING_STATUS=MR","Sort=A","Dates=H","DateFormat=P","Fill=—","Direction=H","UseDPDF=Y")</f>
        <v>62.463900000000002</v>
      </c>
      <c r="AG13" s="21">
        <f>_xll.BDH("NFLX US Equity","LT_DEBT_TO_TOT_CAP","FQ4 2018","FQ4 2018","Currency=USD","Period=FQ","BEST_FPERIOD_OVERRIDE=FQ","FILING_STATUS=MR","Sort=A","Dates=H","DateFormat=P","Fill=—","Direction=H","UseDPDF=Y")</f>
        <v>66.415599999999998</v>
      </c>
      <c r="AH13" s="21">
        <f>_xll.BDH("NFLX US Equity","LT_DEBT_TO_TOT_CAP","FQ1 2019","FQ1 2019","Currency=USD","Period=FQ","BEST_FPERIOD_OVERRIDE=FQ","FILING_STATUS=MR","Sort=A","Dates=H","DateFormat=P","Fill=—","Direction=H","UseDPDF=Y")</f>
        <v>65.520300000000006</v>
      </c>
      <c r="AI13" s="21">
        <f>_xll.BDH("NFLX US Equity","LT_DEBT_TO_TOT_CAP","FQ2 2019","FQ2 2019","Currency=USD","Period=FQ","BEST_FPERIOD_OVERRIDE=FQ","FILING_STATUS=MR","Sort=A","Dates=H","DateFormat=P","Fill=—","Direction=H","UseDPDF=Y")</f>
        <v>68.442599999999999</v>
      </c>
      <c r="AJ13" s="21">
        <f>_xll.BDH("NFLX US Equity","LT_DEBT_TO_TOT_CAP","FQ3 2019","FQ3 2019","Currency=USD","Period=FQ","BEST_FPERIOD_OVERRIDE=FQ","FILING_STATUS=MR","Sort=A","Dates=H","DateFormat=P","Fill=—","Direction=H","UseDPDF=Y")</f>
        <v>65.577699999999993</v>
      </c>
      <c r="AK13" s="21">
        <f>_xll.BDH("NFLX US Equity","LT_DEBT_TO_TOT_CAP","FQ4 2019","FQ4 2019","Currency=USD","Period=FQ","BEST_FPERIOD_OVERRIDE=FQ","FILING_STATUS=MR","Sort=A","Dates=H","DateFormat=P","Fill=—","Direction=H","UseDPDF=Y")</f>
        <v>67.552099999999996</v>
      </c>
      <c r="AL13" s="21">
        <f>_xll.BDH("NFLX US Equity","LT_DEBT_TO_TOT_CAP","FQ1 2020","FQ1 2020","Currency=USD","Period=FQ","BEST_FPERIOD_OVERRIDE=FQ","FILING_STATUS=MR","Sort=A","Dates=H","DateFormat=P","Fill=—","Direction=H","UseDPDF=Y")</f>
        <v>63.1036</v>
      </c>
      <c r="AM13" s="21">
        <f>_xll.BDH("NFLX US Equity","LT_DEBT_TO_TOT_CAP","FQ2 2020","FQ2 2020","Currency=USD","Period=FQ","BEST_FPERIOD_OVERRIDE=FQ","FILING_STATUS=MR","Sort=A","Dates=H","DateFormat=P","Fill=—","Direction=H","UseDPDF=Y")</f>
        <v>62.796500000000002</v>
      </c>
      <c r="AN13" s="21">
        <f>_xll.BDH("NFLX US Equity","LT_DEBT_TO_TOT_CAP","FQ3 2020","FQ3 2020","Currency=USD","Period=FQ","BEST_FPERIOD_OVERRIDE=FQ","FILING_STATUS=MR","Sort=A","Dates=H","DateFormat=P","Fill=—","Direction=H","UseDPDF=Y")</f>
        <v>61.118099999999998</v>
      </c>
      <c r="AO13" s="21">
        <f>_xll.BDH("NFLX US Equity","LT_DEBT_TO_TOT_CAP","FQ4 2020","FQ4 2020","Currency=USD","Period=FQ","BEST_FPERIOD_OVERRIDE=FQ","FILING_STATUS=MR","Sort=A","Dates=H","DateFormat=P","Fill=—","Direction=H","UseDPDF=Y")</f>
        <v>60.030700000000003</v>
      </c>
      <c r="AP13" s="21">
        <f>_xll.BDH("NFLX US Equity","LT_DEBT_TO_TOT_CAP","FQ1 2021","FQ1 2021","Currency=USD","Period=FQ","BEST_FPERIOD_OVERRIDE=FQ","FILING_STATUS=MR","Sort=A","Dates=H","DateFormat=P","Fill=—","Direction=H","UseDPDF=Y")</f>
        <v>54.77</v>
      </c>
    </row>
    <row r="14" spans="1:42" x14ac:dyDescent="0.25">
      <c r="A14" s="8" t="s">
        <v>179</v>
      </c>
      <c r="B14" s="8" t="s">
        <v>178</v>
      </c>
      <c r="C14" s="21">
        <f>_xll.BDH("NFLX US Equity","LT_DEBT_TO_TOT_ASSET","FQ2 2011","FQ2 2011","Currency=USD","Period=FQ","BEST_FPERIOD_OVERRIDE=FQ","FILING_STATUS=MR","Sort=A","Dates=H","DateFormat=P","Fill=—","Direction=H","UseDPDF=Y")</f>
        <v>14.833299999999999</v>
      </c>
      <c r="D14" s="21">
        <f>_xll.BDH("NFLX US Equity","LT_DEBT_TO_TOT_ASSET","FQ3 2011","FQ3 2011","Currency=USD","Period=FQ","BEST_FPERIOD_OVERRIDE=FQ","FILING_STATUS=MR","Sort=A","Dates=H","DateFormat=P","Fill=—","Direction=H","UseDPDF=Y")</f>
        <v>11.8477</v>
      </c>
      <c r="E14" s="21">
        <f>_xll.BDH("NFLX US Equity","LT_DEBT_TO_TOT_ASSET","FQ4 2011","FQ4 2011","Currency=USD","Period=FQ","BEST_FPERIOD_OVERRIDE=FQ","FILING_STATUS=MR","Sort=A","Dates=H","DateFormat=P","Fill=—","Direction=H","UseDPDF=Y")</f>
        <v>6.5164</v>
      </c>
      <c r="F14" s="21">
        <f>_xll.BDH("NFLX US Equity","LT_DEBT_TO_TOT_ASSET","FQ1 2012","FQ1 2012","Currency=USD","Period=FQ","BEST_FPERIOD_OVERRIDE=FQ","FILING_STATUS=MR","Sort=A","Dates=H","DateFormat=P","Fill=—","Direction=H","UseDPDF=Y")</f>
        <v>5.7463999999999995</v>
      </c>
      <c r="G14" s="21">
        <f>_xll.BDH("NFLX US Equity","LT_DEBT_TO_TOT_ASSET","FQ2 2012","FQ2 2012","Currency=USD","Period=FQ","BEST_FPERIOD_OVERRIDE=FQ","FILING_STATUS=MR","Sort=A","Dates=H","DateFormat=P","Fill=—","Direction=H","UseDPDF=Y")</f>
        <v>5.75</v>
      </c>
      <c r="H14" s="21">
        <f>_xll.BDH("NFLX US Equity","LT_DEBT_TO_TOT_ASSET","FQ3 2012","FQ3 2012","Currency=USD","Period=FQ","BEST_FPERIOD_OVERRIDE=FQ","FILING_STATUS=MR","Sort=A","Dates=H","DateFormat=P","Fill=—","Direction=H","UseDPDF=Y")</f>
        <v>5.2510000000000003</v>
      </c>
      <c r="I14" s="21">
        <f>_xll.BDH("NFLX US Equity","LT_DEBT_TO_TOT_ASSET","FQ4 2012","FQ4 2012","Currency=USD","Period=FQ","BEST_FPERIOD_OVERRIDE=FQ","FILING_STATUS=MR","Sort=A","Dates=H","DateFormat=P","Fill=—","Direction=H","UseDPDF=Y")</f>
        <v>5.8117000000000001</v>
      </c>
      <c r="J14" s="21">
        <f>_xll.BDH("NFLX US Equity","LT_DEBT_TO_TOT_ASSET","FQ1 2013","FQ1 2013","Currency=USD","Period=FQ","BEST_FPERIOD_OVERRIDE=FQ","FILING_STATUS=MR","Sort=A","Dates=H","DateFormat=P","Fill=—","Direction=H","UseDPDF=Y")</f>
        <v>11.459199999999999</v>
      </c>
      <c r="K14" s="21">
        <f>_xll.BDH("NFLX US Equity","LT_DEBT_TO_TOT_ASSET","FQ2 2013","FQ2 2013","Currency=USD","Period=FQ","BEST_FPERIOD_OVERRIDE=FQ","FILING_STATUS=MR","Sort=A","Dates=H","DateFormat=P","Fill=—","Direction=H","UseDPDF=Y")</f>
        <v>11.158799999999999</v>
      </c>
      <c r="L14" s="21">
        <f>_xll.BDH("NFLX US Equity","LT_DEBT_TO_TOT_ASSET","FQ3 2013","FQ3 2013","Currency=USD","Period=FQ","BEST_FPERIOD_OVERRIDE=FQ","FILING_STATUS=MR","Sort=A","Dates=H","DateFormat=P","Fill=—","Direction=H","UseDPDF=Y")</f>
        <v>10.2013</v>
      </c>
      <c r="M14" s="21">
        <f>_xll.BDH("NFLX US Equity","LT_DEBT_TO_TOT_ASSET","FQ4 2013","FQ4 2013","Currency=USD","Period=FQ","BEST_FPERIOD_OVERRIDE=FQ","FILING_STATUS=MR","Sort=A","Dates=H","DateFormat=P","Fill=—","Direction=H","UseDPDF=Y")</f>
        <v>9.2378</v>
      </c>
      <c r="N14" s="21">
        <f>_xll.BDH("NFLX US Equity","LT_DEBT_TO_TOT_ASSET","FQ1 2014","FQ1 2014","Currency=USD","Period=FQ","BEST_FPERIOD_OVERRIDE=FQ","FILING_STATUS=MR","Sort=A","Dates=H","DateFormat=P","Fill=—","Direction=H","UseDPDF=Y")</f>
        <v>14.880700000000001</v>
      </c>
      <c r="O14" s="21">
        <f>_xll.BDH("NFLX US Equity","LT_DEBT_TO_TOT_ASSET","FQ2 2014","FQ2 2014","Currency=USD","Period=FQ","BEST_FPERIOD_OVERRIDE=FQ","FILING_STATUS=MR","Sort=A","Dates=H","DateFormat=P","Fill=—","Direction=H","UseDPDF=Y")</f>
        <v>14.227399999999999</v>
      </c>
      <c r="P14" s="21">
        <f>_xll.BDH("NFLX US Equity","LT_DEBT_TO_TOT_ASSET","FQ3 2014","FQ3 2014","Currency=USD","Period=FQ","BEST_FPERIOD_OVERRIDE=FQ","FILING_STATUS=MR","Sort=A","Dates=H","DateFormat=P","Fill=—","Direction=H","UseDPDF=Y")</f>
        <v>13.2776</v>
      </c>
      <c r="Q14" s="21">
        <f>_xll.BDH("NFLX US Equity","LT_DEBT_TO_TOT_ASSET","FQ4 2014","FQ4 2014","Currency=USD","Period=FQ","BEST_FPERIOD_OVERRIDE=FQ","FILING_STATUS=MR","Sort=A","Dates=H","DateFormat=P","Fill=—","Direction=H","UseDPDF=Y")</f>
        <v>12.9819</v>
      </c>
      <c r="R14" s="21">
        <f>_xll.BDH("NFLX US Equity","LT_DEBT_TO_TOT_ASSET","FQ1 2015","FQ1 2015","Currency=USD","Period=FQ","BEST_FPERIOD_OVERRIDE=FQ","FILING_STATUS=MR","Sort=A","Dates=H","DateFormat=P","Fill=—","Direction=H","UseDPDF=Y")</f>
        <v>25.972300000000001</v>
      </c>
      <c r="S14" s="21">
        <f>_xll.BDH("NFLX US Equity","LT_DEBT_TO_TOT_ASSET","FQ2 2015","FQ2 2015","Currency=USD","Period=FQ","BEST_FPERIOD_OVERRIDE=FQ","FILING_STATUS=MR","Sort=A","Dates=H","DateFormat=P","Fill=—","Direction=H","UseDPDF=Y")</f>
        <v>24.857900000000001</v>
      </c>
      <c r="T14" s="21">
        <f>_xll.BDH("NFLX US Equity","LT_DEBT_TO_TOT_ASSET","FQ3 2015","FQ3 2015","Currency=USD","Period=FQ","BEST_FPERIOD_OVERRIDE=FQ","FILING_STATUS=MR","Sort=A","Dates=H","DateFormat=P","Fill=—","Direction=H","UseDPDF=Y")</f>
        <v>24.2027</v>
      </c>
      <c r="U14" s="21">
        <f>_xll.BDH("NFLX US Equity","LT_DEBT_TO_TOT_ASSET","FQ4 2015","FQ4 2015","Currency=USD","Period=FQ","BEST_FPERIOD_OVERRIDE=FQ","FILING_STATUS=MR","Sort=A","Dates=H","DateFormat=P","Fill=—","Direction=H","UseDPDF=Y")</f>
        <v>23.242100000000001</v>
      </c>
      <c r="V14" s="21">
        <f>_xll.BDH("NFLX US Equity","LT_DEBT_TO_TOT_ASSET","FQ1 2016","FQ1 2016","Currency=USD","Period=FQ","BEST_FPERIOD_OVERRIDE=FQ","FILING_STATUS=MR","Sort=A","Dates=H","DateFormat=P","Fill=—","Direction=H","UseDPDF=Y")</f>
        <v>21.063400000000001</v>
      </c>
      <c r="W14" s="21">
        <f>_xll.BDH("NFLX US Equity","LT_DEBT_TO_TOT_ASSET","FQ2 2016","FQ2 2016","Currency=USD","Period=FQ","BEST_FPERIOD_OVERRIDE=FQ","FILING_STATUS=MR","Sort=A","Dates=H","DateFormat=P","Fill=—","Direction=H","UseDPDF=Y")</f>
        <v>20.469100000000001</v>
      </c>
      <c r="X14" s="21">
        <f>_xll.BDH("NFLX US Equity","LT_DEBT_TO_TOT_ASSET","FQ3 2016","FQ3 2016","Currency=USD","Period=FQ","BEST_FPERIOD_OVERRIDE=FQ","FILING_STATUS=MR","Sort=A","Dates=H","DateFormat=P","Fill=—","Direction=H","UseDPDF=Y")</f>
        <v>19.226500000000001</v>
      </c>
      <c r="Y14" s="21">
        <f>_xll.BDH("NFLX US Equity","LT_DEBT_TO_TOT_ASSET","FQ4 2016","FQ4 2016","Currency=USD","Period=FQ","BEST_FPERIOD_OVERRIDE=FQ","FILING_STATUS=MR","Sort=A","Dates=H","DateFormat=P","Fill=—","Direction=H","UseDPDF=Y")</f>
        <v>24.762</v>
      </c>
      <c r="Z14" s="21">
        <f>_xll.BDH("NFLX US Equity","LT_DEBT_TO_TOT_ASSET","FQ1 2017","FQ1 2017","Currency=USD","Period=FQ","BEST_FPERIOD_OVERRIDE=FQ","FILING_STATUS=MR","Sort=A","Dates=H","DateFormat=P","Fill=—","Direction=H","UseDPDF=Y")</f>
        <v>23.4376</v>
      </c>
      <c r="AA14" s="21">
        <f>_xll.BDH("NFLX US Equity","LT_DEBT_TO_TOT_ASSET","FQ2 2017","FQ2 2017","Currency=USD","Period=FQ","BEST_FPERIOD_OVERRIDE=FQ","FILING_STATUS=MR","Sort=A","Dates=H","DateFormat=P","Fill=—","Direction=H","UseDPDF=Y")</f>
        <v>29.281600000000001</v>
      </c>
      <c r="AB14" s="21">
        <f>_xll.BDH("NFLX US Equity","LT_DEBT_TO_TOT_ASSET","FQ3 2017","FQ3 2017","Currency=USD","Period=FQ","BEST_FPERIOD_OVERRIDE=FQ","FILING_STATUS=MR","Sort=A","Dates=H","DateFormat=P","Fill=—","Direction=H","UseDPDF=Y")</f>
        <v>28.8398</v>
      </c>
      <c r="AC14" s="21">
        <f>_xll.BDH("NFLX US Equity","LT_DEBT_TO_TOT_ASSET","FQ4 2017","FQ4 2017","Currency=USD","Period=FQ","BEST_FPERIOD_OVERRIDE=FQ","FILING_STATUS=MR","Sort=A","Dates=H","DateFormat=P","Fill=—","Direction=H","UseDPDF=Y")</f>
        <v>34.184600000000003</v>
      </c>
      <c r="AD14" s="21">
        <f>_xll.BDH("NFLX US Equity","LT_DEBT_TO_TOT_ASSET","FQ1 2018","FQ1 2018","Currency=USD","Period=FQ","BEST_FPERIOD_OVERRIDE=FQ","FILING_STATUS=MR","Sort=A","Dates=H","DateFormat=P","Fill=—","Direction=H","UseDPDF=Y")</f>
        <v>32.463799999999999</v>
      </c>
      <c r="AE14" s="21">
        <f>_xll.BDH("NFLX US Equity","LT_DEBT_TO_TOT_ASSET","FQ2 2018","FQ2 2018","Currency=USD","Period=FQ","BEST_FPERIOD_OVERRIDE=FQ","FILING_STATUS=MR","Sort=A","Dates=H","DateFormat=P","Fill=—","Direction=H","UseDPDF=Y")</f>
        <v>36.808300000000003</v>
      </c>
      <c r="AF14" s="21">
        <f>_xll.BDH("NFLX US Equity","LT_DEBT_TO_TOT_ASSET","FQ3 2018","FQ3 2018","Currency=USD","Period=FQ","BEST_FPERIOD_OVERRIDE=FQ","FILING_STATUS=MR","Sort=A","Dates=H","DateFormat=P","Fill=—","Direction=H","UseDPDF=Y")</f>
        <v>35.677900000000001</v>
      </c>
      <c r="AG14" s="21">
        <f>_xll.BDH("NFLX US Equity","LT_DEBT_TO_TOT_ASSET","FQ4 2018","FQ4 2018","Currency=USD","Period=FQ","BEST_FPERIOD_OVERRIDE=FQ","FILING_STATUS=MR","Sort=A","Dates=H","DateFormat=P","Fill=—","Direction=H","UseDPDF=Y")</f>
        <v>39.885599999999997</v>
      </c>
      <c r="AH14" s="21">
        <f>_xll.BDH("NFLX US Equity","LT_DEBT_TO_TOT_ASSET","FQ1 2019","FQ1 2019","Currency=USD","Period=FQ","BEST_FPERIOD_OVERRIDE=FQ","FILING_STATUS=MR","Sort=A","Dates=H","DateFormat=P","Fill=—","Direction=H","UseDPDF=Y")</f>
        <v>40.6708</v>
      </c>
      <c r="AI14" s="21">
        <f>_xll.BDH("NFLX US Equity","LT_DEBT_TO_TOT_ASSET","FQ2 2019","FQ2 2019","Currency=USD","Period=FQ","BEST_FPERIOD_OVERRIDE=FQ","FILING_STATUS=MR","Sort=A","Dates=H","DateFormat=P","Fill=—","Direction=H","UseDPDF=Y")</f>
        <v>44.878500000000003</v>
      </c>
      <c r="AJ14" s="21">
        <f>_xll.BDH("NFLX US Equity","LT_DEBT_TO_TOT_ASSET","FQ3 2019","FQ3 2019","Currency=USD","Period=FQ","BEST_FPERIOD_OVERRIDE=FQ","FILING_STATUS=MR","Sort=A","Dates=H","DateFormat=P","Fill=—","Direction=H","UseDPDF=Y")</f>
        <v>43.237499999999997</v>
      </c>
      <c r="AK14" s="21">
        <f>_xll.BDH("NFLX US Equity","LT_DEBT_TO_TOT_ASSET","FQ4 2019","FQ4 2019","Currency=USD","Period=FQ","BEST_FPERIOD_OVERRIDE=FQ","FILING_STATUS=MR","Sort=A","Dates=H","DateFormat=P","Fill=—","Direction=H","UseDPDF=Y")</f>
        <v>47.627800000000001</v>
      </c>
      <c r="AL14" s="21">
        <f>_xll.BDH("NFLX US Equity","LT_DEBT_TO_TOT_ASSET","FQ1 2020","FQ1 2020","Currency=USD","Period=FQ","BEST_FPERIOD_OVERRIDE=FQ","FILING_STATUS=MR","Sort=A","Dates=H","DateFormat=P","Fill=—","Direction=H","UseDPDF=Y")</f>
        <v>44.411700000000003</v>
      </c>
      <c r="AM14" s="21">
        <f>_xll.BDH("NFLX US Equity","LT_DEBT_TO_TOT_ASSET","FQ2 2020","FQ2 2020","Currency=USD","Period=FQ","BEST_FPERIOD_OVERRIDE=FQ","FILING_STATUS=MR","Sort=A","Dates=H","DateFormat=P","Fill=—","Direction=H","UseDPDF=Y")</f>
        <v>45.680900000000001</v>
      </c>
      <c r="AN14" s="21">
        <f>_xll.BDH("NFLX US Equity","LT_DEBT_TO_TOT_ASSET","FQ3 2020","FQ3 2020","Currency=USD","Period=FQ","BEST_FPERIOD_OVERRIDE=FQ","FILING_STATUS=MR","Sort=A","Dates=H","DateFormat=P","Fill=—","Direction=H","UseDPDF=Y")</f>
        <v>45.052999999999997</v>
      </c>
      <c r="AO14" s="21">
        <f>_xll.BDH("NFLX US Equity","LT_DEBT_TO_TOT_ASSET","FQ4 2020","FQ4 2020","Currency=USD","Period=FQ","BEST_FPERIOD_OVERRIDE=FQ","FILING_STATUS=MR","Sort=A","Dates=H","DateFormat=P","Fill=—","Direction=H","UseDPDF=Y")</f>
        <v>45.2</v>
      </c>
      <c r="AP14" s="21">
        <f>_xll.BDH("NFLX US Equity","LT_DEBT_TO_TOT_ASSET","FQ1 2021","FQ1 2021","Currency=USD","Period=FQ","BEST_FPERIOD_OVERRIDE=FQ","FILING_STATUS=MR","Sort=A","Dates=H","DateFormat=P","Fill=—","Direction=H","UseDPDF=Y")</f>
        <v>41.802599999999998</v>
      </c>
    </row>
    <row r="15" spans="1:42" x14ac:dyDescent="0.25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2" x14ac:dyDescent="0.25">
      <c r="A16" s="8" t="s">
        <v>177</v>
      </c>
      <c r="B16" s="8" t="s">
        <v>176</v>
      </c>
      <c r="C16" s="21">
        <f>_xll.BDH("NFLX US Equity","TOT_DEBT_TO_TOT_EQY","FQ2 2011","FQ2 2011","Currency=USD","Period=FQ","BEST_FPERIOD_OVERRIDE=FQ","FILING_STATUS=MR","Sort=A","Dates=H","DateFormat=P","Fill=—","Direction=H","UseDPDF=Y")</f>
        <v>70.407499999999999</v>
      </c>
      <c r="D16" s="21">
        <f>_xll.BDH("NFLX US Equity","TOT_DEBT_TO_TOT_EQY","FQ3 2011","FQ3 2011","Currency=USD","Period=FQ","BEST_FPERIOD_OVERRIDE=FQ","FILING_STATUS=MR","Sort=A","Dates=H","DateFormat=P","Fill=—","Direction=H","UseDPDF=Y")</f>
        <v>60.424300000000002</v>
      </c>
      <c r="E16" s="21">
        <f>_xll.BDH("NFLX US Equity","TOT_DEBT_TO_TOT_EQY","FQ4 2011","FQ4 2011","Currency=USD","Period=FQ","BEST_FPERIOD_OVERRIDE=FQ","FILING_STATUS=MR","Sort=A","Dates=H","DateFormat=P","Fill=—","Direction=H","UseDPDF=Y")</f>
        <v>31.113399999999999</v>
      </c>
      <c r="F16" s="21">
        <f>_xll.BDH("NFLX US Equity","TOT_DEBT_TO_TOT_EQY","FQ1 2012","FQ1 2012","Currency=USD","Period=FQ","BEST_FPERIOD_OVERRIDE=FQ","FILING_STATUS=MR","Sort=A","Dates=H","DateFormat=P","Fill=—","Direction=H","UseDPDF=Y")</f>
        <v>30.147600000000001</v>
      </c>
      <c r="G16" s="21">
        <f>_xll.BDH("NFLX US Equity","TOT_DEBT_TO_TOT_EQY","FQ2 2012","FQ2 2012","Currency=USD","Period=FQ","BEST_FPERIOD_OVERRIDE=FQ","FILING_STATUS=MR","Sort=A","Dates=H","DateFormat=P","Fill=—","Direction=H","UseDPDF=Y")</f>
        <v>29.060199999999998</v>
      </c>
      <c r="H16" s="21">
        <f>_xll.BDH("NFLX US Equity","TOT_DEBT_TO_TOT_EQY","FQ3 2012","FQ3 2012","Currency=USD","Period=FQ","BEST_FPERIOD_OVERRIDE=FQ","FILING_STATUS=MR","Sort=A","Dates=H","DateFormat=P","Fill=—","Direction=H","UseDPDF=Y")</f>
        <v>27.900200000000002</v>
      </c>
      <c r="I16" s="21">
        <f>_xll.BDH("NFLX US Equity","TOT_DEBT_TO_TOT_EQY","FQ4 2012","FQ4 2012","Currency=USD","Period=FQ","BEST_FPERIOD_OVERRIDE=FQ","FILING_STATUS=MR","Sort=A","Dates=H","DateFormat=P","Fill=—","Direction=H","UseDPDF=Y")</f>
        <v>31.127800000000001</v>
      </c>
      <c r="J16" s="21">
        <f>_xll.BDH("NFLX US Equity","TOT_DEBT_TO_TOT_EQY","FQ1 2013","FQ1 2013","Currency=USD","Period=FQ","BEST_FPERIOD_OVERRIDE=FQ","FILING_STATUS=MR","Sort=A","Dates=H","DateFormat=P","Fill=—","Direction=H","UseDPDF=Y")</f>
        <v>61.506700000000002</v>
      </c>
      <c r="K16" s="21">
        <f>_xll.BDH("NFLX US Equity","TOT_DEBT_TO_TOT_EQY","FQ2 2013","FQ2 2013","Currency=USD","Period=FQ","BEST_FPERIOD_OVERRIDE=FQ","FILING_STATUS=MR","Sort=A","Dates=H","DateFormat=P","Fill=—","Direction=H","UseDPDF=Y")</f>
        <v>45.223399999999998</v>
      </c>
      <c r="L16" s="21">
        <f>_xll.BDH("NFLX US Equity","TOT_DEBT_TO_TOT_EQY","FQ3 2013","FQ3 2013","Currency=USD","Period=FQ","BEST_FPERIOD_OVERRIDE=FQ","FILING_STATUS=MR","Sort=A","Dates=H","DateFormat=P","Fill=—","Direction=H","UseDPDF=Y")</f>
        <v>41.515500000000003</v>
      </c>
      <c r="M16" s="21">
        <f>_xll.BDH("NFLX US Equity","TOT_DEBT_TO_TOT_EQY","FQ4 2013","FQ4 2013","Currency=USD","Period=FQ","BEST_FPERIOD_OVERRIDE=FQ","FILING_STATUS=MR","Sort=A","Dates=H","DateFormat=P","Fill=—","Direction=H","UseDPDF=Y")</f>
        <v>37.493600000000001</v>
      </c>
      <c r="N16" s="21">
        <f>_xll.BDH("NFLX US Equity","TOT_DEBT_TO_TOT_EQY","FQ1 2014","FQ1 2014","Currency=USD","Period=FQ","BEST_FPERIOD_OVERRIDE=FQ","FILING_STATUS=MR","Sort=A","Dates=H","DateFormat=P","Fill=—","Direction=H","UseDPDF=Y")</f>
        <v>60.878399999999999</v>
      </c>
      <c r="O16" s="21">
        <f>_xll.BDH("NFLX US Equity","TOT_DEBT_TO_TOT_EQY","FQ2 2014","FQ2 2014","Currency=USD","Period=FQ","BEST_FPERIOD_OVERRIDE=FQ","FILING_STATUS=MR","Sort=A","Dates=H","DateFormat=P","Fill=—","Direction=H","UseDPDF=Y")</f>
        <v>55.910899999999998</v>
      </c>
      <c r="P16" s="21">
        <f>_xll.BDH("NFLX US Equity","TOT_DEBT_TO_TOT_EQY","FQ3 2014","FQ3 2014","Currency=USD","Period=FQ","BEST_FPERIOD_OVERRIDE=FQ","FILING_STATUS=MR","Sort=A","Dates=H","DateFormat=P","Fill=—","Direction=H","UseDPDF=Y")</f>
        <v>52.177700000000002</v>
      </c>
      <c r="Q16" s="21">
        <f>_xll.BDH("NFLX US Equity","TOT_DEBT_TO_TOT_EQY","FQ4 2014","FQ4 2014","Currency=USD","Period=FQ","BEST_FPERIOD_OVERRIDE=FQ","FILING_STATUS=MR","Sort=A","Dates=H","DateFormat=P","Fill=—","Direction=H","UseDPDF=Y")</f>
        <v>49.278399999999998</v>
      </c>
      <c r="R16" s="21">
        <f>_xll.BDH("NFLX US Equity","TOT_DEBT_TO_TOT_EQY","FQ1 2015","FQ1 2015","Currency=USD","Period=FQ","BEST_FPERIOD_OVERRIDE=FQ","FILING_STATUS=MR","Sort=A","Dates=H","DateFormat=P","Fill=—","Direction=H","UseDPDF=Y")</f>
        <v>125.7062</v>
      </c>
      <c r="S16" s="21">
        <f>_xll.BDH("NFLX US Equity","TOT_DEBT_TO_TOT_EQY","FQ2 2015","FQ2 2015","Currency=USD","Period=FQ","BEST_FPERIOD_OVERRIDE=FQ","FILING_STATUS=MR","Sort=A","Dates=H","DateFormat=P","Fill=—","Direction=H","UseDPDF=Y")</f>
        <v>118.10590000000001</v>
      </c>
      <c r="T16" s="21">
        <f>_xll.BDH("NFLX US Equity","TOT_DEBT_TO_TOT_EQY","FQ3 2015","FQ3 2015","Currency=USD","Period=FQ","BEST_FPERIOD_OVERRIDE=FQ","FILING_STATUS=MR","Sort=A","Dates=H","DateFormat=P","Fill=—","Direction=H","UseDPDF=Y")</f>
        <v>110.7359</v>
      </c>
      <c r="U16" s="21">
        <f>_xll.BDH("NFLX US Equity","TOT_DEBT_TO_TOT_EQY","FQ4 2015","FQ4 2015","Currency=USD","Period=FQ","BEST_FPERIOD_OVERRIDE=FQ","FILING_STATUS=MR","Sort=A","Dates=H","DateFormat=P","Fill=—","Direction=H","UseDPDF=Y")</f>
        <v>106.65349999999999</v>
      </c>
      <c r="V16" s="21">
        <f>_xll.BDH("NFLX US Equity","TOT_DEBT_TO_TOT_EQY","FQ1 2016","FQ1 2016","Currency=USD","Period=FQ","BEST_FPERIOD_OVERRIDE=FQ","FILING_STATUS=MR","Sort=A","Dates=H","DateFormat=P","Fill=—","Direction=H","UseDPDF=Y")</f>
        <v>102.3729</v>
      </c>
      <c r="W16" s="21">
        <f>_xll.BDH("NFLX US Equity","TOT_DEBT_TO_TOT_EQY","FQ2 2016","FQ2 2016","Currency=USD","Period=FQ","BEST_FPERIOD_OVERRIDE=FQ","FILING_STATUS=MR","Sort=A","Dates=H","DateFormat=P","Fill=—","Direction=H","UseDPDF=Y")</f>
        <v>98.230500000000006</v>
      </c>
      <c r="X16" s="21">
        <f>_xll.BDH("NFLX US Equity","TOT_DEBT_TO_TOT_EQY","FQ3 2016","FQ3 2016","Currency=USD","Period=FQ","BEST_FPERIOD_OVERRIDE=FQ","FILING_STATUS=MR","Sort=A","Dates=H","DateFormat=P","Fill=—","Direction=H","UseDPDF=Y")</f>
        <v>93.870999999999995</v>
      </c>
      <c r="Y16" s="21">
        <f>_xll.BDH("NFLX US Equity","TOT_DEBT_TO_TOT_EQY","FQ4 2016","FQ4 2016","Currency=USD","Period=FQ","BEST_FPERIOD_OVERRIDE=FQ","FILING_STATUS=MR","Sort=A","Dates=H","DateFormat=P","Fill=—","Direction=H","UseDPDF=Y")</f>
        <v>125.54340000000001</v>
      </c>
      <c r="Z16" s="21">
        <f>_xll.BDH("NFLX US Equity","TOT_DEBT_TO_TOT_EQY","FQ1 2017","FQ1 2017","Currency=USD","Period=FQ","BEST_FPERIOD_OVERRIDE=FQ","FILING_STATUS=MR","Sort=A","Dates=H","DateFormat=P","Fill=—","Direction=H","UseDPDF=Y")</f>
        <v>113.1738</v>
      </c>
      <c r="AA16" s="21">
        <f>_xll.BDH("NFLX US Equity","TOT_DEBT_TO_TOT_EQY","FQ2 2017","FQ2 2017","Currency=USD","Period=FQ","BEST_FPERIOD_OVERRIDE=FQ","FILING_STATUS=MR","Sort=A","Dates=H","DateFormat=P","Fill=—","Direction=H","UseDPDF=Y")</f>
        <v>155.3896</v>
      </c>
      <c r="AB16" s="21">
        <f>_xll.BDH("NFLX US Equity","TOT_DEBT_TO_TOT_EQY","FQ3 2017","FQ3 2017","Currency=USD","Period=FQ","BEST_FPERIOD_OVERRIDE=FQ","FILING_STATUS=MR","Sort=A","Dates=H","DateFormat=P","Fill=—","Direction=H","UseDPDF=Y")</f>
        <v>146.92670000000001</v>
      </c>
      <c r="AC16" s="21">
        <f>_xll.BDH("NFLX US Equity","TOT_DEBT_TO_TOT_EQY","FQ4 2017","FQ4 2017","Currency=USD","Period=FQ","BEST_FPERIOD_OVERRIDE=FQ","FILING_STATUS=MR","Sort=A","Dates=H","DateFormat=P","Fill=—","Direction=H","UseDPDF=Y")</f>
        <v>181.44919999999999</v>
      </c>
      <c r="AD16" s="21">
        <f>_xll.BDH("NFLX US Equity","TOT_DEBT_TO_TOT_EQY","FQ1 2018","FQ1 2018","Currency=USD","Period=FQ","BEST_FPERIOD_OVERRIDE=FQ","FILING_STATUS=MR","Sort=A","Dates=H","DateFormat=P","Fill=—","Direction=H","UseDPDF=Y")</f>
        <v>162.71600000000001</v>
      </c>
      <c r="AE16" s="21">
        <f>_xll.BDH("NFLX US Equity","TOT_DEBT_TO_TOT_EQY","FQ2 2018","FQ2 2018","Currency=USD","Period=FQ","BEST_FPERIOD_OVERRIDE=FQ","FILING_STATUS=MR","Sort=A","Dates=H","DateFormat=P","Fill=—","Direction=H","UseDPDF=Y")</f>
        <v>185.51939999999999</v>
      </c>
      <c r="AF16" s="21">
        <f>_xll.BDH("NFLX US Equity","TOT_DEBT_TO_TOT_EQY","FQ3 2018","FQ3 2018","Currency=USD","Period=FQ","BEST_FPERIOD_OVERRIDE=FQ","FILING_STATUS=MR","Sort=A","Dates=H","DateFormat=P","Fill=—","Direction=H","UseDPDF=Y")</f>
        <v>166.41040000000001</v>
      </c>
      <c r="AG16" s="21">
        <f>_xll.BDH("NFLX US Equity","TOT_DEBT_TO_TOT_EQY","FQ4 2018","FQ4 2018","Currency=USD","Period=FQ","BEST_FPERIOD_OVERRIDE=FQ","FILING_STATUS=MR","Sort=A","Dates=H","DateFormat=P","Fill=—","Direction=H","UseDPDF=Y")</f>
        <v>197.7576</v>
      </c>
      <c r="AH16" s="21">
        <f>_xll.BDH("NFLX US Equity","TOT_DEBT_TO_TOT_EQY","FQ1 2019","FQ1 2019","Currency=USD","Period=FQ","BEST_FPERIOD_OVERRIDE=FQ","FILING_STATUS=MR","Sort=A","Dates=H","DateFormat=P","Fill=—","Direction=H","UseDPDF=Y")</f>
        <v>196.2551</v>
      </c>
      <c r="AI16" s="21">
        <f>_xll.BDH("NFLX US Equity","TOT_DEBT_TO_TOT_EQY","FQ2 2019","FQ2 2019","Currency=USD","Period=FQ","BEST_FPERIOD_OVERRIDE=FQ","FILING_STATUS=MR","Sort=A","Dates=H","DateFormat=P","Fill=—","Direction=H","UseDPDF=Y")</f>
        <v>224.02770000000001</v>
      </c>
      <c r="AJ16" s="21">
        <f>_xll.BDH("NFLX US Equity","TOT_DEBT_TO_TOT_EQY","FQ3 2019","FQ3 2019","Currency=USD","Period=FQ","BEST_FPERIOD_OVERRIDE=FQ","FILING_STATUS=MR","Sort=A","Dates=H","DateFormat=P","Fill=—","Direction=H","UseDPDF=Y")</f>
        <v>197.3235</v>
      </c>
      <c r="AK16" s="21">
        <f>_xll.BDH("NFLX US Equity","TOT_DEBT_TO_TOT_EQY","FQ4 2019","FQ4 2019","Currency=USD","Period=FQ","BEST_FPERIOD_OVERRIDE=FQ","FILING_STATUS=MR","Sort=A","Dates=H","DateFormat=P","Fill=—","Direction=H","UseDPDF=Y")</f>
        <v>215.93450000000001</v>
      </c>
      <c r="AL16" s="21">
        <f>_xll.BDH("NFLX US Equity","TOT_DEBT_TO_TOT_EQY","FQ1 2020","FQ1 2020","Currency=USD","Period=FQ","BEST_FPERIOD_OVERRIDE=FQ","FILING_STATUS=MR","Sort=A","Dates=H","DateFormat=P","Fill=—","Direction=H","UseDPDF=Y")</f>
        <v>193.4229</v>
      </c>
      <c r="AM16" s="21">
        <f>_xll.BDH("NFLX US Equity","TOT_DEBT_TO_TOT_EQY","FQ2 2020","FQ2 2020","Currency=USD","Period=FQ","BEST_FPERIOD_OVERRIDE=FQ","FILING_STATUS=MR","Sort=A","Dates=H","DateFormat=P","Fill=—","Direction=H","UseDPDF=Y")</f>
        <v>189.70140000000001</v>
      </c>
      <c r="AN16" s="21">
        <f>_xll.BDH("NFLX US Equity","TOT_DEBT_TO_TOT_EQY","FQ3 2020","FQ3 2020","Currency=USD","Period=FQ","BEST_FPERIOD_OVERRIDE=FQ","FILING_STATUS=MR","Sort=A","Dates=H","DateFormat=P","Fill=—","Direction=H","UseDPDF=Y")</f>
        <v>175.52080000000001</v>
      </c>
      <c r="AO16" s="21">
        <f>_xll.BDH("NFLX US Equity","TOT_DEBT_TO_TOT_EQY","FQ4 2020","FQ4 2020","Currency=USD","Period=FQ","BEST_FPERIOD_OVERRIDE=FQ","FILING_STATUS=MR","Sort=A","Dates=H","DateFormat=P","Fill=—","Direction=H","UseDPDF=Y")</f>
        <v>167.28809999999999</v>
      </c>
      <c r="AP16" s="21">
        <f>_xll.BDH("NFLX US Equity","TOT_DEBT_TO_TOT_EQY","FQ1 2021","FQ1 2021","Currency=USD","Period=FQ","BEST_FPERIOD_OVERRIDE=FQ","FILING_STATUS=MR","Sort=A","Dates=H","DateFormat=P","Fill=—","Direction=H","UseDPDF=Y")</f>
        <v>137.684</v>
      </c>
    </row>
    <row r="17" spans="1:42" x14ac:dyDescent="0.25">
      <c r="A17" s="8" t="s">
        <v>175</v>
      </c>
      <c r="B17" s="8" t="s">
        <v>174</v>
      </c>
      <c r="C17" s="21">
        <f>_xll.BDH("NFLX US Equity","TOT_DEBT_TO_TOT_CAP","FQ2 2011","FQ2 2011","Currency=USD","Period=FQ","BEST_FPERIOD_OVERRIDE=FQ","FILING_STATUS=MR","Sort=A","Dates=H","DateFormat=P","Fill=—","Direction=H","UseDPDF=Y")</f>
        <v>41.317100000000003</v>
      </c>
      <c r="D17" s="21">
        <f>_xll.BDH("NFLX US Equity","TOT_DEBT_TO_TOT_CAP","FQ3 2011","FQ3 2011","Currency=USD","Period=FQ","BEST_FPERIOD_OVERRIDE=FQ","FILING_STATUS=MR","Sort=A","Dates=H","DateFormat=P","Fill=—","Direction=H","UseDPDF=Y")</f>
        <v>37.665300000000002</v>
      </c>
      <c r="E17" s="21">
        <f>_xll.BDH("NFLX US Equity","TOT_DEBT_TO_TOT_CAP","FQ4 2011","FQ4 2011","Currency=USD","Period=FQ","BEST_FPERIOD_OVERRIDE=FQ","FILING_STATUS=MR","Sort=A","Dates=H","DateFormat=P","Fill=—","Direction=H","UseDPDF=Y")</f>
        <v>23.7301</v>
      </c>
      <c r="F17" s="21">
        <f>_xll.BDH("NFLX US Equity","TOT_DEBT_TO_TOT_CAP","FQ1 2012","FQ1 2012","Currency=USD","Period=FQ","BEST_FPERIOD_OVERRIDE=FQ","FILING_STATUS=MR","Sort=A","Dates=H","DateFormat=P","Fill=—","Direction=H","UseDPDF=Y")</f>
        <v>23.164200000000001</v>
      </c>
      <c r="G17" s="21">
        <f>_xll.BDH("NFLX US Equity","TOT_DEBT_TO_TOT_CAP","FQ2 2012","FQ2 2012","Currency=USD","Period=FQ","BEST_FPERIOD_OVERRIDE=FQ","FILING_STATUS=MR","Sort=A","Dates=H","DateFormat=P","Fill=—","Direction=H","UseDPDF=Y")</f>
        <v>22.5168</v>
      </c>
      <c r="H17" s="21">
        <f>_xll.BDH("NFLX US Equity","TOT_DEBT_TO_TOT_CAP","FQ3 2012","FQ3 2012","Currency=USD","Period=FQ","BEST_FPERIOD_OVERRIDE=FQ","FILING_STATUS=MR","Sort=A","Dates=H","DateFormat=P","Fill=—","Direction=H","UseDPDF=Y")</f>
        <v>21.8141</v>
      </c>
      <c r="I17" s="21">
        <f>_xll.BDH("NFLX US Equity","TOT_DEBT_TO_TOT_CAP","FQ4 2012","FQ4 2012","Currency=USD","Period=FQ","BEST_FPERIOD_OVERRIDE=FQ","FILING_STATUS=MR","Sort=A","Dates=H","DateFormat=P","Fill=—","Direction=H","UseDPDF=Y")</f>
        <v>23.738499999999998</v>
      </c>
      <c r="J17" s="21">
        <f>_xll.BDH("NFLX US Equity","TOT_DEBT_TO_TOT_CAP","FQ1 2013","FQ1 2013","Currency=USD","Period=FQ","BEST_FPERIOD_OVERRIDE=FQ","FILING_STATUS=MR","Sort=A","Dates=H","DateFormat=P","Fill=—","Direction=H","UseDPDF=Y")</f>
        <v>38.083100000000002</v>
      </c>
      <c r="K17" s="21">
        <f>_xll.BDH("NFLX US Equity","TOT_DEBT_TO_TOT_CAP","FQ2 2013","FQ2 2013","Currency=USD","Period=FQ","BEST_FPERIOD_OVERRIDE=FQ","FILING_STATUS=MR","Sort=A","Dates=H","DateFormat=P","Fill=—","Direction=H","UseDPDF=Y")</f>
        <v>31.140599999999999</v>
      </c>
      <c r="L17" s="21">
        <f>_xll.BDH("NFLX US Equity","TOT_DEBT_TO_TOT_CAP","FQ3 2013","FQ3 2013","Currency=USD","Period=FQ","BEST_FPERIOD_OVERRIDE=FQ","FILING_STATUS=MR","Sort=A","Dates=H","DateFormat=P","Fill=—","Direction=H","UseDPDF=Y")</f>
        <v>29.336400000000001</v>
      </c>
      <c r="M17" s="21">
        <f>_xll.BDH("NFLX US Equity","TOT_DEBT_TO_TOT_CAP","FQ4 2013","FQ4 2013","Currency=USD","Period=FQ","BEST_FPERIOD_OVERRIDE=FQ","FILING_STATUS=MR","Sort=A","Dates=H","DateFormat=P","Fill=—","Direction=H","UseDPDF=Y")</f>
        <v>27.269300000000001</v>
      </c>
      <c r="N17" s="21">
        <f>_xll.BDH("NFLX US Equity","TOT_DEBT_TO_TOT_CAP","FQ1 2014","FQ1 2014","Currency=USD","Period=FQ","BEST_FPERIOD_OVERRIDE=FQ","FILING_STATUS=MR","Sort=A","Dates=H","DateFormat=P","Fill=—","Direction=H","UseDPDF=Y")</f>
        <v>37.841200000000001</v>
      </c>
      <c r="O17" s="21">
        <f>_xll.BDH("NFLX US Equity","TOT_DEBT_TO_TOT_CAP","FQ2 2014","FQ2 2014","Currency=USD","Period=FQ","BEST_FPERIOD_OVERRIDE=FQ","FILING_STATUS=MR","Sort=A","Dates=H","DateFormat=P","Fill=—","Direction=H","UseDPDF=Y")</f>
        <v>35.860799999999998</v>
      </c>
      <c r="P17" s="21">
        <f>_xll.BDH("NFLX US Equity","TOT_DEBT_TO_TOT_CAP","FQ3 2014","FQ3 2014","Currency=USD","Period=FQ","BEST_FPERIOD_OVERRIDE=FQ","FILING_STATUS=MR","Sort=A","Dates=H","DateFormat=P","Fill=—","Direction=H","UseDPDF=Y")</f>
        <v>34.287399999999998</v>
      </c>
      <c r="Q17" s="21">
        <f>_xll.BDH("NFLX US Equity","TOT_DEBT_TO_TOT_CAP","FQ4 2014","FQ4 2014","Currency=USD","Period=FQ","BEST_FPERIOD_OVERRIDE=FQ","FILING_STATUS=MR","Sort=A","Dates=H","DateFormat=P","Fill=—","Direction=H","UseDPDF=Y")</f>
        <v>33.011099999999999</v>
      </c>
      <c r="R17" s="21">
        <f>_xll.BDH("NFLX US Equity","TOT_DEBT_TO_TOT_CAP","FQ1 2015","FQ1 2015","Currency=USD","Period=FQ","BEST_FPERIOD_OVERRIDE=FQ","FILING_STATUS=MR","Sort=A","Dates=H","DateFormat=P","Fill=—","Direction=H","UseDPDF=Y")</f>
        <v>55.694600000000001</v>
      </c>
      <c r="S17" s="21">
        <f>_xll.BDH("NFLX US Equity","TOT_DEBT_TO_TOT_CAP","FQ2 2015","FQ2 2015","Currency=USD","Period=FQ","BEST_FPERIOD_OVERRIDE=FQ","FILING_STATUS=MR","Sort=A","Dates=H","DateFormat=P","Fill=—","Direction=H","UseDPDF=Y")</f>
        <v>54.150700000000001</v>
      </c>
      <c r="T17" s="21">
        <f>_xll.BDH("NFLX US Equity","TOT_DEBT_TO_TOT_CAP","FQ3 2015","FQ3 2015","Currency=USD","Period=FQ","BEST_FPERIOD_OVERRIDE=FQ","FILING_STATUS=MR","Sort=A","Dates=H","DateFormat=P","Fill=—","Direction=H","UseDPDF=Y")</f>
        <v>52.547199999999997</v>
      </c>
      <c r="U17" s="21">
        <f>_xll.BDH("NFLX US Equity","TOT_DEBT_TO_TOT_CAP","FQ4 2015","FQ4 2015","Currency=USD","Period=FQ","BEST_FPERIOD_OVERRIDE=FQ","FILING_STATUS=MR","Sort=A","Dates=H","DateFormat=P","Fill=—","Direction=H","UseDPDF=Y")</f>
        <v>51.6098</v>
      </c>
      <c r="V17" s="21">
        <f>_xll.BDH("NFLX US Equity","TOT_DEBT_TO_TOT_CAP","FQ1 2016","FQ1 2016","Currency=USD","Period=FQ","BEST_FPERIOD_OVERRIDE=FQ","FILING_STATUS=MR","Sort=A","Dates=H","DateFormat=P","Fill=—","Direction=H","UseDPDF=Y")</f>
        <v>50.586300000000001</v>
      </c>
      <c r="W17" s="21">
        <f>_xll.BDH("NFLX US Equity","TOT_DEBT_TO_TOT_CAP","FQ2 2016","FQ2 2016","Currency=USD","Period=FQ","BEST_FPERIOD_OVERRIDE=FQ","FILING_STATUS=MR","Sort=A","Dates=H","DateFormat=P","Fill=—","Direction=H","UseDPDF=Y")</f>
        <v>49.553699999999999</v>
      </c>
      <c r="X17" s="21">
        <f>_xll.BDH("NFLX US Equity","TOT_DEBT_TO_TOT_CAP","FQ3 2016","FQ3 2016","Currency=USD","Period=FQ","BEST_FPERIOD_OVERRIDE=FQ","FILING_STATUS=MR","Sort=A","Dates=H","DateFormat=P","Fill=—","Direction=H","UseDPDF=Y")</f>
        <v>48.4193</v>
      </c>
      <c r="Y17" s="21">
        <f>_xll.BDH("NFLX US Equity","TOT_DEBT_TO_TOT_CAP","FQ4 2016","FQ4 2016","Currency=USD","Period=FQ","BEST_FPERIOD_OVERRIDE=FQ","FILING_STATUS=MR","Sort=A","Dates=H","DateFormat=P","Fill=—","Direction=H","UseDPDF=Y")</f>
        <v>55.662599999999998</v>
      </c>
      <c r="Z17" s="21">
        <f>_xll.BDH("NFLX US Equity","TOT_DEBT_TO_TOT_CAP","FQ1 2017","FQ1 2017","Currency=USD","Period=FQ","BEST_FPERIOD_OVERRIDE=FQ","FILING_STATUS=MR","Sort=A","Dates=H","DateFormat=P","Fill=—","Direction=H","UseDPDF=Y")</f>
        <v>53.0899</v>
      </c>
      <c r="AA17" s="21">
        <f>_xll.BDH("NFLX US Equity","TOT_DEBT_TO_TOT_CAP","FQ2 2017","FQ2 2017","Currency=USD","Period=FQ","BEST_FPERIOD_OVERRIDE=FQ","FILING_STATUS=MR","Sort=A","Dates=H","DateFormat=P","Fill=—","Direction=H","UseDPDF=Y")</f>
        <v>60.844099999999997</v>
      </c>
      <c r="AB17" s="21">
        <f>_xll.BDH("NFLX US Equity","TOT_DEBT_TO_TOT_CAP","FQ3 2017","FQ3 2017","Currency=USD","Period=FQ","BEST_FPERIOD_OVERRIDE=FQ","FILING_STATUS=MR","Sort=A","Dates=H","DateFormat=P","Fill=—","Direction=H","UseDPDF=Y")</f>
        <v>59.502200000000002</v>
      </c>
      <c r="AC17" s="21">
        <f>_xll.BDH("NFLX US Equity","TOT_DEBT_TO_TOT_CAP","FQ4 2017","FQ4 2017","Currency=USD","Period=FQ","BEST_FPERIOD_OVERRIDE=FQ","FILING_STATUS=MR","Sort=A","Dates=H","DateFormat=P","Fill=—","Direction=H","UseDPDF=Y")</f>
        <v>64.4696</v>
      </c>
      <c r="AD17" s="21">
        <f>_xll.BDH("NFLX US Equity","TOT_DEBT_TO_TOT_CAP","FQ1 2018","FQ1 2018","Currency=USD","Period=FQ","BEST_FPERIOD_OVERRIDE=FQ","FILING_STATUS=MR","Sort=A","Dates=H","DateFormat=P","Fill=—","Direction=H","UseDPDF=Y")</f>
        <v>61.936100000000003</v>
      </c>
      <c r="AE17" s="21">
        <f>_xll.BDH("NFLX US Equity","TOT_DEBT_TO_TOT_CAP","FQ2 2018","FQ2 2018","Currency=USD","Period=FQ","BEST_FPERIOD_OVERRIDE=FQ","FILING_STATUS=MR","Sort=A","Dates=H","DateFormat=P","Fill=—","Direction=H","UseDPDF=Y")</f>
        <v>64.976100000000002</v>
      </c>
      <c r="AF17" s="21">
        <f>_xll.BDH("NFLX US Equity","TOT_DEBT_TO_TOT_CAP","FQ3 2018","FQ3 2018","Currency=USD","Period=FQ","BEST_FPERIOD_OVERRIDE=FQ","FILING_STATUS=MR","Sort=A","Dates=H","DateFormat=P","Fill=—","Direction=H","UseDPDF=Y")</f>
        <v>62.463900000000002</v>
      </c>
      <c r="AG17" s="21">
        <f>_xll.BDH("NFLX US Equity","TOT_DEBT_TO_TOT_CAP","FQ4 2018","FQ4 2018","Currency=USD","Period=FQ","BEST_FPERIOD_OVERRIDE=FQ","FILING_STATUS=MR","Sort=A","Dates=H","DateFormat=P","Fill=—","Direction=H","UseDPDF=Y")</f>
        <v>66.415599999999998</v>
      </c>
      <c r="AH17" s="21">
        <f>_xll.BDH("NFLX US Equity","TOT_DEBT_TO_TOT_CAP","FQ1 2019","FQ1 2019","Currency=USD","Period=FQ","BEST_FPERIOD_OVERRIDE=FQ","FILING_STATUS=MR","Sort=A","Dates=H","DateFormat=P","Fill=—","Direction=H","UseDPDF=Y")</f>
        <v>66.2453</v>
      </c>
      <c r="AI17" s="21">
        <f>_xll.BDH("NFLX US Equity","TOT_DEBT_TO_TOT_CAP","FQ2 2019","FQ2 2019","Currency=USD","Period=FQ","BEST_FPERIOD_OVERRIDE=FQ","FILING_STATUS=MR","Sort=A","Dates=H","DateFormat=P","Fill=—","Direction=H","UseDPDF=Y")</f>
        <v>69.138400000000004</v>
      </c>
      <c r="AJ17" s="21">
        <f>_xll.BDH("NFLX US Equity","TOT_DEBT_TO_TOT_CAP","FQ3 2019","FQ3 2019","Currency=USD","Period=FQ","BEST_FPERIOD_OVERRIDE=FQ","FILING_STATUS=MR","Sort=A","Dates=H","DateFormat=P","Fill=—","Direction=H","UseDPDF=Y")</f>
        <v>66.366600000000005</v>
      </c>
      <c r="AK17" s="21">
        <f>_xll.BDH("NFLX US Equity","TOT_DEBT_TO_TOT_CAP","FQ4 2019","FQ4 2019","Currency=USD","Period=FQ","BEST_FPERIOD_OVERRIDE=FQ","FILING_STATUS=MR","Sort=A","Dates=H","DateFormat=P","Fill=—","Direction=H","UseDPDF=Y")</f>
        <v>68.347899999999996</v>
      </c>
      <c r="AL17" s="21">
        <f>_xll.BDH("NFLX US Equity","TOT_DEBT_TO_TOT_CAP","FQ1 2020","FQ1 2020","Currency=USD","Period=FQ","BEST_FPERIOD_OVERRIDE=FQ","FILING_STATUS=MR","Sort=A","Dates=H","DateFormat=P","Fill=—","Direction=H","UseDPDF=Y")</f>
        <v>65.919499999999999</v>
      </c>
      <c r="AM17" s="21">
        <f>_xll.BDH("NFLX US Equity","TOT_DEBT_TO_TOT_CAP","FQ2 2020","FQ2 2020","Currency=USD","Period=FQ","BEST_FPERIOD_OVERRIDE=FQ","FILING_STATUS=MR","Sort=A","Dates=H","DateFormat=P","Fill=—","Direction=H","UseDPDF=Y")</f>
        <v>65.481700000000004</v>
      </c>
      <c r="AN17" s="21">
        <f>_xll.BDH("NFLX US Equity","TOT_DEBT_TO_TOT_CAP","FQ3 2020","FQ3 2020","Currency=USD","Period=FQ","BEST_FPERIOD_OVERRIDE=FQ","FILING_STATUS=MR","Sort=A","Dates=H","DateFormat=P","Fill=—","Direction=H","UseDPDF=Y")</f>
        <v>63.705100000000002</v>
      </c>
      <c r="AO17" s="21">
        <f>_xll.BDH("NFLX US Equity","TOT_DEBT_TO_TOT_CAP","FQ4 2020","FQ4 2020","Currency=USD","Period=FQ","BEST_FPERIOD_OVERRIDE=FQ","FILING_STATUS=MR","Sort=A","Dates=H","DateFormat=P","Fill=—","Direction=H","UseDPDF=Y")</f>
        <v>62.587200000000003</v>
      </c>
      <c r="AP17" s="21">
        <f>_xll.BDH("NFLX US Equity","TOT_DEBT_TO_TOT_CAP","FQ1 2021","FQ1 2021","Currency=USD","Period=FQ","BEST_FPERIOD_OVERRIDE=FQ","FILING_STATUS=MR","Sort=A","Dates=H","DateFormat=P","Fill=—","Direction=H","UseDPDF=Y")</f>
        <v>57.927300000000002</v>
      </c>
    </row>
    <row r="18" spans="1:42" x14ac:dyDescent="0.25">
      <c r="A18" s="8" t="s">
        <v>173</v>
      </c>
      <c r="B18" s="8" t="s">
        <v>172</v>
      </c>
      <c r="C18" s="21">
        <f>_xll.BDH("NFLX US Equity","TOT_DEBT_TO_TOT_ASSET","FQ2 2011","FQ2 2011","Currency=USD","Period=FQ","BEST_FPERIOD_OVERRIDE=FQ","FILING_STATUS=MR","Sort=A","Dates=H","DateFormat=P","Fill=—","Direction=H","UseDPDF=Y")</f>
        <v>14.9733</v>
      </c>
      <c r="D18" s="21">
        <f>_xll.BDH("NFLX US Equity","TOT_DEBT_TO_TOT_ASSET","FQ3 2011","FQ3 2011","Currency=USD","Period=FQ","BEST_FPERIOD_OVERRIDE=FQ","FILING_STATUS=MR","Sort=A","Dates=H","DateFormat=P","Fill=—","Direction=H","UseDPDF=Y")</f>
        <v>11.962899999999999</v>
      </c>
      <c r="E18" s="21">
        <f>_xll.BDH("NFLX US Equity","TOT_DEBT_TO_TOT_ASSET","FQ4 2011","FQ4 2011","Currency=USD","Period=FQ","BEST_FPERIOD_OVERRIDE=FQ","FILING_STATUS=MR","Sort=A","Dates=H","DateFormat=P","Fill=—","Direction=H","UseDPDF=Y")</f>
        <v>6.5164</v>
      </c>
      <c r="F18" s="21">
        <f>_xll.BDH("NFLX US Equity","TOT_DEBT_TO_TOT_ASSET","FQ1 2012","FQ1 2012","Currency=USD","Period=FQ","BEST_FPERIOD_OVERRIDE=FQ","FILING_STATUS=MR","Sort=A","Dates=H","DateFormat=P","Fill=—","Direction=H","UseDPDF=Y")</f>
        <v>5.7463999999999995</v>
      </c>
      <c r="G18" s="21">
        <f>_xll.BDH("NFLX US Equity","TOT_DEBT_TO_TOT_ASSET","FQ2 2012","FQ2 2012","Currency=USD","Period=FQ","BEST_FPERIOD_OVERRIDE=FQ","FILING_STATUS=MR","Sort=A","Dates=H","DateFormat=P","Fill=—","Direction=H","UseDPDF=Y")</f>
        <v>5.75</v>
      </c>
      <c r="H18" s="21">
        <f>_xll.BDH("NFLX US Equity","TOT_DEBT_TO_TOT_ASSET","FQ3 2012","FQ3 2012","Currency=USD","Period=FQ","BEST_FPERIOD_OVERRIDE=FQ","FILING_STATUS=MR","Sort=A","Dates=H","DateFormat=P","Fill=—","Direction=H","UseDPDF=Y")</f>
        <v>5.2510000000000003</v>
      </c>
      <c r="I18" s="21">
        <f>_xll.BDH("NFLX US Equity","TOT_DEBT_TO_TOT_ASSET","FQ4 2012","FQ4 2012","Currency=USD","Period=FQ","BEST_FPERIOD_OVERRIDE=FQ","FILING_STATUS=MR","Sort=A","Dates=H","DateFormat=P","Fill=—","Direction=H","UseDPDF=Y")</f>
        <v>5.8418999999999999</v>
      </c>
      <c r="J18" s="21">
        <f>_xll.BDH("NFLX US Equity","TOT_DEBT_TO_TOT_ASSET","FQ1 2013","FQ1 2013","Currency=USD","Period=FQ","BEST_FPERIOD_OVERRIDE=FQ","FILING_STATUS=MR","Sort=A","Dates=H","DateFormat=P","Fill=—","Direction=H","UseDPDF=Y")</f>
        <v>11.459199999999999</v>
      </c>
      <c r="K18" s="21">
        <f>_xll.BDH("NFLX US Equity","TOT_DEBT_TO_TOT_ASSET","FQ2 2013","FQ2 2013","Currency=USD","Period=FQ","BEST_FPERIOD_OVERRIDE=FQ","FILING_STATUS=MR","Sort=A","Dates=H","DateFormat=P","Fill=—","Direction=H","UseDPDF=Y")</f>
        <v>11.158799999999999</v>
      </c>
      <c r="L18" s="21">
        <f>_xll.BDH("NFLX US Equity","TOT_DEBT_TO_TOT_ASSET","FQ3 2013","FQ3 2013","Currency=USD","Period=FQ","BEST_FPERIOD_OVERRIDE=FQ","FILING_STATUS=MR","Sort=A","Dates=H","DateFormat=P","Fill=—","Direction=H","UseDPDF=Y")</f>
        <v>10.2013</v>
      </c>
      <c r="M18" s="21">
        <f>_xll.BDH("NFLX US Equity","TOT_DEBT_TO_TOT_ASSET","FQ4 2013","FQ4 2013","Currency=USD","Period=FQ","BEST_FPERIOD_OVERRIDE=FQ","FILING_STATUS=MR","Sort=A","Dates=H","DateFormat=P","Fill=—","Direction=H","UseDPDF=Y")</f>
        <v>9.2378</v>
      </c>
      <c r="N18" s="21">
        <f>_xll.BDH("NFLX US Equity","TOT_DEBT_TO_TOT_ASSET","FQ1 2014","FQ1 2014","Currency=USD","Period=FQ","BEST_FPERIOD_OVERRIDE=FQ","FILING_STATUS=MR","Sort=A","Dates=H","DateFormat=P","Fill=—","Direction=H","UseDPDF=Y")</f>
        <v>14.880700000000001</v>
      </c>
      <c r="O18" s="21">
        <f>_xll.BDH("NFLX US Equity","TOT_DEBT_TO_TOT_ASSET","FQ2 2014","FQ2 2014","Currency=USD","Period=FQ","BEST_FPERIOD_OVERRIDE=FQ","FILING_STATUS=MR","Sort=A","Dates=H","DateFormat=P","Fill=—","Direction=H","UseDPDF=Y")</f>
        <v>14.227399999999999</v>
      </c>
      <c r="P18" s="21">
        <f>_xll.BDH("NFLX US Equity","TOT_DEBT_TO_TOT_ASSET","FQ3 2014","FQ3 2014","Currency=USD","Period=FQ","BEST_FPERIOD_OVERRIDE=FQ","FILING_STATUS=MR","Sort=A","Dates=H","DateFormat=P","Fill=—","Direction=H","UseDPDF=Y")</f>
        <v>13.2776</v>
      </c>
      <c r="Q18" s="21">
        <f>_xll.BDH("NFLX US Equity","TOT_DEBT_TO_TOT_ASSET","FQ4 2014","FQ4 2014","Currency=USD","Period=FQ","BEST_FPERIOD_OVERRIDE=FQ","FILING_STATUS=MR","Sort=A","Dates=H","DateFormat=P","Fill=—","Direction=H","UseDPDF=Y")</f>
        <v>12.998900000000001</v>
      </c>
      <c r="R18" s="21">
        <f>_xll.BDH("NFLX US Equity","TOT_DEBT_TO_TOT_ASSET","FQ1 2015","FQ1 2015","Currency=USD","Period=FQ","BEST_FPERIOD_OVERRIDE=FQ","FILING_STATUS=MR","Sort=A","Dates=H","DateFormat=P","Fill=—","Direction=H","UseDPDF=Y")</f>
        <v>25.972300000000001</v>
      </c>
      <c r="S18" s="21">
        <f>_xll.BDH("NFLX US Equity","TOT_DEBT_TO_TOT_ASSET","FQ2 2015","FQ2 2015","Currency=USD","Period=FQ","BEST_FPERIOD_OVERRIDE=FQ","FILING_STATUS=MR","Sort=A","Dates=H","DateFormat=P","Fill=—","Direction=H","UseDPDF=Y")</f>
        <v>24.857900000000001</v>
      </c>
      <c r="T18" s="21">
        <f>_xll.BDH("NFLX US Equity","TOT_DEBT_TO_TOT_ASSET","FQ3 2015","FQ3 2015","Currency=USD","Period=FQ","BEST_FPERIOD_OVERRIDE=FQ","FILING_STATUS=MR","Sort=A","Dates=H","DateFormat=P","Fill=—","Direction=H","UseDPDF=Y")</f>
        <v>24.2027</v>
      </c>
      <c r="U18" s="21">
        <f>_xll.BDH("NFLX US Equity","TOT_DEBT_TO_TOT_ASSET","FQ4 2015","FQ4 2015","Currency=USD","Period=FQ","BEST_FPERIOD_OVERRIDE=FQ","FILING_STATUS=MR","Sort=A","Dates=H","DateFormat=P","Fill=—","Direction=H","UseDPDF=Y")</f>
        <v>23.242100000000001</v>
      </c>
      <c r="V18" s="21">
        <f>_xll.BDH("NFLX US Equity","TOT_DEBT_TO_TOT_ASSET","FQ1 2016","FQ1 2016","Currency=USD","Period=FQ","BEST_FPERIOD_OVERRIDE=FQ","FILING_STATUS=MR","Sort=A","Dates=H","DateFormat=P","Fill=—","Direction=H","UseDPDF=Y")</f>
        <v>21.063400000000001</v>
      </c>
      <c r="W18" s="21">
        <f>_xll.BDH("NFLX US Equity","TOT_DEBT_TO_TOT_ASSET","FQ2 2016","FQ2 2016","Currency=USD","Period=FQ","BEST_FPERIOD_OVERRIDE=FQ","FILING_STATUS=MR","Sort=A","Dates=H","DateFormat=P","Fill=—","Direction=H","UseDPDF=Y")</f>
        <v>20.469100000000001</v>
      </c>
      <c r="X18" s="21">
        <f>_xll.BDH("NFLX US Equity","TOT_DEBT_TO_TOT_ASSET","FQ3 2016","FQ3 2016","Currency=USD","Period=FQ","BEST_FPERIOD_OVERRIDE=FQ","FILING_STATUS=MR","Sort=A","Dates=H","DateFormat=P","Fill=—","Direction=H","UseDPDF=Y")</f>
        <v>19.226500000000001</v>
      </c>
      <c r="Y18" s="21">
        <f>_xll.BDH("NFLX US Equity","TOT_DEBT_TO_TOT_ASSET","FQ4 2016","FQ4 2016","Currency=USD","Period=FQ","BEST_FPERIOD_OVERRIDE=FQ","FILING_STATUS=MR","Sort=A","Dates=H","DateFormat=P","Fill=—","Direction=H","UseDPDF=Y")</f>
        <v>24.762</v>
      </c>
      <c r="Z18" s="21">
        <f>_xll.BDH("NFLX US Equity","TOT_DEBT_TO_TOT_ASSET","FQ1 2017","FQ1 2017","Currency=USD","Period=FQ","BEST_FPERIOD_OVERRIDE=FQ","FILING_STATUS=MR","Sort=A","Dates=H","DateFormat=P","Fill=—","Direction=H","UseDPDF=Y")</f>
        <v>23.4376</v>
      </c>
      <c r="AA18" s="21">
        <f>_xll.BDH("NFLX US Equity","TOT_DEBT_TO_TOT_ASSET","FQ2 2017","FQ2 2017","Currency=USD","Period=FQ","BEST_FPERIOD_OVERRIDE=FQ","FILING_STATUS=MR","Sort=A","Dates=H","DateFormat=P","Fill=—","Direction=H","UseDPDF=Y")</f>
        <v>29.281600000000001</v>
      </c>
      <c r="AB18" s="21">
        <f>_xll.BDH("NFLX US Equity","TOT_DEBT_TO_TOT_ASSET","FQ3 2017","FQ3 2017","Currency=USD","Period=FQ","BEST_FPERIOD_OVERRIDE=FQ","FILING_STATUS=MR","Sort=A","Dates=H","DateFormat=P","Fill=—","Direction=H","UseDPDF=Y")</f>
        <v>28.8398</v>
      </c>
      <c r="AC18" s="21">
        <f>_xll.BDH("NFLX US Equity","TOT_DEBT_TO_TOT_ASSET","FQ4 2017","FQ4 2017","Currency=USD","Period=FQ","BEST_FPERIOD_OVERRIDE=FQ","FILING_STATUS=MR","Sort=A","Dates=H","DateFormat=P","Fill=—","Direction=H","UseDPDF=Y")</f>
        <v>34.184600000000003</v>
      </c>
      <c r="AD18" s="21">
        <f>_xll.BDH("NFLX US Equity","TOT_DEBT_TO_TOT_ASSET","FQ1 2018","FQ1 2018","Currency=USD","Period=FQ","BEST_FPERIOD_OVERRIDE=FQ","FILING_STATUS=MR","Sort=A","Dates=H","DateFormat=P","Fill=—","Direction=H","UseDPDF=Y")</f>
        <v>32.463799999999999</v>
      </c>
      <c r="AE18" s="21">
        <f>_xll.BDH("NFLX US Equity","TOT_DEBT_TO_TOT_ASSET","FQ2 2018","FQ2 2018","Currency=USD","Period=FQ","BEST_FPERIOD_OVERRIDE=FQ","FILING_STATUS=MR","Sort=A","Dates=H","DateFormat=P","Fill=—","Direction=H","UseDPDF=Y")</f>
        <v>36.808300000000003</v>
      </c>
      <c r="AF18" s="21">
        <f>_xll.BDH("NFLX US Equity","TOT_DEBT_TO_TOT_ASSET","FQ3 2018","FQ3 2018","Currency=USD","Period=FQ","BEST_FPERIOD_OVERRIDE=FQ","FILING_STATUS=MR","Sort=A","Dates=H","DateFormat=P","Fill=—","Direction=H","UseDPDF=Y")</f>
        <v>35.677900000000001</v>
      </c>
      <c r="AG18" s="21">
        <f>_xll.BDH("NFLX US Equity","TOT_DEBT_TO_TOT_ASSET","FQ4 2018","FQ4 2018","Currency=USD","Period=FQ","BEST_FPERIOD_OVERRIDE=FQ","FILING_STATUS=MR","Sort=A","Dates=H","DateFormat=P","Fill=—","Direction=H","UseDPDF=Y")</f>
        <v>39.885599999999997</v>
      </c>
      <c r="AH18" s="21">
        <f>_xll.BDH("NFLX US Equity","TOT_DEBT_TO_TOT_ASSET","FQ1 2019","FQ1 2019","Currency=USD","Period=FQ","BEST_FPERIOD_OVERRIDE=FQ","FILING_STATUS=MR","Sort=A","Dates=H","DateFormat=P","Fill=—","Direction=H","UseDPDF=Y")</f>
        <v>41.120899999999999</v>
      </c>
      <c r="AI18" s="21">
        <f>_xll.BDH("NFLX US Equity","TOT_DEBT_TO_TOT_ASSET","FQ2 2019","FQ2 2019","Currency=USD","Period=FQ","BEST_FPERIOD_OVERRIDE=FQ","FILING_STATUS=MR","Sort=A","Dates=H","DateFormat=P","Fill=—","Direction=H","UseDPDF=Y")</f>
        <v>45.334800000000001</v>
      </c>
      <c r="AJ18" s="21">
        <f>_xll.BDH("NFLX US Equity","TOT_DEBT_TO_TOT_ASSET","FQ3 2019","FQ3 2019","Currency=USD","Period=FQ","BEST_FPERIOD_OVERRIDE=FQ","FILING_STATUS=MR","Sort=A","Dates=H","DateFormat=P","Fill=—","Direction=H","UseDPDF=Y")</f>
        <v>43.757599999999996</v>
      </c>
      <c r="AK18" s="21">
        <f>_xll.BDH("NFLX US Equity","TOT_DEBT_TO_TOT_ASSET","FQ4 2019","FQ4 2019","Currency=USD","Period=FQ","BEST_FPERIOD_OVERRIDE=FQ","FILING_STATUS=MR","Sort=A","Dates=H","DateFormat=P","Fill=—","Direction=H","UseDPDF=Y")</f>
        <v>48.188800000000001</v>
      </c>
      <c r="AL18" s="21">
        <f>_xll.BDH("NFLX US Equity","TOT_DEBT_TO_TOT_ASSET","FQ1 2020","FQ1 2020","Currency=USD","Period=FQ","BEST_FPERIOD_OVERRIDE=FQ","FILING_STATUS=MR","Sort=A","Dates=H","DateFormat=P","Fill=—","Direction=H","UseDPDF=Y")</f>
        <v>46.3934</v>
      </c>
      <c r="AM18" s="21">
        <f>_xll.BDH("NFLX US Equity","TOT_DEBT_TO_TOT_ASSET","FQ2 2020","FQ2 2020","Currency=USD","Period=FQ","BEST_FPERIOD_OVERRIDE=FQ","FILING_STATUS=MR","Sort=A","Dates=H","DateFormat=P","Fill=—","Direction=H","UseDPDF=Y")</f>
        <v>47.6342</v>
      </c>
      <c r="AN18" s="21">
        <f>_xll.BDH("NFLX US Equity","TOT_DEBT_TO_TOT_ASSET","FQ3 2020","FQ3 2020","Currency=USD","Period=FQ","BEST_FPERIOD_OVERRIDE=FQ","FILING_STATUS=MR","Sort=A","Dates=H","DateFormat=P","Fill=—","Direction=H","UseDPDF=Y")</f>
        <v>46.96</v>
      </c>
      <c r="AO18" s="21">
        <f>_xll.BDH("NFLX US Equity","TOT_DEBT_TO_TOT_ASSET","FQ4 2020","FQ4 2020","Currency=USD","Period=FQ","BEST_FPERIOD_OVERRIDE=FQ","FILING_STATUS=MR","Sort=A","Dates=H","DateFormat=P","Fill=—","Direction=H","UseDPDF=Y")</f>
        <v>47.124899999999997</v>
      </c>
      <c r="AP18" s="21">
        <f>_xll.BDH("NFLX US Equity","TOT_DEBT_TO_TOT_ASSET","FQ1 2021","FQ1 2021","Currency=USD","Period=FQ","BEST_FPERIOD_OVERRIDE=FQ","FILING_STATUS=MR","Sort=A","Dates=H","DateFormat=P","Fill=—","Direction=H","UseDPDF=Y")</f>
        <v>44.212299999999999</v>
      </c>
    </row>
    <row r="19" spans="1:42" x14ac:dyDescent="0.25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 spans="1:42" x14ac:dyDescent="0.25">
      <c r="A20" s="8" t="s">
        <v>171</v>
      </c>
      <c r="B20" s="8" t="s">
        <v>170</v>
      </c>
      <c r="C20" s="21">
        <f>_xll.BDH("NFLX US Equity","CASH_FLOW_TO_TOT_LIAB","FQ2 2011","FQ2 2011","Currency=USD","Period=FQ","BEST_FPERIOD_OVERRIDE=FQ","FILING_STATUS=MR","Sort=A","Dates=H","DateFormat=P","Fill=—","Direction=H","UseDPDF=Y")</f>
        <v>27.627600000000001</v>
      </c>
      <c r="D20" s="21">
        <f>_xll.BDH("NFLX US Equity","CASH_FLOW_TO_TOT_LIAB","FQ3 2011","FQ3 2011","Currency=USD","Period=FQ","BEST_FPERIOD_OVERRIDE=FQ","FILING_STATUS=MR","Sort=A","Dates=H","DateFormat=P","Fill=—","Direction=H","UseDPDF=Y")</f>
        <v>22.1816</v>
      </c>
      <c r="E20" s="21">
        <f>_xll.BDH("NFLX US Equity","CASH_FLOW_TO_TOT_LIAB","FQ4 2011","FQ4 2011","Currency=USD","Period=FQ","BEST_FPERIOD_OVERRIDE=FQ","FILING_STATUS=MR","Sort=A","Dates=H","DateFormat=P","Fill=—","Direction=H","UseDPDF=Y")</f>
        <v>13.093999999999999</v>
      </c>
      <c r="F20" s="21">
        <f>_xll.BDH("NFLX US Equity","CASH_FLOW_TO_TOT_LIAB","FQ1 2012","FQ1 2012","Currency=USD","Period=FQ","BEST_FPERIOD_OVERRIDE=FQ","FILING_STATUS=MR","Sort=A","Dates=H","DateFormat=P","Fill=—","Direction=H","UseDPDF=Y")</f>
        <v>7.8272000000000004</v>
      </c>
      <c r="G20" s="21">
        <f>_xll.BDH("NFLX US Equity","CASH_FLOW_TO_TOT_LIAB","FQ2 2012","FQ2 2012","Currency=USD","Period=FQ","BEST_FPERIOD_OVERRIDE=FQ","FILING_STATUS=MR","Sort=A","Dates=H","DateFormat=P","Fill=—","Direction=H","UseDPDF=Y")</f>
        <v>5.5021000000000004</v>
      </c>
      <c r="H20" s="21">
        <f>_xll.BDH("NFLX US Equity","CASH_FLOW_TO_TOT_LIAB","FQ3 2012","FQ3 2012","Currency=USD","Period=FQ","BEST_FPERIOD_OVERRIDE=FQ","FILING_STATUS=MR","Sort=A","Dates=H","DateFormat=P","Fill=—","Direction=H","UseDPDF=Y")</f>
        <v>3.2683</v>
      </c>
      <c r="I20" s="21">
        <f>_xll.BDH("NFLX US Equity","CASH_FLOW_TO_TOT_LIAB","FQ4 2012","FQ4 2012","Currency=USD","Period=FQ","BEST_FPERIOD_OVERRIDE=FQ","FILING_STATUS=MR","Sort=A","Dates=H","DateFormat=P","Fill=—","Direction=H","UseDPDF=Y")</f>
        <v>0.66969999999999996</v>
      </c>
      <c r="J20" s="21">
        <f>_xll.BDH("NFLX US Equity","CASH_FLOW_TO_TOT_LIAB","FQ1 2013","FQ1 2013","Currency=USD","Period=FQ","BEST_FPERIOD_OVERRIDE=FQ","FILING_STATUS=MR","Sort=A","Dates=H","DateFormat=P","Fill=—","Direction=H","UseDPDF=Y")</f>
        <v>-0.27529999999999999</v>
      </c>
      <c r="K20" s="21">
        <f>_xll.BDH("NFLX US Equity","CASH_FLOW_TO_TOT_LIAB","FQ2 2013","FQ2 2013","Currency=USD","Period=FQ","BEST_FPERIOD_OVERRIDE=FQ","FILING_STATUS=MR","Sort=A","Dates=H","DateFormat=P","Fill=—","Direction=H","UseDPDF=Y")</f>
        <v>0.1411</v>
      </c>
      <c r="L20" s="21">
        <f>_xll.BDH("NFLX US Equity","CASH_FLOW_TO_TOT_LIAB","FQ3 2013","FQ3 2013","Currency=USD","Period=FQ","BEST_FPERIOD_OVERRIDE=FQ","FILING_STATUS=MR","Sort=A","Dates=H","DateFormat=P","Fill=—","Direction=H","UseDPDF=Y")</f>
        <v>1.1464000000000001</v>
      </c>
      <c r="M20" s="21">
        <f>_xll.BDH("NFLX US Equity","CASH_FLOW_TO_TOT_LIAB","FQ4 2013","FQ4 2013","Currency=USD","Period=FQ","BEST_FPERIOD_OVERRIDE=FQ","FILING_STATUS=MR","Sort=A","Dates=H","DateFormat=P","Fill=—","Direction=H","UseDPDF=Y")</f>
        <v>2.3984000000000001</v>
      </c>
      <c r="N20" s="21">
        <f>_xll.BDH("NFLX US Equity","CASH_FLOW_TO_TOT_LIAB","FQ1 2014","FQ1 2014","Currency=USD","Period=FQ","BEST_FPERIOD_OVERRIDE=FQ","FILING_STATUS=MR","Sort=A","Dates=H","DateFormat=P","Fill=—","Direction=H","UseDPDF=Y")</f>
        <v>3.2046000000000001</v>
      </c>
      <c r="O20" s="21">
        <f>_xll.BDH("NFLX US Equity","CASH_FLOW_TO_TOT_LIAB","FQ2 2014","FQ2 2014","Currency=USD","Period=FQ","BEST_FPERIOD_OVERRIDE=FQ","FILING_STATUS=MR","Sort=A","Dates=H","DateFormat=P","Fill=—","Direction=H","UseDPDF=Y")</f>
        <v>3.5733000000000001</v>
      </c>
      <c r="P20" s="21">
        <f>_xll.BDH("NFLX US Equity","CASH_FLOW_TO_TOT_LIAB","FQ3 2014","FQ3 2014","Currency=USD","Period=FQ","BEST_FPERIOD_OVERRIDE=FQ","FILING_STATUS=MR","Sort=A","Dates=H","DateFormat=P","Fill=—","Direction=H","UseDPDF=Y")</f>
        <v>1.9074</v>
      </c>
      <c r="Q20" s="21">
        <f>_xll.BDH("NFLX US Equity","CASH_FLOW_TO_TOT_LIAB","FQ4 2014","FQ4 2014","Currency=USD","Period=FQ","BEST_FPERIOD_OVERRIDE=FQ","FILING_STATUS=MR","Sort=A","Dates=H","DateFormat=P","Fill=—","Direction=H","UseDPDF=Y")</f>
        <v>0.31790000000000002</v>
      </c>
      <c r="R20" s="21">
        <f>_xll.BDH("NFLX US Equity","CASH_FLOW_TO_TOT_LIAB","FQ1 2015","FQ1 2015","Currency=USD","Period=FQ","BEST_FPERIOD_OVERRIDE=FQ","FILING_STATUS=MR","Sort=A","Dates=H","DateFormat=P","Fill=—","Direction=H","UseDPDF=Y")</f>
        <v>-2.0085999999999999</v>
      </c>
      <c r="S20" s="21">
        <f>_xll.BDH("NFLX US Equity","CASH_FLOW_TO_TOT_LIAB","FQ2 2015","FQ2 2015","Currency=USD","Period=FQ","BEST_FPERIOD_OVERRIDE=FQ","FILING_STATUS=MR","Sort=A","Dates=H","DateFormat=P","Fill=—","Direction=H","UseDPDF=Y")</f>
        <v>-5.0457000000000001</v>
      </c>
      <c r="T20" s="21">
        <f>_xll.BDH("NFLX US Equity","CASH_FLOW_TO_TOT_LIAB","FQ3 2015","FQ3 2015","Currency=USD","Period=FQ","BEST_FPERIOD_OVERRIDE=FQ","FILING_STATUS=MR","Sort=A","Dates=H","DateFormat=P","Fill=—","Direction=H","UseDPDF=Y")</f>
        <v>-7.0094000000000003</v>
      </c>
      <c r="U20" s="21">
        <f>_xll.BDH("NFLX US Equity","CASH_FLOW_TO_TOT_LIAB","FQ4 2015","FQ4 2015","Currency=USD","Period=FQ","BEST_FPERIOD_OVERRIDE=FQ","FILING_STATUS=MR","Sort=A","Dates=H","DateFormat=P","Fill=—","Direction=H","UseDPDF=Y")</f>
        <v>-9.3920999999999992</v>
      </c>
      <c r="V20" s="21">
        <f>_xll.BDH("NFLX US Equity","CASH_FLOW_TO_TOT_LIAB","FQ1 2016","FQ1 2016","Currency=USD","Period=FQ","BEST_FPERIOD_OVERRIDE=FQ","FILING_STATUS=MR","Sort=A","Dates=H","DateFormat=P","Fill=—","Direction=H","UseDPDF=Y")</f>
        <v>-9.5097000000000005</v>
      </c>
      <c r="W20" s="21">
        <f>_xll.BDH("NFLX US Equity","CASH_FLOW_TO_TOT_LIAB","FQ2 2016","FQ2 2016","Currency=USD","Period=FQ","BEST_FPERIOD_OVERRIDE=FQ","FILING_STATUS=MR","Sort=A","Dates=H","DateFormat=P","Fill=—","Direction=H","UseDPDF=Y")</f>
        <v>-9.7584</v>
      </c>
      <c r="X20" s="21">
        <f>_xll.BDH("NFLX US Equity","CASH_FLOW_TO_TOT_LIAB","FQ3 2016","FQ3 2016","Currency=USD","Period=FQ","BEST_FPERIOD_OVERRIDE=FQ","FILING_STATUS=MR","Sort=A","Dates=H","DateFormat=P","Fill=—","Direction=H","UseDPDF=Y")</f>
        <v>-11.8306</v>
      </c>
      <c r="Y20" s="21">
        <f>_xll.BDH("NFLX US Equity","CASH_FLOW_TO_TOT_LIAB","FQ4 2016","FQ4 2016","Currency=USD","Period=FQ","BEST_FPERIOD_OVERRIDE=FQ","FILING_STATUS=MR","Sort=A","Dates=H","DateFormat=P","Fill=—","Direction=H","UseDPDF=Y")</f>
        <v>-13.5143</v>
      </c>
      <c r="Z20" s="21">
        <f>_xll.BDH("NFLX US Equity","CASH_FLOW_TO_TOT_LIAB","FQ1 2017","FQ1 2017","Currency=USD","Period=FQ","BEST_FPERIOD_OVERRIDE=FQ","FILING_STATUS=MR","Sort=A","Dates=H","DateFormat=P","Fill=—","Direction=H","UseDPDF=Y")</f>
        <v>-13.9587</v>
      </c>
      <c r="AA20" s="21">
        <f>_xll.BDH("NFLX US Equity","CASH_FLOW_TO_TOT_LIAB","FQ2 2017","FQ2 2017","Currency=USD","Period=FQ","BEST_FPERIOD_OVERRIDE=FQ","FILING_STATUS=MR","Sort=A","Dates=H","DateFormat=P","Fill=—","Direction=H","UseDPDF=Y")</f>
        <v>-14.1553</v>
      </c>
      <c r="AB20" s="21">
        <f>_xll.BDH("NFLX US Equity","CASH_FLOW_TO_TOT_LIAB","FQ3 2017","FQ3 2017","Currency=USD","Period=FQ","BEST_FPERIOD_OVERRIDE=FQ","FILING_STATUS=MR","Sort=A","Dates=H","DateFormat=P","Fill=—","Direction=H","UseDPDF=Y")</f>
        <v>-13.6166</v>
      </c>
      <c r="AC20" s="21">
        <f>_xll.BDH("NFLX US Equity","CASH_FLOW_TO_TOT_LIAB","FQ4 2017","FQ4 2017","Currency=USD","Period=FQ","BEST_FPERIOD_OVERRIDE=FQ","FILING_STATUS=MR","Sort=A","Dates=H","DateFormat=P","Fill=—","Direction=H","UseDPDF=Y")</f>
        <v>-11.5739</v>
      </c>
      <c r="AD20" s="21">
        <f>_xll.BDH("NFLX US Equity","CASH_FLOW_TO_TOT_LIAB","FQ1 2018","FQ1 2018","Currency=USD","Period=FQ","BEST_FPERIOD_OVERRIDE=FQ","FILING_STATUS=MR","Sort=A","Dates=H","DateFormat=P","Fill=—","Direction=H","UseDPDF=Y")</f>
        <v>-10.4069</v>
      </c>
      <c r="AE20" s="21">
        <f>_xll.BDH("NFLX US Equity","CASH_FLOW_TO_TOT_LIAB","FQ2 2018","FQ2 2018","Currency=USD","Period=FQ","BEST_FPERIOD_OVERRIDE=FQ","FILING_STATUS=MR","Sort=A","Dates=H","DateFormat=P","Fill=—","Direction=H","UseDPDF=Y")</f>
        <v>-9.1516000000000002</v>
      </c>
      <c r="AF20" s="21">
        <f>_xll.BDH("NFLX US Equity","CASH_FLOW_TO_TOT_LIAB","FQ3 2018","FQ3 2018","Currency=USD","Period=FQ","BEST_FPERIOD_OVERRIDE=FQ","FILING_STATUS=MR","Sort=A","Dates=H","DateFormat=P","Fill=—","Direction=H","UseDPDF=Y")</f>
        <v>-10.532299999999999</v>
      </c>
      <c r="AG20" s="21">
        <f>_xll.BDH("NFLX US Equity","CASH_FLOW_TO_TOT_LIAB","FQ4 2018","FQ4 2018","Currency=USD","Period=FQ","BEST_FPERIOD_OVERRIDE=FQ","FILING_STATUS=MR","Sort=A","Dates=H","DateFormat=P","Fill=—","Direction=H","UseDPDF=Y")</f>
        <v>-12.9269</v>
      </c>
      <c r="AH20" s="21">
        <f>_xll.BDH("NFLX US Equity","CASH_FLOW_TO_TOT_LIAB","FQ1 2019","FQ1 2019","Currency=USD","Period=FQ","BEST_FPERIOD_OVERRIDE=FQ","FILING_STATUS=MR","Sort=A","Dates=H","DateFormat=P","Fill=—","Direction=H","UseDPDF=Y")</f>
        <v>-13.123100000000001</v>
      </c>
      <c r="AI20" s="21">
        <f>_xll.BDH("NFLX US Equity","CASH_FLOW_TO_TOT_LIAB","FQ2 2019","FQ2 2019","Currency=USD","Period=FQ","BEST_FPERIOD_OVERRIDE=FQ","FILING_STATUS=MR","Sort=A","Dates=H","DateFormat=P","Fill=—","Direction=H","UseDPDF=Y")</f>
        <v>-11.8385</v>
      </c>
      <c r="AJ20" s="21">
        <f>_xll.BDH("NFLX US Equity","CASH_FLOW_TO_TOT_LIAB","FQ3 2019","FQ3 2019","Currency=USD","Period=FQ","BEST_FPERIOD_OVERRIDE=FQ","FILING_STATUS=MR","Sort=A","Dates=H","DateFormat=P","Fill=—","Direction=H","UseDPDF=Y")</f>
        <v>-11.0482</v>
      </c>
      <c r="AK20" s="21">
        <f>_xll.BDH("NFLX US Equity","CASH_FLOW_TO_TOT_LIAB","FQ4 2019","FQ4 2019","Currency=USD","Period=FQ","BEST_FPERIOD_OVERRIDE=FQ","FILING_STATUS=MR","Sort=A","Dates=H","DateFormat=P","Fill=—","Direction=H","UseDPDF=Y")</f>
        <v>-10.939500000000001</v>
      </c>
      <c r="AL20" s="21">
        <f>_xll.BDH("NFLX US Equity","CASH_FLOW_TO_TOT_LIAB","FQ1 2020","FQ1 2020","Currency=USD","Period=FQ","BEST_FPERIOD_OVERRIDE=FQ","FILING_STATUS=MR","Sort=A","Dates=H","DateFormat=P","Fill=—","Direction=H","UseDPDF=Y")</f>
        <v>-8.4336000000000002</v>
      </c>
      <c r="AM20" s="21">
        <f>_xll.BDH("NFLX US Equity","CASH_FLOW_TO_TOT_LIAB","FQ2 2020","FQ2 2020","Currency=USD","Period=FQ","BEST_FPERIOD_OVERRIDE=FQ","FILING_STATUS=MR","Sort=A","Dates=H","DateFormat=P","Fill=—","Direction=H","UseDPDF=Y")</f>
        <v>-2.3805999999999998</v>
      </c>
      <c r="AN20" s="21">
        <f>_xll.BDH("NFLX US Equity","CASH_FLOW_TO_TOT_LIAB","FQ3 2020","FQ3 2020","Currency=USD","Period=FQ","BEST_FPERIOD_OVERRIDE=FQ","FILING_STATUS=MR","Sort=A","Dates=H","DateFormat=P","Fill=—","Direction=H","UseDPDF=Y")</f>
        <v>3.8982000000000001</v>
      </c>
      <c r="AO20" s="21">
        <f>_xll.BDH("NFLX US Equity","CASH_FLOW_TO_TOT_LIAB","FQ4 2020","FQ4 2020","Currency=USD","Period=FQ","BEST_FPERIOD_OVERRIDE=FQ","FILING_STATUS=MR","Sort=A","Dates=H","DateFormat=P","Fill=—","Direction=H","UseDPDF=Y")</f>
        <v>8.6020000000000003</v>
      </c>
      <c r="AP20" s="21">
        <f>_xll.BDH("NFLX US Equity","CASH_FLOW_TO_TOT_LIAB","FQ1 2021","FQ1 2021","Currency=USD","Period=FQ","BEST_FPERIOD_OVERRIDE=FQ","FILING_STATUS=MR","Sort=A","Dates=H","DateFormat=P","Fill=—","Direction=H","UseDPDF=Y")</f>
        <v>10.8096</v>
      </c>
    </row>
    <row r="21" spans="1:42" x14ac:dyDescent="0.25">
      <c r="A21" s="8" t="s">
        <v>169</v>
      </c>
      <c r="B21" s="8" t="s">
        <v>168</v>
      </c>
      <c r="C21" s="21">
        <f>_xll.BDH("NFLX US Equity","CAP_EXPEND_RATIO","FQ2 2011","FQ2 2011","Currency=USD","Period=FQ","BEST_FPERIOD_OVERRIDE=FQ","FILING_STATUS=MR","Sort=A","Dates=H","DateFormat=P","Fill=—","Direction=H","UseDPDF=Y")</f>
        <v>3.1198999999999999</v>
      </c>
      <c r="D21" s="21">
        <f>_xll.BDH("NFLX US Equity","CAP_EXPEND_RATIO","FQ3 2011","FQ3 2011","Currency=USD","Period=FQ","BEST_FPERIOD_OVERRIDE=FQ","FILING_STATUS=MR","Sort=A","Dates=H","DateFormat=P","Fill=—","Direction=H","UseDPDF=Y")</f>
        <v>1.419</v>
      </c>
      <c r="E21" s="21">
        <f>_xll.BDH("NFLX US Equity","CAP_EXPEND_RATIO","FQ4 2011","FQ4 2011","Currency=USD","Period=FQ","BEST_FPERIOD_OVERRIDE=FQ","FILING_STATUS=MR","Sort=A","Dates=H","DateFormat=P","Fill=—","Direction=H","UseDPDF=Y")</f>
        <v>1.9369000000000001</v>
      </c>
      <c r="F21" s="21">
        <f>_xll.BDH("NFLX US Equity","CAP_EXPEND_RATIO","FQ1 2012","FQ1 2012","Currency=USD","Period=FQ","BEST_FPERIOD_OVERRIDE=FQ","FILING_STATUS=MR","Sort=A","Dates=H","DateFormat=P","Fill=—","Direction=H","UseDPDF=Y")</f>
        <v>1.0446</v>
      </c>
      <c r="G21" s="21">
        <f>_xll.BDH("NFLX US Equity","CAP_EXPEND_RATIO","FQ2 2012","FQ2 2012","Currency=USD","Period=FQ","BEST_FPERIOD_OVERRIDE=FQ","FILING_STATUS=MR","Sort=A","Dates=H","DateFormat=P","Fill=—","Direction=H","UseDPDF=Y")</f>
        <v>0.27210000000000001</v>
      </c>
      <c r="H21" s="21">
        <f>_xll.BDH("NFLX US Equity","CAP_EXPEND_RATIO","FQ3 2012","FQ3 2012","Currency=USD","Period=FQ","BEST_FPERIOD_OVERRIDE=FQ","FILING_STATUS=MR","Sort=A","Dates=H","DateFormat=P","Fill=—","Direction=H","UseDPDF=Y")</f>
        <v>-0.15079999999999999</v>
      </c>
      <c r="I21" s="21">
        <f>_xll.BDH("NFLX US Equity","CAP_EXPEND_RATIO","FQ4 2012","FQ4 2012","Currency=USD","Period=FQ","BEST_FPERIOD_OVERRIDE=FQ","FILING_STATUS=MR","Sort=A","Dates=H","DateFormat=P","Fill=—","Direction=H","UseDPDF=Y")</f>
        <v>-0.35460000000000003</v>
      </c>
      <c r="J21" s="21">
        <f>_xll.BDH("NFLX US Equity","CAP_EXPEND_RATIO","FQ1 2013","FQ1 2013","Currency=USD","Period=FQ","BEST_FPERIOD_OVERRIDE=FQ","FILING_STATUS=MR","Sort=A","Dates=H","DateFormat=P","Fill=—","Direction=H","UseDPDF=Y")</f>
        <v>-0.36770000000000003</v>
      </c>
      <c r="K21" s="21">
        <f>_xll.BDH("NFLX US Equity","CAP_EXPEND_RATIO","FQ2 2013","FQ2 2013","Currency=USD","Period=FQ","BEST_FPERIOD_OVERRIDE=FQ","FILING_STATUS=MR","Sort=A","Dates=H","DateFormat=P","Fill=—","Direction=H","UseDPDF=Y")</f>
        <v>1.5350999999999999</v>
      </c>
      <c r="L21" s="21">
        <f>_xll.BDH("NFLX US Equity","CAP_EXPEND_RATIO","FQ3 2013","FQ3 2013","Currency=USD","Period=FQ","BEST_FPERIOD_OVERRIDE=FQ","FILING_STATUS=MR","Sort=A","Dates=H","DateFormat=P","Fill=—","Direction=H","UseDPDF=Y")</f>
        <v>1.3191999999999999</v>
      </c>
      <c r="M21" s="21">
        <f>_xll.BDH("NFLX US Equity","CAP_EXPEND_RATIO","FQ4 2013","FQ4 2013","Currency=USD","Period=FQ","BEST_FPERIOD_OVERRIDE=FQ","FILING_STATUS=MR","Sort=A","Dates=H","DateFormat=P","Fill=—","Direction=H","UseDPDF=Y")</f>
        <v>1.0807</v>
      </c>
      <c r="N21" s="21">
        <f>_xll.BDH("NFLX US Equity","CAP_EXPEND_RATIO","FQ1 2014","FQ1 2014","Currency=USD","Period=FQ","BEST_FPERIOD_OVERRIDE=FQ","FILING_STATUS=MR","Sort=A","Dates=H","DateFormat=P","Fill=—","Direction=H","UseDPDF=Y")</f>
        <v>1.2871000000000001</v>
      </c>
      <c r="O21" s="21">
        <f>_xll.BDH("NFLX US Equity","CAP_EXPEND_RATIO","FQ2 2014","FQ2 2014","Currency=USD","Period=FQ","BEST_FPERIOD_OVERRIDE=FQ","FILING_STATUS=MR","Sort=A","Dates=H","DateFormat=P","Fill=—","Direction=H","UseDPDF=Y")</f>
        <v>1.3714999999999999</v>
      </c>
      <c r="P21" s="21">
        <f>_xll.BDH("NFLX US Equity","CAP_EXPEND_RATIO","FQ3 2014","FQ3 2014","Currency=USD","Period=FQ","BEST_FPERIOD_OVERRIDE=FQ","FILING_STATUS=MR","Sort=A","Dates=H","DateFormat=P","Fill=—","Direction=H","UseDPDF=Y")</f>
        <v>-1.024</v>
      </c>
      <c r="Q21" s="21">
        <f>_xll.BDH("NFLX US Equity","CAP_EXPEND_RATIO","FQ4 2014","FQ4 2014","Currency=USD","Period=FQ","BEST_FPERIOD_OVERRIDE=FQ","FILING_STATUS=MR","Sort=A","Dates=H","DateFormat=P","Fill=—","Direction=H","UseDPDF=Y")</f>
        <v>-0.98980000000000001</v>
      </c>
      <c r="R21" s="21">
        <f>_xll.BDH("NFLX US Equity","CAP_EXPEND_RATIO","FQ1 2015","FQ1 2015","Currency=USD","Period=FQ","BEST_FPERIOD_OVERRIDE=FQ","FILING_STATUS=MR","Sort=A","Dates=H","DateFormat=P","Fill=—","Direction=H","UseDPDF=Y")</f>
        <v>-3.5441000000000003</v>
      </c>
      <c r="S21" s="21">
        <f>_xll.BDH("NFLX US Equity","CAP_EXPEND_RATIO","FQ2 2015","FQ2 2015","Currency=USD","Period=FQ","BEST_FPERIOD_OVERRIDE=FQ","FILING_STATUS=MR","Sort=A","Dates=H","DateFormat=P","Fill=—","Direction=H","UseDPDF=Y")</f>
        <v>-3.8319000000000001</v>
      </c>
      <c r="T21" s="21">
        <f>_xll.BDH("NFLX US Equity","CAP_EXPEND_RATIO","FQ3 2015","FQ3 2015","Currency=USD","Period=FQ","BEST_FPERIOD_OVERRIDE=FQ","FILING_STATUS=MR","Sort=A","Dates=H","DateFormat=P","Fill=—","Direction=H","UseDPDF=Y")</f>
        <v>-3.7479</v>
      </c>
      <c r="U21" s="21">
        <f>_xll.BDH("NFLX US Equity","CAP_EXPEND_RATIO","FQ4 2015","FQ4 2015","Currency=USD","Period=FQ","BEST_FPERIOD_OVERRIDE=FQ","FILING_STATUS=MR","Sort=A","Dates=H","DateFormat=P","Fill=—","Direction=H","UseDPDF=Y")</f>
        <v>-7.2725999999999997</v>
      </c>
      <c r="V21" s="21">
        <f>_xll.BDH("NFLX US Equity","CAP_EXPEND_RATIO","FQ1 2016","FQ1 2016","Currency=USD","Period=FQ","BEST_FPERIOD_OVERRIDE=FQ","FILING_STATUS=MR","Sort=A","Dates=H","DateFormat=P","Fill=—","Direction=H","UseDPDF=Y")</f>
        <v>-27.132300000000001</v>
      </c>
      <c r="W21" s="21">
        <f>_xll.BDH("NFLX US Equity","CAP_EXPEND_RATIO","FQ2 2016","FQ2 2016","Currency=USD","Period=FQ","BEST_FPERIOD_OVERRIDE=FQ","FILING_STATUS=MR","Sort=A","Dates=H","DateFormat=P","Fill=—","Direction=H","UseDPDF=Y")</f>
        <v>-20.925899999999999</v>
      </c>
      <c r="X21" s="21">
        <f>_xll.BDH("NFLX US Equity","CAP_EXPEND_RATIO","FQ3 2016","FQ3 2016","Currency=USD","Period=FQ","BEST_FPERIOD_OVERRIDE=FQ","FILING_STATUS=MR","Sort=A","Dates=H","DateFormat=P","Fill=—","Direction=H","UseDPDF=Y")</f>
        <v>-16.880099999999999</v>
      </c>
      <c r="Y21" s="21">
        <f>_xll.BDH("NFLX US Equity","CAP_EXPEND_RATIO","FQ4 2016","FQ4 2016","Currency=USD","Period=FQ","BEST_FPERIOD_OVERRIDE=FQ","FILING_STATUS=MR","Sort=A","Dates=H","DateFormat=P","Fill=—","Direction=H","UseDPDF=Y")</f>
        <v>-9.1265999999999998</v>
      </c>
      <c r="Z21" s="21">
        <f>_xll.BDH("NFLX US Equity","CAP_EXPEND_RATIO","FQ1 2017","FQ1 2017","Currency=USD","Period=FQ","BEST_FPERIOD_OVERRIDE=FQ","FILING_STATUS=MR","Sort=A","Dates=H","DateFormat=P","Fill=—","Direction=H","UseDPDF=Y")</f>
        <v>-6.5468000000000002</v>
      </c>
      <c r="AA21" s="21">
        <f>_xll.BDH("NFLX US Equity","CAP_EXPEND_RATIO","FQ2 2017","FQ2 2017","Currency=USD","Period=FQ","BEST_FPERIOD_OVERRIDE=FQ","FILING_STATUS=MR","Sort=A","Dates=H","DateFormat=P","Fill=—","Direction=H","UseDPDF=Y")</f>
        <v>-8.1943999999999999</v>
      </c>
      <c r="AB21" s="21">
        <f>_xll.BDH("NFLX US Equity","CAP_EXPEND_RATIO","FQ3 2017","FQ3 2017","Currency=USD","Period=FQ","BEST_FPERIOD_OVERRIDE=FQ","FILING_STATUS=MR","Sort=A","Dates=H","DateFormat=P","Fill=—","Direction=H","UseDPDF=Y")</f>
        <v>-12.354800000000001</v>
      </c>
      <c r="AC21" s="21">
        <f>_xll.BDH("NFLX US Equity","CAP_EXPEND_RATIO","FQ4 2017","FQ4 2017","Currency=USD","Period=FQ","BEST_FPERIOD_OVERRIDE=FQ","FILING_STATUS=MR","Sort=A","Dates=H","DateFormat=P","Fill=—","Direction=H","UseDPDF=Y")</f>
        <v>-15.2049</v>
      </c>
      <c r="AD21" s="21">
        <f>_xll.BDH("NFLX US Equity","CAP_EXPEND_RATIO","FQ1 2018","FQ1 2018","Currency=USD","Period=FQ","BEST_FPERIOD_OVERRIDE=FQ","FILING_STATUS=MR","Sort=A","Dates=H","DateFormat=P","Fill=—","Direction=H","UseDPDF=Y")</f>
        <v>-6.3696000000000002</v>
      </c>
      <c r="AE21" s="21">
        <f>_xll.BDH("NFLX US Equity","CAP_EXPEND_RATIO","FQ2 2018","FQ2 2018","Currency=USD","Period=FQ","BEST_FPERIOD_OVERRIDE=FQ","FILING_STATUS=MR","Sort=A","Dates=H","DateFormat=P","Fill=—","Direction=H","UseDPDF=Y")</f>
        <v>-18.967099999999999</v>
      </c>
      <c r="AF21" s="21">
        <f>_xll.BDH("NFLX US Equity","CAP_EXPEND_RATIO","FQ3 2018","FQ3 2018","Currency=USD","Period=FQ","BEST_FPERIOD_OVERRIDE=FQ","FILING_STATUS=MR","Sort=A","Dates=H","DateFormat=P","Fill=—","Direction=H","UseDPDF=Y")</f>
        <v>-17.553000000000001</v>
      </c>
      <c r="AG21" s="21">
        <f>_xll.BDH("NFLX US Equity","CAP_EXPEND_RATIO","FQ4 2018","FQ4 2018","Currency=USD","Period=FQ","BEST_FPERIOD_OVERRIDE=FQ","FILING_STATUS=MR","Sort=A","Dates=H","DateFormat=P","Fill=—","Direction=H","UseDPDF=Y")</f>
        <v>-17.613700000000001</v>
      </c>
      <c r="AH21" s="21">
        <f>_xll.BDH("NFLX US Equity","CAP_EXPEND_RATIO","FQ1 2019","FQ1 2019","Currency=USD","Period=FQ","BEST_FPERIOD_OVERRIDE=FQ","FILING_STATUS=MR","Sort=A","Dates=H","DateFormat=P","Fill=—","Direction=H","UseDPDF=Y")</f>
        <v>-6.29</v>
      </c>
      <c r="AI21" s="21">
        <f>_xll.BDH("NFLX US Equity","CAP_EXPEND_RATIO","FQ2 2019","FQ2 2019","Currency=USD","Period=FQ","BEST_FPERIOD_OVERRIDE=FQ","FILING_STATUS=MR","Sort=A","Dates=H","DateFormat=P","Fill=—","Direction=H","UseDPDF=Y")</f>
        <v>-13.736700000000001</v>
      </c>
      <c r="AJ21" s="21">
        <f>_xll.BDH("NFLX US Equity","CAP_EXPEND_RATIO","FQ3 2019","FQ3 2019","Currency=USD","Period=FQ","BEST_FPERIOD_OVERRIDE=FQ","FILING_STATUS=MR","Sort=A","Dates=H","DateFormat=P","Fill=—","Direction=H","UseDPDF=Y")</f>
        <v>-11.069100000000001</v>
      </c>
      <c r="AK21" s="21">
        <f>_xll.BDH("NFLX US Equity","CAP_EXPEND_RATIO","FQ4 2019","FQ4 2019","Currency=USD","Period=FQ","BEST_FPERIOD_OVERRIDE=FQ","FILING_STATUS=MR","Sort=A","Dates=H","DateFormat=P","Fill=—","Direction=H","UseDPDF=Y")</f>
        <v>-13.569900000000001</v>
      </c>
      <c r="AL21" s="21">
        <f>_xll.BDH("NFLX US Equity","CAP_EXPEND_RATIO","FQ1 2020","FQ1 2020","Currency=USD","Period=FQ","BEST_FPERIOD_OVERRIDE=FQ","FILING_STATUS=MR","Sort=A","Dates=H","DateFormat=P","Fill=—","Direction=H","UseDPDF=Y")</f>
        <v>2.6518000000000002</v>
      </c>
      <c r="AM21" s="21">
        <f>_xll.BDH("NFLX US Equity","CAP_EXPEND_RATIO","FQ2 2020","FQ2 2020","Currency=USD","Period=FQ","BEST_FPERIOD_OVERRIDE=FQ","FILING_STATUS=MR","Sort=A","Dates=H","DateFormat=P","Fill=—","Direction=H","UseDPDF=Y")</f>
        <v>7.3449</v>
      </c>
      <c r="AN21" s="21">
        <f>_xll.BDH("NFLX US Equity","CAP_EXPEND_RATIO","FQ3 2020","FQ3 2020","Currency=USD","Period=FQ","BEST_FPERIOD_OVERRIDE=FQ","FILING_STATUS=MR","Sort=A","Dates=H","DateFormat=P","Fill=—","Direction=H","UseDPDF=Y")</f>
        <v>11.5085</v>
      </c>
      <c r="AO21" s="21">
        <f>_xll.BDH("NFLX US Equity","CAP_EXPEND_RATIO","FQ4 2020","FQ4 2020","Currency=USD","Period=FQ","BEST_FPERIOD_OVERRIDE=FQ","FILING_STATUS=MR","Sort=A","Dates=H","DateFormat=P","Fill=—","Direction=H","UseDPDF=Y")</f>
        <v>-0.92800000000000005</v>
      </c>
      <c r="AP21" s="21">
        <f>_xll.BDH("NFLX US Equity","CAP_EXPEND_RATIO","FQ1 2021","FQ1 2021","Currency=USD","Period=FQ","BEST_FPERIOD_OVERRIDE=FQ","FILING_STATUS=MR","Sort=A","Dates=H","DateFormat=P","Fill=—","Direction=H","UseDPDF=Y")</f>
        <v>9.5958000000000006</v>
      </c>
    </row>
    <row r="22" spans="1:42" x14ac:dyDescent="0.25">
      <c r="A22" s="8" t="s">
        <v>167</v>
      </c>
      <c r="B22" s="8" t="s">
        <v>166</v>
      </c>
      <c r="C22" s="21">
        <f>_xll.BDH("NFLX US Equity","ALTMAN_Z_SCORE","FQ2 2011","FQ2 2011","Currency=USD","Period=FQ","BEST_FPERIOD_OVERRIDE=FQ","FILING_STATUS=MR","Sort=A","Dates=H","DateFormat=P","Fill=—","Direction=H","UseDPDF=Y")</f>
        <v>10.7265</v>
      </c>
      <c r="D22" s="21">
        <f>_xll.BDH("NFLX US Equity","ALTMAN_Z_SCORE","FQ3 2011","FQ3 2011","Currency=USD","Period=FQ","BEST_FPERIOD_OVERRIDE=FQ","FILING_STATUS=MR","Sort=A","Dates=H","DateFormat=P","Fill=—","Direction=H","UseDPDF=Y")</f>
        <v>5.8848000000000003</v>
      </c>
      <c r="E22" s="21">
        <f>_xll.BDH("NFLX US Equity","ALTMAN_Z_SCORE","FQ4 2011","FQ4 2011","Currency=USD","Period=FQ","BEST_FPERIOD_OVERRIDE=FQ","FILING_STATUS=MR","Sort=A","Dates=H","DateFormat=P","Fill=—","Direction=H","UseDPDF=Y")</f>
        <v>3.7991999999999999</v>
      </c>
      <c r="F22" s="21">
        <f>_xll.BDH("NFLX US Equity","ALTMAN_Z_SCORE","FQ1 2012","FQ1 2012","Currency=USD","Period=FQ","BEST_FPERIOD_OVERRIDE=FQ","FILING_STATUS=MR","Sort=A","Dates=H","DateFormat=P","Fill=—","Direction=H","UseDPDF=Y")</f>
        <v>3.8303000000000003</v>
      </c>
      <c r="G22" s="21">
        <f>_xll.BDH("NFLX US Equity","ALTMAN_Z_SCORE","FQ2 2012","FQ2 2012","Currency=USD","Period=FQ","BEST_FPERIOD_OVERRIDE=FQ","FILING_STATUS=MR","Sort=A","Dates=H","DateFormat=P","Fill=—","Direction=H","UseDPDF=Y")</f>
        <v>3.1295999999999999</v>
      </c>
      <c r="H22" s="21">
        <f>_xll.BDH("NFLX US Equity","ALTMAN_Z_SCORE","FQ3 2012","FQ3 2012","Currency=USD","Period=FQ","BEST_FPERIOD_OVERRIDE=FQ","FILING_STATUS=MR","Sort=A","Dates=H","DateFormat=P","Fill=—","Direction=H","UseDPDF=Y")</f>
        <v>2.7162999999999999</v>
      </c>
      <c r="I22" s="21">
        <f>_xll.BDH("NFLX US Equity","ALTMAN_Z_SCORE","FQ4 2012","FQ4 2012","Currency=USD","Period=FQ","BEST_FPERIOD_OVERRIDE=FQ","FILING_STATUS=MR","Sort=A","Dates=H","DateFormat=P","Fill=—","Direction=H","UseDPDF=Y")</f>
        <v>3.016</v>
      </c>
      <c r="J22" s="21">
        <f>_xll.BDH("NFLX US Equity","ALTMAN_Z_SCORE","FQ1 2013","FQ1 2013","Currency=USD","Period=FQ","BEST_FPERIOD_OVERRIDE=FQ","FILING_STATUS=MR","Sort=A","Dates=H","DateFormat=P","Fill=—","Direction=H","UseDPDF=Y")</f>
        <v>3.8372000000000002</v>
      </c>
      <c r="K22" s="21">
        <f>_xll.BDH("NFLX US Equity","ALTMAN_Z_SCORE","FQ2 2013","FQ2 2013","Currency=USD","Period=FQ","BEST_FPERIOD_OVERRIDE=FQ","FILING_STATUS=MR","Sort=A","Dates=H","DateFormat=P","Fill=—","Direction=H","UseDPDF=Y")</f>
        <v>4.2853000000000003</v>
      </c>
      <c r="L22" s="21">
        <f>_xll.BDH("NFLX US Equity","ALTMAN_Z_SCORE","FQ3 2013","FQ3 2013","Currency=USD","Period=FQ","BEST_FPERIOD_OVERRIDE=FQ","FILING_STATUS=MR","Sort=A","Dates=H","DateFormat=P","Fill=—","Direction=H","UseDPDF=Y")</f>
        <v>5.0566000000000004</v>
      </c>
      <c r="M22" s="21">
        <f>_xll.BDH("NFLX US Equity","ALTMAN_Z_SCORE","FQ4 2013","FQ4 2013","Currency=USD","Period=FQ","BEST_FPERIOD_OVERRIDE=FQ","FILING_STATUS=MR","Sort=A","Dates=H","DateFormat=P","Fill=—","Direction=H","UseDPDF=Y")</f>
        <v>5.3126999999999995</v>
      </c>
      <c r="N22" s="21">
        <f>_xll.BDH("NFLX US Equity","ALTMAN_Z_SCORE","FQ1 2014","FQ1 2014","Currency=USD","Period=FQ","BEST_FPERIOD_OVERRIDE=FQ","FILING_STATUS=MR","Sort=A","Dates=H","DateFormat=P","Fill=—","Direction=H","UseDPDF=Y")</f>
        <v>4.8391999999999999</v>
      </c>
      <c r="O22" s="21">
        <f>_xll.BDH("NFLX US Equity","ALTMAN_Z_SCORE","FQ2 2014","FQ2 2014","Currency=USD","Period=FQ","BEST_FPERIOD_OVERRIDE=FQ","FILING_STATUS=MR","Sort=A","Dates=H","DateFormat=P","Fill=—","Direction=H","UseDPDF=Y")</f>
        <v>5.5350000000000001</v>
      </c>
      <c r="P22" s="21">
        <f>_xll.BDH("NFLX US Equity","ALTMAN_Z_SCORE","FQ3 2014","FQ3 2014","Currency=USD","Period=FQ","BEST_FPERIOD_OVERRIDE=FQ","FILING_STATUS=MR","Sort=A","Dates=H","DateFormat=P","Fill=—","Direction=H","UseDPDF=Y")</f>
        <v>5.4234999999999998</v>
      </c>
      <c r="Q22" s="21">
        <f>_xll.BDH("NFLX US Equity","ALTMAN_Z_SCORE","FQ4 2014","FQ4 2014","Currency=USD","Period=FQ","BEST_FPERIOD_OVERRIDE=FQ","FILING_STATUS=MR","Sort=A","Dates=H","DateFormat=P","Fill=—","Direction=H","UseDPDF=Y")</f>
        <v>4.6062000000000003</v>
      </c>
      <c r="R22" s="21">
        <f>_xll.BDH("NFLX US Equity","ALTMAN_Z_SCORE","FQ1 2015","FQ1 2015","Currency=USD","Period=FQ","BEST_FPERIOD_OVERRIDE=FQ","FILING_STATUS=MR","Sort=A","Dates=H","DateFormat=P","Fill=—","Direction=H","UseDPDF=Y")</f>
        <v>3.9779999999999998</v>
      </c>
      <c r="S22" s="21">
        <f>_xll.BDH("NFLX US Equity","ALTMAN_Z_SCORE","FQ2 2015","FQ2 2015","Currency=USD","Period=FQ","BEST_FPERIOD_OVERRIDE=FQ","FILING_STATUS=MR","Sort=A","Dates=H","DateFormat=P","Fill=—","Direction=H","UseDPDF=Y")</f>
        <v>5.0191999999999997</v>
      </c>
      <c r="T22" s="21">
        <f>_xll.BDH("NFLX US Equity","ALTMAN_Z_SCORE","FQ3 2015","FQ3 2015","Currency=USD","Period=FQ","BEST_FPERIOD_OVERRIDE=FQ","FILING_STATUS=MR","Sort=A","Dates=H","DateFormat=P","Fill=—","Direction=H","UseDPDF=Y")</f>
        <v>5.2850999999999999</v>
      </c>
      <c r="U22" s="21">
        <f>_xll.BDH("NFLX US Equity","ALTMAN_Z_SCORE","FQ4 2015","FQ4 2015","Currency=USD","Period=FQ","BEST_FPERIOD_OVERRIDE=FQ","FILING_STATUS=MR","Sort=A","Dates=H","DateFormat=P","Fill=—","Direction=H","UseDPDF=Y")</f>
        <v>5.6096000000000004</v>
      </c>
      <c r="V22" s="21">
        <f>_xll.BDH("NFLX US Equity","ALTMAN_Z_SCORE","FQ1 2016","FQ1 2016","Currency=USD","Period=FQ","BEST_FPERIOD_OVERRIDE=FQ","FILING_STATUS=MR","Sort=A","Dates=H","DateFormat=P","Fill=—","Direction=H","UseDPDF=Y")</f>
        <v>4.8189000000000002</v>
      </c>
      <c r="W22" s="21">
        <f>_xll.BDH("NFLX US Equity","ALTMAN_Z_SCORE","FQ2 2016","FQ2 2016","Currency=USD","Period=FQ","BEST_FPERIOD_OVERRIDE=FQ","FILING_STATUS=MR","Sort=A","Dates=H","DateFormat=P","Fill=—","Direction=H","UseDPDF=Y")</f>
        <v>4.5232000000000001</v>
      </c>
      <c r="X22" s="21">
        <f>_xll.BDH("NFLX US Equity","ALTMAN_Z_SCORE","FQ3 2016","FQ3 2016","Currency=USD","Period=FQ","BEST_FPERIOD_OVERRIDE=FQ","FILING_STATUS=MR","Sort=A","Dates=H","DateFormat=P","Fill=—","Direction=H","UseDPDF=Y")</f>
        <v>4.6181999999999999</v>
      </c>
      <c r="Y22" s="21">
        <f>_xll.BDH("NFLX US Equity","ALTMAN_Z_SCORE","FQ4 2016","FQ4 2016","Currency=USD","Period=FQ","BEST_FPERIOD_OVERRIDE=FQ","FILING_STATUS=MR","Sort=A","Dates=H","DateFormat=P","Fill=—","Direction=H","UseDPDF=Y")</f>
        <v>4.9861000000000004</v>
      </c>
      <c r="Z22" s="21">
        <f>_xll.BDH("NFLX US Equity","ALTMAN_Z_SCORE","FQ1 2017","FQ1 2017","Currency=USD","Period=FQ","BEST_FPERIOD_OVERRIDE=FQ","FILING_STATUS=MR","Sort=A","Dates=H","DateFormat=P","Fill=—","Direction=H","UseDPDF=Y")</f>
        <v>5.6017999999999999</v>
      </c>
      <c r="AA22" s="21">
        <f>_xll.BDH("NFLX US Equity","ALTMAN_Z_SCORE","FQ2 2017","FQ2 2017","Currency=USD","Period=FQ","BEST_FPERIOD_OVERRIDE=FQ","FILING_STATUS=MR","Sort=A","Dates=H","DateFormat=P","Fill=—","Direction=H","UseDPDF=Y")</f>
        <v>5.0593000000000004</v>
      </c>
      <c r="AB22" s="21">
        <f>_xll.BDH("NFLX US Equity","ALTMAN_Z_SCORE","FQ3 2017","FQ3 2017","Currency=USD","Period=FQ","BEST_FPERIOD_OVERRIDE=FQ","FILING_STATUS=MR","Sort=A","Dates=H","DateFormat=P","Fill=—","Direction=H","UseDPDF=Y")</f>
        <v>5.7782999999999998</v>
      </c>
      <c r="AC22" s="21">
        <f>_xll.BDH("NFLX US Equity","ALTMAN_Z_SCORE","FQ4 2017","FQ4 2017","Currency=USD","Period=FQ","BEST_FPERIOD_OVERRIDE=FQ","FILING_STATUS=MR","Sort=A","Dates=H","DateFormat=P","Fill=—","Direction=H","UseDPDF=Y")</f>
        <v>5.4897</v>
      </c>
      <c r="AD22" s="21">
        <f>_xll.BDH("NFLX US Equity","ALTMAN_Z_SCORE","FQ1 2018","FQ1 2018","Currency=USD","Period=FQ","BEST_FPERIOD_OVERRIDE=FQ","FILING_STATUS=MR","Sort=A","Dates=H","DateFormat=P","Fill=—","Direction=H","UseDPDF=Y")</f>
        <v>7.1604999999999999</v>
      </c>
      <c r="AE22" s="21">
        <f>_xll.BDH("NFLX US Equity","ALTMAN_Z_SCORE","FQ2 2018","FQ2 2018","Currency=USD","Period=FQ","BEST_FPERIOD_OVERRIDE=FQ","FILING_STATUS=MR","Sort=A","Dates=H","DateFormat=P","Fill=—","Direction=H","UseDPDF=Y")</f>
        <v>8.0940999999999992</v>
      </c>
      <c r="AF22" s="21">
        <f>_xll.BDH("NFLX US Equity","ALTMAN_Z_SCORE","FQ3 2018","FQ3 2018","Currency=USD","Period=FQ","BEST_FPERIOD_OVERRIDE=FQ","FILING_STATUS=MR","Sort=A","Dates=H","DateFormat=P","Fill=—","Direction=H","UseDPDF=Y")</f>
        <v>6.6562999999999999</v>
      </c>
      <c r="AG22" s="21">
        <f>_xll.BDH("NFLX US Equity","ALTMAN_Z_SCORE","FQ4 2018","FQ4 2018","Currency=USD","Period=FQ","BEST_FPERIOD_OVERRIDE=FQ","FILING_STATUS=MR","Sort=A","Dates=H","DateFormat=P","Fill=—","Direction=H","UseDPDF=Y")</f>
        <v>4.6772</v>
      </c>
      <c r="AH22" s="21">
        <f>_xll.BDH("NFLX US Equity","ALTMAN_Z_SCORE","FQ1 2019","FQ1 2019","Currency=USD","Period=FQ","BEST_FPERIOD_OVERRIDE=FQ","FILING_STATUS=MR","Sort=A","Dates=H","DateFormat=P","Fill=—","Direction=H","UseDPDF=Y")</f>
        <v>5.3297999999999996</v>
      </c>
      <c r="AI22" s="21">
        <f>_xll.BDH("NFLX US Equity","ALTMAN_Z_SCORE","FQ2 2019","FQ2 2019","Currency=USD","Period=FQ","BEST_FPERIOD_OVERRIDE=FQ","FILING_STATUS=MR","Sort=A","Dates=H","DateFormat=P","Fill=—","Direction=H","UseDPDF=Y")</f>
        <v>7.3460000000000001</v>
      </c>
      <c r="AJ22" s="21">
        <f>_xll.BDH("NFLX US Equity","ALTMAN_Z_SCORE","FQ3 2019","FQ3 2019","Currency=USD","Period=FQ","BEST_FPERIOD_OVERRIDE=FQ","FILING_STATUS=MR","Sort=A","Dates=H","DateFormat=P","Fill=—","Direction=H","UseDPDF=Y")</f>
        <v>4.0862999999999996</v>
      </c>
      <c r="AK22" s="21">
        <f>_xll.BDH("NFLX US Equity","ALTMAN_Z_SCORE","FQ4 2019","FQ4 2019","Currency=USD","Period=FQ","BEST_FPERIOD_OVERRIDE=FQ","FILING_STATUS=MR","Sort=A","Dates=H","DateFormat=P","Fill=—","Direction=H","UseDPDF=Y")</f>
        <v>4.4378000000000002</v>
      </c>
      <c r="AL22" s="21">
        <f>_xll.BDH("NFLX US Equity","ALTMAN_Z_SCORE","FQ1 2020","FQ1 2020","Currency=USD","Period=FQ","BEST_FPERIOD_OVERRIDE=FQ","FILING_STATUS=MR","Sort=A","Dates=H","DateFormat=P","Fill=—","Direction=H","UseDPDF=Y")</f>
        <v>4.9809999999999999</v>
      </c>
      <c r="AM22" s="21">
        <f>_xll.BDH("NFLX US Equity","ALTMAN_Z_SCORE","FQ2 2020","FQ2 2020","Currency=USD","Period=FQ","BEST_FPERIOD_OVERRIDE=FQ","FILING_STATUS=MR","Sort=A","Dates=H","DateFormat=P","Fill=—","Direction=H","UseDPDF=Y")</f>
        <v>5.7263000000000002</v>
      </c>
      <c r="AN22" s="21">
        <f>_xll.BDH("NFLX US Equity","ALTMAN_Z_SCORE","FQ3 2020","FQ3 2020","Currency=USD","Period=FQ","BEST_FPERIOD_OVERRIDE=FQ","FILING_STATUS=MR","Sort=A","Dates=H","DateFormat=P","Fill=—","Direction=H","UseDPDF=Y")</f>
        <v>6.173</v>
      </c>
      <c r="AO22" s="21">
        <f>_xll.BDH("NFLX US Equity","ALTMAN_Z_SCORE","FQ4 2020","FQ4 2020","Currency=USD","Period=FQ","BEST_FPERIOD_OVERRIDE=FQ","FILING_STATUS=MR","Sort=A","Dates=H","DateFormat=P","Fill=—","Direction=H","UseDPDF=Y")</f>
        <v>6.6666999999999996</v>
      </c>
      <c r="AP22" s="21">
        <f>_xll.BDH("NFLX US Equity","ALTMAN_Z_SCORE","FQ1 2021","FQ1 2021","Currency=USD","Period=FQ","BEST_FPERIOD_OVERRIDE=FQ","FILING_STATUS=MR","Sort=A","Dates=H","DateFormat=P","Fill=—","Direction=H","UseDPDF=Y")</f>
        <v>6.9137000000000004</v>
      </c>
    </row>
    <row r="23" spans="1:42" x14ac:dyDescent="0.25">
      <c r="A23" s="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</row>
    <row r="24" spans="1:42" x14ac:dyDescent="0.25">
      <c r="A24" s="8" t="s">
        <v>165</v>
      </c>
      <c r="B24" s="8" t="s">
        <v>164</v>
      </c>
      <c r="C24" s="1" t="str">
        <f>_xll.BDH("NFLX US Equity","BS_TOTAL_LINE_OF_CREDIT","FQ2 2011","FQ2 2011","Currency=USD","Period=FQ","BEST_FPERIOD_OVERRIDE=FQ","FILING_STATUS=MR","SCALING_FORMAT=MLN","Sort=A","Dates=H","DateFormat=P","Fill=—","Direction=H","UseDPDF=Y")</f>
        <v>—</v>
      </c>
      <c r="D24" s="1" t="str">
        <f>_xll.BDH("NFLX US Equity","BS_TOTAL_LINE_OF_CREDIT","FQ3 2011","FQ3 2011","Currency=USD","Period=FQ","BEST_FPERIOD_OVERRIDE=FQ","FILING_STATUS=MR","SCALING_FORMAT=MLN","Sort=A","Dates=H","DateFormat=P","Fill=—","Direction=H","UseDPDF=Y")</f>
        <v>—</v>
      </c>
      <c r="E24" s="1">
        <f>_xll.BDH("NFLX US Equity","BS_TOTAL_LINE_OF_CREDIT","FQ4 2011","FQ4 2011","Currency=USD","Period=FQ","BEST_FPERIOD_OVERRIDE=FQ","FILING_STATUS=MR","SCALING_FORMAT=MLN","Sort=A","Dates=H","DateFormat=P","Fill=—","Direction=H","UseDPDF=Y")</f>
        <v>100</v>
      </c>
      <c r="F24" s="1" t="str">
        <f>_xll.BDH("NFLX US Equity","BS_TOTAL_LINE_OF_CREDIT","FQ1 2012","FQ1 2012","Currency=USD","Period=FQ","BEST_FPERIOD_OVERRIDE=FQ","FILING_STATUS=MR","SCALING_FORMAT=MLN","Sort=A","Dates=H","DateFormat=P","Fill=—","Direction=H","UseDPDF=Y")</f>
        <v>—</v>
      </c>
      <c r="G24" s="1" t="str">
        <f>_xll.BDH("NFLX US Equity","BS_TOTAL_LINE_OF_CREDIT","FQ2 2012","FQ2 2012","Currency=USD","Period=FQ","BEST_FPERIOD_OVERRIDE=FQ","FILING_STATUS=MR","SCALING_FORMAT=MLN","Sort=A","Dates=H","DateFormat=P","Fill=—","Direction=H","UseDPDF=Y")</f>
        <v>—</v>
      </c>
      <c r="H24" s="1" t="str">
        <f>_xll.BDH("NFLX US Equity","BS_TOTAL_LINE_OF_CREDIT","FQ3 2012","FQ3 2012","Currency=USD","Period=FQ","BEST_FPERIOD_OVERRIDE=FQ","FILING_STATUS=MR","SCALING_FORMAT=MLN","Sort=A","Dates=H","DateFormat=P","Fill=—","Direction=H","UseDPDF=Y")</f>
        <v>—</v>
      </c>
      <c r="I24" s="1" t="str">
        <f>_xll.BDH("NFLX US Equity","BS_TOTAL_LINE_OF_CREDIT","FQ4 2012","FQ4 2012","Currency=USD","Period=FQ","BEST_FPERIOD_OVERRIDE=FQ","FILING_STATUS=MR","SCALING_FORMAT=MLN","Sort=A","Dates=H","DateFormat=P","Fill=—","Direction=H","UseDPDF=Y")</f>
        <v>—</v>
      </c>
      <c r="J24" s="1" t="str">
        <f>_xll.BDH("NFLX US Equity","BS_TOTAL_LINE_OF_CREDIT","FQ1 2013","FQ1 2013","Currency=USD","Period=FQ","BEST_FPERIOD_OVERRIDE=FQ","FILING_STATUS=MR","SCALING_FORMAT=MLN","Sort=A","Dates=H","DateFormat=P","Fill=—","Direction=H","UseDPDF=Y")</f>
        <v>—</v>
      </c>
      <c r="K24" s="1" t="str">
        <f>_xll.BDH("NFLX US Equity","BS_TOTAL_LINE_OF_CREDIT","FQ2 2013","FQ2 2013","Currency=USD","Period=FQ","BEST_FPERIOD_OVERRIDE=FQ","FILING_STATUS=MR","SCALING_FORMAT=MLN","Sort=A","Dates=H","DateFormat=P","Fill=—","Direction=H","UseDPDF=Y")</f>
        <v>—</v>
      </c>
      <c r="L24" s="1" t="str">
        <f>_xll.BDH("NFLX US Equity","BS_TOTAL_LINE_OF_CREDIT","FQ3 2013","FQ3 2013","Currency=USD","Period=FQ","BEST_FPERIOD_OVERRIDE=FQ","FILING_STATUS=MR","SCALING_FORMAT=MLN","Sort=A","Dates=H","DateFormat=P","Fill=—","Direction=H","UseDPDF=Y")</f>
        <v>—</v>
      </c>
      <c r="M24" s="1" t="str">
        <f>_xll.BDH("NFLX US Equity","BS_TOTAL_LINE_OF_CREDIT","FQ4 2013","FQ4 2013","Currency=USD","Period=FQ","BEST_FPERIOD_OVERRIDE=FQ","FILING_STATUS=MR","SCALING_FORMAT=MLN","Sort=A","Dates=H","DateFormat=P","Fill=—","Direction=H","UseDPDF=Y")</f>
        <v>—</v>
      </c>
      <c r="N24" s="1" t="str">
        <f>_xll.BDH("NFLX US Equity","BS_TOTAL_LINE_OF_CREDIT","FQ1 2014","FQ1 2014","Currency=USD","Period=FQ","BEST_FPERIOD_OVERRIDE=FQ","FILING_STATUS=MR","SCALING_FORMAT=MLN","Sort=A","Dates=H","DateFormat=P","Fill=—","Direction=H","UseDPDF=Y")</f>
        <v>—</v>
      </c>
      <c r="O24" s="1" t="str">
        <f>_xll.BDH("NFLX US Equity","BS_TOTAL_LINE_OF_CREDIT","FQ2 2014","FQ2 2014","Currency=USD","Period=FQ","BEST_FPERIOD_OVERRIDE=FQ","FILING_STATUS=MR","SCALING_FORMAT=MLN","Sort=A","Dates=H","DateFormat=P","Fill=—","Direction=H","UseDPDF=Y")</f>
        <v>—</v>
      </c>
      <c r="P24" s="1" t="str">
        <f>_xll.BDH("NFLX US Equity","BS_TOTAL_LINE_OF_CREDIT","FQ3 2014","FQ3 2014","Currency=USD","Period=FQ","BEST_FPERIOD_OVERRIDE=FQ","FILING_STATUS=MR","SCALING_FORMAT=MLN","Sort=A","Dates=H","DateFormat=P","Fill=—","Direction=H","UseDPDF=Y")</f>
        <v>—</v>
      </c>
      <c r="Q24" s="1" t="str">
        <f>_xll.BDH("NFLX US Equity","BS_TOTAL_LINE_OF_CREDIT","FQ4 2014","FQ4 2014","Currency=USD","Period=FQ","BEST_FPERIOD_OVERRIDE=FQ","FILING_STATUS=MR","SCALING_FORMAT=MLN","Sort=A","Dates=H","DateFormat=P","Fill=—","Direction=H","UseDPDF=Y")</f>
        <v>—</v>
      </c>
      <c r="R24" s="1" t="str">
        <f>_xll.BDH("NFLX US Equity","BS_TOTAL_LINE_OF_CREDIT","FQ1 2015","FQ1 2015","Currency=USD","Period=FQ","BEST_FPERIOD_OVERRIDE=FQ","FILING_STATUS=MR","SCALING_FORMAT=MLN","Sort=A","Dates=H","DateFormat=P","Fill=—","Direction=H","UseDPDF=Y")</f>
        <v>—</v>
      </c>
      <c r="S24" s="1" t="str">
        <f>_xll.BDH("NFLX US Equity","BS_TOTAL_LINE_OF_CREDIT","FQ2 2015","FQ2 2015","Currency=USD","Period=FQ","BEST_FPERIOD_OVERRIDE=FQ","FILING_STATUS=MR","SCALING_FORMAT=MLN","Sort=A","Dates=H","DateFormat=P","Fill=—","Direction=H","UseDPDF=Y")</f>
        <v>—</v>
      </c>
      <c r="T24" s="1" t="str">
        <f>_xll.BDH("NFLX US Equity","BS_TOTAL_LINE_OF_CREDIT","FQ3 2015","FQ3 2015","Currency=USD","Period=FQ","BEST_FPERIOD_OVERRIDE=FQ","FILING_STATUS=MR","SCALING_FORMAT=MLN","Sort=A","Dates=H","DateFormat=P","Fill=—","Direction=H","UseDPDF=Y")</f>
        <v>—</v>
      </c>
      <c r="U24" s="1" t="str">
        <f>_xll.BDH("NFLX US Equity","BS_TOTAL_LINE_OF_CREDIT","FQ4 2015","FQ4 2015","Currency=USD","Period=FQ","BEST_FPERIOD_OVERRIDE=FQ","FILING_STATUS=MR","SCALING_FORMAT=MLN","Sort=A","Dates=H","DateFormat=P","Fill=—","Direction=H","UseDPDF=Y")</f>
        <v>—</v>
      </c>
      <c r="V24" s="1" t="str">
        <f>_xll.BDH("NFLX US Equity","BS_TOTAL_LINE_OF_CREDIT","FQ1 2016","FQ1 2016","Currency=USD","Period=FQ","BEST_FPERIOD_OVERRIDE=FQ","FILING_STATUS=MR","SCALING_FORMAT=MLN","Sort=A","Dates=H","DateFormat=P","Fill=—","Direction=H","UseDPDF=Y")</f>
        <v>—</v>
      </c>
      <c r="W24" s="1" t="str">
        <f>_xll.BDH("NFLX US Equity","BS_TOTAL_LINE_OF_CREDIT","FQ2 2016","FQ2 2016","Currency=USD","Period=FQ","BEST_FPERIOD_OVERRIDE=FQ","FILING_STATUS=MR","SCALING_FORMAT=MLN","Sort=A","Dates=H","DateFormat=P","Fill=—","Direction=H","UseDPDF=Y")</f>
        <v>—</v>
      </c>
      <c r="X24" s="1" t="str">
        <f>_xll.BDH("NFLX US Equity","BS_TOTAL_LINE_OF_CREDIT","FQ3 2016","FQ3 2016","Currency=USD","Period=FQ","BEST_FPERIOD_OVERRIDE=FQ","FILING_STATUS=MR","SCALING_FORMAT=MLN","Sort=A","Dates=H","DateFormat=P","Fill=—","Direction=H","UseDPDF=Y")</f>
        <v>—</v>
      </c>
      <c r="Y24" s="1" t="str">
        <f>_xll.BDH("NFLX US Equity","BS_TOTAL_LINE_OF_CREDIT","FQ4 2016","FQ4 2016","Currency=USD","Period=FQ","BEST_FPERIOD_OVERRIDE=FQ","FILING_STATUS=MR","SCALING_FORMAT=MLN","Sort=A","Dates=H","DateFormat=P","Fill=—","Direction=H","UseDPDF=Y")</f>
        <v>—</v>
      </c>
      <c r="Z24" s="1" t="str">
        <f>_xll.BDH("NFLX US Equity","BS_TOTAL_LINE_OF_CREDIT","FQ1 2017","FQ1 2017","Currency=USD","Period=FQ","BEST_FPERIOD_OVERRIDE=FQ","FILING_STATUS=MR","SCALING_FORMAT=MLN","Sort=A","Dates=H","DateFormat=P","Fill=—","Direction=H","UseDPDF=Y")</f>
        <v>—</v>
      </c>
      <c r="AA24" s="1" t="str">
        <f>_xll.BDH("NFLX US Equity","BS_TOTAL_LINE_OF_CREDIT","FQ2 2017","FQ2 2017","Currency=USD","Period=FQ","BEST_FPERIOD_OVERRIDE=FQ","FILING_STATUS=MR","SCALING_FORMAT=MLN","Sort=A","Dates=H","DateFormat=P","Fill=—","Direction=H","UseDPDF=Y")</f>
        <v>—</v>
      </c>
      <c r="AB24" s="1">
        <f>_xll.BDH("NFLX US Equity","BS_TOTAL_LINE_OF_CREDIT","FQ3 2017","FQ3 2017","Currency=USD","Period=FQ","BEST_FPERIOD_OVERRIDE=FQ","FILING_STATUS=MR","SCALING_FORMAT=MLN","Sort=A","Dates=H","DateFormat=P","Fill=—","Direction=H","UseDPDF=Y")</f>
        <v>500</v>
      </c>
      <c r="AC24" s="1">
        <f>_xll.BDH("NFLX US Equity","BS_TOTAL_LINE_OF_CREDIT","FQ4 2017","FQ4 2017","Currency=USD","Period=FQ","BEST_FPERIOD_OVERRIDE=FQ","FILING_STATUS=MR","SCALING_FORMAT=MLN","Sort=A","Dates=H","DateFormat=P","Fill=—","Direction=H","UseDPDF=Y")</f>
        <v>500</v>
      </c>
      <c r="AD24" s="1">
        <f>_xll.BDH("NFLX US Equity","BS_TOTAL_LINE_OF_CREDIT","FQ1 2018","FQ1 2018","Currency=USD","Period=FQ","BEST_FPERIOD_OVERRIDE=FQ","FILING_STATUS=MR","SCALING_FORMAT=MLN","Sort=A","Dates=H","DateFormat=P","Fill=—","Direction=H","UseDPDF=Y")</f>
        <v>500</v>
      </c>
      <c r="AE24" s="1">
        <f>_xll.BDH("NFLX US Equity","BS_TOTAL_LINE_OF_CREDIT","FQ2 2018","FQ2 2018","Currency=USD","Period=FQ","BEST_FPERIOD_OVERRIDE=FQ","FILING_STATUS=MR","SCALING_FORMAT=MLN","Sort=A","Dates=H","DateFormat=P","Fill=—","Direction=H","UseDPDF=Y")</f>
        <v>500</v>
      </c>
      <c r="AF24" s="1">
        <f>_xll.BDH("NFLX US Equity","BS_TOTAL_LINE_OF_CREDIT","FQ3 2018","FQ3 2018","Currency=USD","Period=FQ","BEST_FPERIOD_OVERRIDE=FQ","FILING_STATUS=MR","SCALING_FORMAT=MLN","Sort=A","Dates=H","DateFormat=P","Fill=—","Direction=H","UseDPDF=Y")</f>
        <v>500</v>
      </c>
      <c r="AG24" s="1">
        <f>_xll.BDH("NFLX US Equity","BS_TOTAL_LINE_OF_CREDIT","FQ4 2018","FQ4 2018","Currency=USD","Period=FQ","BEST_FPERIOD_OVERRIDE=FQ","FILING_STATUS=MR","SCALING_FORMAT=MLN","Sort=A","Dates=H","DateFormat=P","Fill=—","Direction=H","UseDPDF=Y")</f>
        <v>500</v>
      </c>
      <c r="AH24" s="1">
        <f>_xll.BDH("NFLX US Equity","BS_TOTAL_LINE_OF_CREDIT","FQ1 2019","FQ1 2019","Currency=USD","Period=FQ","BEST_FPERIOD_OVERRIDE=FQ","FILING_STATUS=MR","SCALING_FORMAT=MLN","Sort=A","Dates=H","DateFormat=P","Fill=—","Direction=H","UseDPDF=Y")</f>
        <v>500</v>
      </c>
      <c r="AI24" s="1">
        <f>_xll.BDH("NFLX US Equity","BS_TOTAL_LINE_OF_CREDIT","FQ2 2019","FQ2 2019","Currency=USD","Period=FQ","BEST_FPERIOD_OVERRIDE=FQ","FILING_STATUS=MR","SCALING_FORMAT=MLN","Sort=A","Dates=H","DateFormat=P","Fill=—","Direction=H","UseDPDF=Y")</f>
        <v>500</v>
      </c>
      <c r="AJ24" s="1">
        <f>_xll.BDH("NFLX US Equity","BS_TOTAL_LINE_OF_CREDIT","FQ3 2019","FQ3 2019","Currency=USD","Period=FQ","BEST_FPERIOD_OVERRIDE=FQ","FILING_STATUS=MR","SCALING_FORMAT=MLN","Sort=A","Dates=H","DateFormat=P","Fill=—","Direction=H","UseDPDF=Y")</f>
        <v>800</v>
      </c>
      <c r="AK24" s="1">
        <f>_xll.BDH("NFLX US Equity","BS_TOTAL_LINE_OF_CREDIT","FQ4 2019","FQ4 2019","Currency=USD","Period=FQ","BEST_FPERIOD_OVERRIDE=FQ","FILING_STATUS=MR","SCALING_FORMAT=MLN","Sort=A","Dates=H","DateFormat=P","Fill=—","Direction=H","UseDPDF=Y")</f>
        <v>750</v>
      </c>
      <c r="AL24" s="1">
        <f>_xll.BDH("NFLX US Equity","BS_TOTAL_LINE_OF_CREDIT","FQ1 2020","FQ1 2020","Currency=USD","Period=FQ","BEST_FPERIOD_OVERRIDE=FQ","FILING_STATUS=MR","SCALING_FORMAT=MLN","Sort=A","Dates=H","DateFormat=P","Fill=—","Direction=H","UseDPDF=Y")</f>
        <v>750</v>
      </c>
      <c r="AM24" s="1">
        <f>_xll.BDH("NFLX US Equity","BS_TOTAL_LINE_OF_CREDIT","FQ2 2020","FQ2 2020","Currency=USD","Period=FQ","BEST_FPERIOD_OVERRIDE=FQ","FILING_STATUS=MR","SCALING_FORMAT=MLN","Sort=A","Dates=H","DateFormat=P","Fill=—","Direction=H","UseDPDF=Y")</f>
        <v>750</v>
      </c>
      <c r="AN24" s="1">
        <f>_xll.BDH("NFLX US Equity","BS_TOTAL_LINE_OF_CREDIT","FQ3 2020","FQ3 2020","Currency=USD","Period=FQ","BEST_FPERIOD_OVERRIDE=FQ","FILING_STATUS=MR","SCALING_FORMAT=MLN","Sort=A","Dates=H","DateFormat=P","Fill=—","Direction=H","UseDPDF=Y")</f>
        <v>750</v>
      </c>
      <c r="AO24" s="1">
        <f>_xll.BDH("NFLX US Equity","BS_TOTAL_LINE_OF_CREDIT","FQ4 2020","FQ4 2020","Currency=USD","Period=FQ","BEST_FPERIOD_OVERRIDE=FQ","FILING_STATUS=MR","SCALING_FORMAT=MLN","Sort=A","Dates=H","DateFormat=P","Fill=—","Direction=H","UseDPDF=Y")</f>
        <v>750</v>
      </c>
      <c r="AP24" s="1">
        <f>_xll.BDH("NFLX US Equity","BS_TOTAL_LINE_OF_CREDIT","FQ1 2021","FQ1 2021","Currency=USD","Period=FQ","BEST_FPERIOD_OVERRIDE=FQ","FILING_STATUS=MR","SCALING_FORMAT=MLN","Sort=A","Dates=H","DateFormat=P","Fill=—","Direction=H","UseDPDF=Y")</f>
        <v>750</v>
      </c>
    </row>
    <row r="25" spans="1:42" x14ac:dyDescent="0.25">
      <c r="A25" s="8" t="s">
        <v>163</v>
      </c>
      <c r="B25" s="8" t="s">
        <v>162</v>
      </c>
      <c r="C25" s="1" t="str">
        <f>_xll.BDH("NFLX US Equity","BS_TOTAL_AVAIL_LINE_OF_CREDIT","FQ2 2011","FQ2 2011","Currency=USD","Period=FQ","BEST_FPERIOD_OVERRIDE=FQ","FILING_STATUS=MR","SCALING_FORMAT=MLN","Sort=A","Dates=H","DateFormat=P","Fill=—","Direction=H","UseDPDF=Y")</f>
        <v>—</v>
      </c>
      <c r="D25" s="1" t="str">
        <f>_xll.BDH("NFLX US Equity","BS_TOTAL_AVAIL_LINE_OF_CREDIT","FQ3 2011","FQ3 2011","Currency=USD","Period=FQ","BEST_FPERIOD_OVERRIDE=FQ","FILING_STATUS=MR","SCALING_FORMAT=MLN","Sort=A","Dates=H","DateFormat=P","Fill=—","Direction=H","UseDPDF=Y")</f>
        <v>—</v>
      </c>
      <c r="E25" s="1">
        <f>_xll.BDH("NFLX US Equity","BS_TOTAL_AVAIL_LINE_OF_CREDIT","FQ4 2011","FQ4 2011","Currency=USD","Period=FQ","BEST_FPERIOD_OVERRIDE=FQ","FILING_STATUS=MR","SCALING_FORMAT=MLN","Sort=A","Dates=H","DateFormat=P","Fill=—","Direction=H","UseDPDF=Y")</f>
        <v>80</v>
      </c>
      <c r="F25" s="1" t="str">
        <f>_xll.BDH("NFLX US Equity","BS_TOTAL_AVAIL_LINE_OF_CREDIT","FQ1 2012","FQ1 2012","Currency=USD","Period=FQ","BEST_FPERIOD_OVERRIDE=FQ","FILING_STATUS=MR","SCALING_FORMAT=MLN","Sort=A","Dates=H","DateFormat=P","Fill=—","Direction=H","UseDPDF=Y")</f>
        <v>—</v>
      </c>
      <c r="G25" s="1" t="str">
        <f>_xll.BDH("NFLX US Equity","BS_TOTAL_AVAIL_LINE_OF_CREDIT","FQ2 2012","FQ2 2012","Currency=USD","Period=FQ","BEST_FPERIOD_OVERRIDE=FQ","FILING_STATUS=MR","SCALING_FORMAT=MLN","Sort=A","Dates=H","DateFormat=P","Fill=—","Direction=H","UseDPDF=Y")</f>
        <v>—</v>
      </c>
      <c r="H25" s="1" t="str">
        <f>_xll.BDH("NFLX US Equity","BS_TOTAL_AVAIL_LINE_OF_CREDIT","FQ3 2012","FQ3 2012","Currency=USD","Period=FQ","BEST_FPERIOD_OVERRIDE=FQ","FILING_STATUS=MR","SCALING_FORMAT=MLN","Sort=A","Dates=H","DateFormat=P","Fill=—","Direction=H","UseDPDF=Y")</f>
        <v>—</v>
      </c>
      <c r="I25" s="1" t="str">
        <f>_xll.BDH("NFLX US Equity","BS_TOTAL_AVAIL_LINE_OF_CREDIT","FQ4 2012","FQ4 2012","Currency=USD","Period=FQ","BEST_FPERIOD_OVERRIDE=FQ","FILING_STATUS=MR","SCALING_FORMAT=MLN","Sort=A","Dates=H","DateFormat=P","Fill=—","Direction=H","UseDPDF=Y")</f>
        <v>—</v>
      </c>
      <c r="J25" s="1" t="str">
        <f>_xll.BDH("NFLX US Equity","BS_TOTAL_AVAIL_LINE_OF_CREDIT","FQ1 2013","FQ1 2013","Currency=USD","Period=FQ","BEST_FPERIOD_OVERRIDE=FQ","FILING_STATUS=MR","SCALING_FORMAT=MLN","Sort=A","Dates=H","DateFormat=P","Fill=—","Direction=H","UseDPDF=Y")</f>
        <v>—</v>
      </c>
      <c r="K25" s="1" t="str">
        <f>_xll.BDH("NFLX US Equity","BS_TOTAL_AVAIL_LINE_OF_CREDIT","FQ2 2013","FQ2 2013","Currency=USD","Period=FQ","BEST_FPERIOD_OVERRIDE=FQ","FILING_STATUS=MR","SCALING_FORMAT=MLN","Sort=A","Dates=H","DateFormat=P","Fill=—","Direction=H","UseDPDF=Y")</f>
        <v>—</v>
      </c>
      <c r="L25" s="1" t="str">
        <f>_xll.BDH("NFLX US Equity","BS_TOTAL_AVAIL_LINE_OF_CREDIT","FQ3 2013","FQ3 2013","Currency=USD","Period=FQ","BEST_FPERIOD_OVERRIDE=FQ","FILING_STATUS=MR","SCALING_FORMAT=MLN","Sort=A","Dates=H","DateFormat=P","Fill=—","Direction=H","UseDPDF=Y")</f>
        <v>—</v>
      </c>
      <c r="M25" s="1" t="str">
        <f>_xll.BDH("NFLX US Equity","BS_TOTAL_AVAIL_LINE_OF_CREDIT","FQ4 2013","FQ4 2013","Currency=USD","Period=FQ","BEST_FPERIOD_OVERRIDE=FQ","FILING_STATUS=MR","SCALING_FORMAT=MLN","Sort=A","Dates=H","DateFormat=P","Fill=—","Direction=H","UseDPDF=Y")</f>
        <v>—</v>
      </c>
      <c r="N25" s="1" t="str">
        <f>_xll.BDH("NFLX US Equity","BS_TOTAL_AVAIL_LINE_OF_CREDIT","FQ1 2014","FQ1 2014","Currency=USD","Period=FQ","BEST_FPERIOD_OVERRIDE=FQ","FILING_STATUS=MR","SCALING_FORMAT=MLN","Sort=A","Dates=H","DateFormat=P","Fill=—","Direction=H","UseDPDF=Y")</f>
        <v>—</v>
      </c>
      <c r="O25" s="1" t="str">
        <f>_xll.BDH("NFLX US Equity","BS_TOTAL_AVAIL_LINE_OF_CREDIT","FQ2 2014","FQ2 2014","Currency=USD","Period=FQ","BEST_FPERIOD_OVERRIDE=FQ","FILING_STATUS=MR","SCALING_FORMAT=MLN","Sort=A","Dates=H","DateFormat=P","Fill=—","Direction=H","UseDPDF=Y")</f>
        <v>—</v>
      </c>
      <c r="P25" s="1" t="str">
        <f>_xll.BDH("NFLX US Equity","BS_TOTAL_AVAIL_LINE_OF_CREDIT","FQ3 2014","FQ3 2014","Currency=USD","Period=FQ","BEST_FPERIOD_OVERRIDE=FQ","FILING_STATUS=MR","SCALING_FORMAT=MLN","Sort=A","Dates=H","DateFormat=P","Fill=—","Direction=H","UseDPDF=Y")</f>
        <v>—</v>
      </c>
      <c r="Q25" s="1" t="str">
        <f>_xll.BDH("NFLX US Equity","BS_TOTAL_AVAIL_LINE_OF_CREDIT","FQ4 2014","FQ4 2014","Currency=USD","Period=FQ","BEST_FPERIOD_OVERRIDE=FQ","FILING_STATUS=MR","SCALING_FORMAT=MLN","Sort=A","Dates=H","DateFormat=P","Fill=—","Direction=H","UseDPDF=Y")</f>
        <v>—</v>
      </c>
      <c r="R25" s="1" t="str">
        <f>_xll.BDH("NFLX US Equity","BS_TOTAL_AVAIL_LINE_OF_CREDIT","FQ1 2015","FQ1 2015","Currency=USD","Period=FQ","BEST_FPERIOD_OVERRIDE=FQ","FILING_STATUS=MR","SCALING_FORMAT=MLN","Sort=A","Dates=H","DateFormat=P","Fill=—","Direction=H","UseDPDF=Y")</f>
        <v>—</v>
      </c>
      <c r="S25" s="1" t="str">
        <f>_xll.BDH("NFLX US Equity","BS_TOTAL_AVAIL_LINE_OF_CREDIT","FQ2 2015","FQ2 2015","Currency=USD","Period=FQ","BEST_FPERIOD_OVERRIDE=FQ","FILING_STATUS=MR","SCALING_FORMAT=MLN","Sort=A","Dates=H","DateFormat=P","Fill=—","Direction=H","UseDPDF=Y")</f>
        <v>—</v>
      </c>
      <c r="T25" s="1" t="str">
        <f>_xll.BDH("NFLX US Equity","BS_TOTAL_AVAIL_LINE_OF_CREDIT","FQ3 2015","FQ3 2015","Currency=USD","Period=FQ","BEST_FPERIOD_OVERRIDE=FQ","FILING_STATUS=MR","SCALING_FORMAT=MLN","Sort=A","Dates=H","DateFormat=P","Fill=—","Direction=H","UseDPDF=Y")</f>
        <v>—</v>
      </c>
      <c r="U25" s="1" t="str">
        <f>_xll.BDH("NFLX US Equity","BS_TOTAL_AVAIL_LINE_OF_CREDIT","FQ4 2015","FQ4 2015","Currency=USD","Period=FQ","BEST_FPERIOD_OVERRIDE=FQ","FILING_STATUS=MR","SCALING_FORMAT=MLN","Sort=A","Dates=H","DateFormat=P","Fill=—","Direction=H","UseDPDF=Y")</f>
        <v>—</v>
      </c>
      <c r="V25" s="1" t="str">
        <f>_xll.BDH("NFLX US Equity","BS_TOTAL_AVAIL_LINE_OF_CREDIT","FQ1 2016","FQ1 2016","Currency=USD","Period=FQ","BEST_FPERIOD_OVERRIDE=FQ","FILING_STATUS=MR","SCALING_FORMAT=MLN","Sort=A","Dates=H","DateFormat=P","Fill=—","Direction=H","UseDPDF=Y")</f>
        <v>—</v>
      </c>
      <c r="W25" s="1" t="str">
        <f>_xll.BDH("NFLX US Equity","BS_TOTAL_AVAIL_LINE_OF_CREDIT","FQ2 2016","FQ2 2016","Currency=USD","Period=FQ","BEST_FPERIOD_OVERRIDE=FQ","FILING_STATUS=MR","SCALING_FORMAT=MLN","Sort=A","Dates=H","DateFormat=P","Fill=—","Direction=H","UseDPDF=Y")</f>
        <v>—</v>
      </c>
      <c r="X25" s="1" t="str">
        <f>_xll.BDH("NFLX US Equity","BS_TOTAL_AVAIL_LINE_OF_CREDIT","FQ3 2016","FQ3 2016","Currency=USD","Period=FQ","BEST_FPERIOD_OVERRIDE=FQ","FILING_STATUS=MR","SCALING_FORMAT=MLN","Sort=A","Dates=H","DateFormat=P","Fill=—","Direction=H","UseDPDF=Y")</f>
        <v>—</v>
      </c>
      <c r="Y25" s="1" t="str">
        <f>_xll.BDH("NFLX US Equity","BS_TOTAL_AVAIL_LINE_OF_CREDIT","FQ4 2016","FQ4 2016","Currency=USD","Period=FQ","BEST_FPERIOD_OVERRIDE=FQ","FILING_STATUS=MR","SCALING_FORMAT=MLN","Sort=A","Dates=H","DateFormat=P","Fill=—","Direction=H","UseDPDF=Y")</f>
        <v>—</v>
      </c>
      <c r="Z25" s="1" t="str">
        <f>_xll.BDH("NFLX US Equity","BS_TOTAL_AVAIL_LINE_OF_CREDIT","FQ1 2017","FQ1 2017","Currency=USD","Period=FQ","BEST_FPERIOD_OVERRIDE=FQ","FILING_STATUS=MR","SCALING_FORMAT=MLN","Sort=A","Dates=H","DateFormat=P","Fill=—","Direction=H","UseDPDF=Y")</f>
        <v>—</v>
      </c>
      <c r="AA25" s="1" t="str">
        <f>_xll.BDH("NFLX US Equity","BS_TOTAL_AVAIL_LINE_OF_CREDIT","FQ2 2017","FQ2 2017","Currency=USD","Period=FQ","BEST_FPERIOD_OVERRIDE=FQ","FILING_STATUS=MR","SCALING_FORMAT=MLN","Sort=A","Dates=H","DateFormat=P","Fill=—","Direction=H","UseDPDF=Y")</f>
        <v>—</v>
      </c>
      <c r="AB25" s="1">
        <f>_xll.BDH("NFLX US Equity","BS_TOTAL_AVAIL_LINE_OF_CREDIT","FQ3 2017","FQ3 2017","Currency=USD","Period=FQ","BEST_FPERIOD_OVERRIDE=FQ","FILING_STATUS=MR","SCALING_FORMAT=MLN","Sort=A","Dates=H","DateFormat=P","Fill=—","Direction=H","UseDPDF=Y")</f>
        <v>500</v>
      </c>
      <c r="AC25" s="1">
        <f>_xll.BDH("NFLX US Equity","BS_TOTAL_AVAIL_LINE_OF_CREDIT","FQ4 2017","FQ4 2017","Currency=USD","Period=FQ","BEST_FPERIOD_OVERRIDE=FQ","FILING_STATUS=MR","SCALING_FORMAT=MLN","Sort=A","Dates=H","DateFormat=P","Fill=—","Direction=H","UseDPDF=Y")</f>
        <v>500</v>
      </c>
      <c r="AD25" s="1">
        <f>_xll.BDH("NFLX US Equity","BS_TOTAL_AVAIL_LINE_OF_CREDIT","FQ1 2018","FQ1 2018","Currency=USD","Period=FQ","BEST_FPERIOD_OVERRIDE=FQ","FILING_STATUS=MR","SCALING_FORMAT=MLN","Sort=A","Dates=H","DateFormat=P","Fill=—","Direction=H","UseDPDF=Y")</f>
        <v>500</v>
      </c>
      <c r="AE25" s="1">
        <f>_xll.BDH("NFLX US Equity","BS_TOTAL_AVAIL_LINE_OF_CREDIT","FQ2 2018","FQ2 2018","Currency=USD","Period=FQ","BEST_FPERIOD_OVERRIDE=FQ","FILING_STATUS=MR","SCALING_FORMAT=MLN","Sort=A","Dates=H","DateFormat=P","Fill=—","Direction=H","UseDPDF=Y")</f>
        <v>500</v>
      </c>
      <c r="AF25" s="1">
        <f>_xll.BDH("NFLX US Equity","BS_TOTAL_AVAIL_LINE_OF_CREDIT","FQ3 2018","FQ3 2018","Currency=USD","Period=FQ","BEST_FPERIOD_OVERRIDE=FQ","FILING_STATUS=MR","SCALING_FORMAT=MLN","Sort=A","Dates=H","DateFormat=P","Fill=—","Direction=H","UseDPDF=Y")</f>
        <v>500</v>
      </c>
      <c r="AG25" s="1">
        <f>_xll.BDH("NFLX US Equity","BS_TOTAL_AVAIL_LINE_OF_CREDIT","FQ4 2018","FQ4 2018","Currency=USD","Period=FQ","BEST_FPERIOD_OVERRIDE=FQ","FILING_STATUS=MR","SCALING_FORMAT=MLN","Sort=A","Dates=H","DateFormat=P","Fill=—","Direction=H","UseDPDF=Y")</f>
        <v>500</v>
      </c>
      <c r="AH25" s="1">
        <f>_xll.BDH("NFLX US Equity","BS_TOTAL_AVAIL_LINE_OF_CREDIT","FQ1 2019","FQ1 2019","Currency=USD","Period=FQ","BEST_FPERIOD_OVERRIDE=FQ","FILING_STATUS=MR","SCALING_FORMAT=MLN","Sort=A","Dates=H","DateFormat=P","Fill=—","Direction=H","UseDPDF=Y")</f>
        <v>500</v>
      </c>
      <c r="AI25" s="1">
        <f>_xll.BDH("NFLX US Equity","BS_TOTAL_AVAIL_LINE_OF_CREDIT","FQ2 2019","FQ2 2019","Currency=USD","Period=FQ","BEST_FPERIOD_OVERRIDE=FQ","FILING_STATUS=MR","SCALING_FORMAT=MLN","Sort=A","Dates=H","DateFormat=P","Fill=—","Direction=H","UseDPDF=Y")</f>
        <v>500</v>
      </c>
      <c r="AJ25" s="1">
        <f>_xll.BDH("NFLX US Equity","BS_TOTAL_AVAIL_LINE_OF_CREDIT","FQ3 2019","FQ3 2019","Currency=USD","Period=FQ","BEST_FPERIOD_OVERRIDE=FQ","FILING_STATUS=MR","SCALING_FORMAT=MLN","Sort=A","Dates=H","DateFormat=P","Fill=—","Direction=H","UseDPDF=Y")</f>
        <v>800</v>
      </c>
      <c r="AK25" s="1">
        <f>_xll.BDH("NFLX US Equity","BS_TOTAL_AVAIL_LINE_OF_CREDIT","FQ4 2019","FQ4 2019","Currency=USD","Period=FQ","BEST_FPERIOD_OVERRIDE=FQ","FILING_STATUS=MR","SCALING_FORMAT=MLN","Sort=A","Dates=H","DateFormat=P","Fill=—","Direction=H","UseDPDF=Y")</f>
        <v>750</v>
      </c>
      <c r="AL25" s="1">
        <f>_xll.BDH("NFLX US Equity","BS_TOTAL_AVAIL_LINE_OF_CREDIT","FQ1 2020","FQ1 2020","Currency=USD","Period=FQ","BEST_FPERIOD_OVERRIDE=FQ","FILING_STATUS=MR","SCALING_FORMAT=MLN","Sort=A","Dates=H","DateFormat=P","Fill=—","Direction=H","UseDPDF=Y")</f>
        <v>750</v>
      </c>
      <c r="AM25" s="1">
        <f>_xll.BDH("NFLX US Equity","BS_TOTAL_AVAIL_LINE_OF_CREDIT","FQ2 2020","FQ2 2020","Currency=USD","Period=FQ","BEST_FPERIOD_OVERRIDE=FQ","FILING_STATUS=MR","SCALING_FORMAT=MLN","Sort=A","Dates=H","DateFormat=P","Fill=—","Direction=H","UseDPDF=Y")</f>
        <v>750</v>
      </c>
      <c r="AN25" s="1">
        <f>_xll.BDH("NFLX US Equity","BS_TOTAL_AVAIL_LINE_OF_CREDIT","FQ3 2020","FQ3 2020","Currency=USD","Period=FQ","BEST_FPERIOD_OVERRIDE=FQ","FILING_STATUS=MR","SCALING_FORMAT=MLN","Sort=A","Dates=H","DateFormat=P","Fill=—","Direction=H","UseDPDF=Y")</f>
        <v>750</v>
      </c>
      <c r="AO25" s="1">
        <f>_xll.BDH("NFLX US Equity","BS_TOTAL_AVAIL_LINE_OF_CREDIT","FQ4 2020","FQ4 2020","Currency=USD","Period=FQ","BEST_FPERIOD_OVERRIDE=FQ","FILING_STATUS=MR","SCALING_FORMAT=MLN","Sort=A","Dates=H","DateFormat=P","Fill=—","Direction=H","UseDPDF=Y")</f>
        <v>750</v>
      </c>
      <c r="AP25" s="1">
        <f>_xll.BDH("NFLX US Equity","BS_TOTAL_AVAIL_LINE_OF_CREDIT","FQ1 2021","FQ1 2021","Currency=USD","Period=FQ","BEST_FPERIOD_OVERRIDE=FQ","FILING_STATUS=MR","SCALING_FORMAT=MLN","Sort=A","Dates=H","DateFormat=P","Fill=—","Direction=H","UseDPDF=Y")</f>
        <v>750</v>
      </c>
    </row>
    <row r="26" spans="1:42" x14ac:dyDescent="0.25">
      <c r="A26" s="8" t="s">
        <v>161</v>
      </c>
      <c r="B26" s="8" t="s">
        <v>160</v>
      </c>
      <c r="C26" s="1" t="str">
        <f>_xll.BDH("NFLX US Equity","LINE_OF_CREDIT_UTILIZED_AMOUNT","FQ2 2011","FQ2 2011","Currency=USD","Period=FQ","BEST_FPERIOD_OVERRIDE=FQ","FILING_STATUS=MR","SCALING_FORMAT=MLN","Sort=A","Dates=H","DateFormat=P","Fill=—","Direction=H","UseDPDF=Y")</f>
        <v>—</v>
      </c>
      <c r="D26" s="1" t="str">
        <f>_xll.BDH("NFLX US Equity","LINE_OF_CREDIT_UTILIZED_AMOUNT","FQ3 2011","FQ3 2011","Currency=USD","Period=FQ","BEST_FPERIOD_OVERRIDE=FQ","FILING_STATUS=MR","SCALING_FORMAT=MLN","Sort=A","Dates=H","DateFormat=P","Fill=—","Direction=H","UseDPDF=Y")</f>
        <v>—</v>
      </c>
      <c r="E26" s="1">
        <f>_xll.BDH("NFLX US Equity","LINE_OF_CREDIT_UTILIZED_AMOUNT","FQ4 2011","FQ4 2011","Currency=USD","Period=FQ","BEST_FPERIOD_OVERRIDE=FQ","FILING_STATUS=MR","SCALING_FORMAT=MLN","Sort=A","Dates=H","DateFormat=P","Fill=—","Direction=H","UseDPDF=Y")</f>
        <v>20</v>
      </c>
      <c r="F26" s="1" t="str">
        <f>_xll.BDH("NFLX US Equity","LINE_OF_CREDIT_UTILIZED_AMOUNT","FQ1 2012","FQ1 2012","Currency=USD","Period=FQ","BEST_FPERIOD_OVERRIDE=FQ","FILING_STATUS=MR","SCALING_FORMAT=MLN","Sort=A","Dates=H","DateFormat=P","Fill=—","Direction=H","UseDPDF=Y")</f>
        <v>—</v>
      </c>
      <c r="G26" s="1" t="str">
        <f>_xll.BDH("NFLX US Equity","LINE_OF_CREDIT_UTILIZED_AMOUNT","FQ2 2012","FQ2 2012","Currency=USD","Period=FQ","BEST_FPERIOD_OVERRIDE=FQ","FILING_STATUS=MR","SCALING_FORMAT=MLN","Sort=A","Dates=H","DateFormat=P","Fill=—","Direction=H","UseDPDF=Y")</f>
        <v>—</v>
      </c>
      <c r="H26" s="1" t="str">
        <f>_xll.BDH("NFLX US Equity","LINE_OF_CREDIT_UTILIZED_AMOUNT","FQ3 2012","FQ3 2012","Currency=USD","Period=FQ","BEST_FPERIOD_OVERRIDE=FQ","FILING_STATUS=MR","SCALING_FORMAT=MLN","Sort=A","Dates=H","DateFormat=P","Fill=—","Direction=H","UseDPDF=Y")</f>
        <v>—</v>
      </c>
      <c r="I26" s="1" t="str">
        <f>_xll.BDH("NFLX US Equity","LINE_OF_CREDIT_UTILIZED_AMOUNT","FQ4 2012","FQ4 2012","Currency=USD","Period=FQ","BEST_FPERIOD_OVERRIDE=FQ","FILING_STATUS=MR","SCALING_FORMAT=MLN","Sort=A","Dates=H","DateFormat=P","Fill=—","Direction=H","UseDPDF=Y")</f>
        <v>—</v>
      </c>
      <c r="J26" s="1" t="str">
        <f>_xll.BDH("NFLX US Equity","LINE_OF_CREDIT_UTILIZED_AMOUNT","FQ1 2013","FQ1 2013","Currency=USD","Period=FQ","BEST_FPERIOD_OVERRIDE=FQ","FILING_STATUS=MR","SCALING_FORMAT=MLN","Sort=A","Dates=H","DateFormat=P","Fill=—","Direction=H","UseDPDF=Y")</f>
        <v>—</v>
      </c>
      <c r="K26" s="1" t="str">
        <f>_xll.BDH("NFLX US Equity","LINE_OF_CREDIT_UTILIZED_AMOUNT","FQ2 2013","FQ2 2013","Currency=USD","Period=FQ","BEST_FPERIOD_OVERRIDE=FQ","FILING_STATUS=MR","SCALING_FORMAT=MLN","Sort=A","Dates=H","DateFormat=P","Fill=—","Direction=H","UseDPDF=Y")</f>
        <v>—</v>
      </c>
      <c r="L26" s="1" t="str">
        <f>_xll.BDH("NFLX US Equity","LINE_OF_CREDIT_UTILIZED_AMOUNT","FQ3 2013","FQ3 2013","Currency=USD","Period=FQ","BEST_FPERIOD_OVERRIDE=FQ","FILING_STATUS=MR","SCALING_FORMAT=MLN","Sort=A","Dates=H","DateFormat=P","Fill=—","Direction=H","UseDPDF=Y")</f>
        <v>—</v>
      </c>
      <c r="M26" s="1" t="str">
        <f>_xll.BDH("NFLX US Equity","LINE_OF_CREDIT_UTILIZED_AMOUNT","FQ4 2013","FQ4 2013","Currency=USD","Period=FQ","BEST_FPERIOD_OVERRIDE=FQ","FILING_STATUS=MR","SCALING_FORMAT=MLN","Sort=A","Dates=H","DateFormat=P","Fill=—","Direction=H","UseDPDF=Y")</f>
        <v>—</v>
      </c>
      <c r="N26" s="1" t="str">
        <f>_xll.BDH("NFLX US Equity","LINE_OF_CREDIT_UTILIZED_AMOUNT","FQ1 2014","FQ1 2014","Currency=USD","Period=FQ","BEST_FPERIOD_OVERRIDE=FQ","FILING_STATUS=MR","SCALING_FORMAT=MLN","Sort=A","Dates=H","DateFormat=P","Fill=—","Direction=H","UseDPDF=Y")</f>
        <v>—</v>
      </c>
      <c r="O26" s="1" t="str">
        <f>_xll.BDH("NFLX US Equity","LINE_OF_CREDIT_UTILIZED_AMOUNT","FQ2 2014","FQ2 2014","Currency=USD","Period=FQ","BEST_FPERIOD_OVERRIDE=FQ","FILING_STATUS=MR","SCALING_FORMAT=MLN","Sort=A","Dates=H","DateFormat=P","Fill=—","Direction=H","UseDPDF=Y")</f>
        <v>—</v>
      </c>
      <c r="P26" s="1" t="str">
        <f>_xll.BDH("NFLX US Equity","LINE_OF_CREDIT_UTILIZED_AMOUNT","FQ3 2014","FQ3 2014","Currency=USD","Period=FQ","BEST_FPERIOD_OVERRIDE=FQ","FILING_STATUS=MR","SCALING_FORMAT=MLN","Sort=A","Dates=H","DateFormat=P","Fill=—","Direction=H","UseDPDF=Y")</f>
        <v>—</v>
      </c>
      <c r="Q26" s="1" t="str">
        <f>_xll.BDH("NFLX US Equity","LINE_OF_CREDIT_UTILIZED_AMOUNT","FQ4 2014","FQ4 2014","Currency=USD","Period=FQ","BEST_FPERIOD_OVERRIDE=FQ","FILING_STATUS=MR","SCALING_FORMAT=MLN","Sort=A","Dates=H","DateFormat=P","Fill=—","Direction=H","UseDPDF=Y")</f>
        <v>—</v>
      </c>
      <c r="R26" s="1" t="str">
        <f>_xll.BDH("NFLX US Equity","LINE_OF_CREDIT_UTILIZED_AMOUNT","FQ1 2015","FQ1 2015","Currency=USD","Period=FQ","BEST_FPERIOD_OVERRIDE=FQ","FILING_STATUS=MR","SCALING_FORMAT=MLN","Sort=A","Dates=H","DateFormat=P","Fill=—","Direction=H","UseDPDF=Y")</f>
        <v>—</v>
      </c>
      <c r="S26" s="1" t="str">
        <f>_xll.BDH("NFLX US Equity","LINE_OF_CREDIT_UTILIZED_AMOUNT","FQ2 2015","FQ2 2015","Currency=USD","Period=FQ","BEST_FPERIOD_OVERRIDE=FQ","FILING_STATUS=MR","SCALING_FORMAT=MLN","Sort=A","Dates=H","DateFormat=P","Fill=—","Direction=H","UseDPDF=Y")</f>
        <v>—</v>
      </c>
      <c r="T26" s="1" t="str">
        <f>_xll.BDH("NFLX US Equity","LINE_OF_CREDIT_UTILIZED_AMOUNT","FQ3 2015","FQ3 2015","Currency=USD","Period=FQ","BEST_FPERIOD_OVERRIDE=FQ","FILING_STATUS=MR","SCALING_FORMAT=MLN","Sort=A","Dates=H","DateFormat=P","Fill=—","Direction=H","UseDPDF=Y")</f>
        <v>—</v>
      </c>
      <c r="U26" s="1" t="str">
        <f>_xll.BDH("NFLX US Equity","LINE_OF_CREDIT_UTILIZED_AMOUNT","FQ4 2015","FQ4 2015","Currency=USD","Period=FQ","BEST_FPERIOD_OVERRIDE=FQ","FILING_STATUS=MR","SCALING_FORMAT=MLN","Sort=A","Dates=H","DateFormat=P","Fill=—","Direction=H","UseDPDF=Y")</f>
        <v>—</v>
      </c>
      <c r="V26" s="1" t="str">
        <f>_xll.BDH("NFLX US Equity","LINE_OF_CREDIT_UTILIZED_AMOUNT","FQ1 2016","FQ1 2016","Currency=USD","Period=FQ","BEST_FPERIOD_OVERRIDE=FQ","FILING_STATUS=MR","SCALING_FORMAT=MLN","Sort=A","Dates=H","DateFormat=P","Fill=—","Direction=H","UseDPDF=Y")</f>
        <v>—</v>
      </c>
      <c r="W26" s="1" t="str">
        <f>_xll.BDH("NFLX US Equity","LINE_OF_CREDIT_UTILIZED_AMOUNT","FQ2 2016","FQ2 2016","Currency=USD","Period=FQ","BEST_FPERIOD_OVERRIDE=FQ","FILING_STATUS=MR","SCALING_FORMAT=MLN","Sort=A","Dates=H","DateFormat=P","Fill=—","Direction=H","UseDPDF=Y")</f>
        <v>—</v>
      </c>
      <c r="X26" s="1" t="str">
        <f>_xll.BDH("NFLX US Equity","LINE_OF_CREDIT_UTILIZED_AMOUNT","FQ3 2016","FQ3 2016","Currency=USD","Period=FQ","BEST_FPERIOD_OVERRIDE=FQ","FILING_STATUS=MR","SCALING_FORMAT=MLN","Sort=A","Dates=H","DateFormat=P","Fill=—","Direction=H","UseDPDF=Y")</f>
        <v>—</v>
      </c>
      <c r="Y26" s="1" t="str">
        <f>_xll.BDH("NFLX US Equity","LINE_OF_CREDIT_UTILIZED_AMOUNT","FQ4 2016","FQ4 2016","Currency=USD","Period=FQ","BEST_FPERIOD_OVERRIDE=FQ","FILING_STATUS=MR","SCALING_FORMAT=MLN","Sort=A","Dates=H","DateFormat=P","Fill=—","Direction=H","UseDPDF=Y")</f>
        <v>—</v>
      </c>
      <c r="Z26" s="1" t="str">
        <f>_xll.BDH("NFLX US Equity","LINE_OF_CREDIT_UTILIZED_AMOUNT","FQ1 2017","FQ1 2017","Currency=USD","Period=FQ","BEST_FPERIOD_OVERRIDE=FQ","FILING_STATUS=MR","SCALING_FORMAT=MLN","Sort=A","Dates=H","DateFormat=P","Fill=—","Direction=H","UseDPDF=Y")</f>
        <v>—</v>
      </c>
      <c r="AA26" s="1" t="str">
        <f>_xll.BDH("NFLX US Equity","LINE_OF_CREDIT_UTILIZED_AMOUNT","FQ2 2017","FQ2 2017","Currency=USD","Period=FQ","BEST_FPERIOD_OVERRIDE=FQ","FILING_STATUS=MR","SCALING_FORMAT=MLN","Sort=A","Dates=H","DateFormat=P","Fill=—","Direction=H","UseDPDF=Y")</f>
        <v>—</v>
      </c>
      <c r="AB26" s="1">
        <f>_xll.BDH("NFLX US Equity","LINE_OF_CREDIT_UTILIZED_AMOUNT","FQ3 2017","FQ3 2017","Currency=USD","Period=FQ","BEST_FPERIOD_OVERRIDE=FQ","FILING_STATUS=MR","SCALING_FORMAT=MLN","Sort=A","Dates=H","DateFormat=P","Fill=—","Direction=H","UseDPDF=Y")</f>
        <v>0</v>
      </c>
      <c r="AC26" s="1">
        <f>_xll.BDH("NFLX US Equity","LINE_OF_CREDIT_UTILIZED_AMOUNT","FQ4 2017","FQ4 2017","Currency=USD","Period=FQ","BEST_FPERIOD_OVERRIDE=FQ","FILING_STATUS=MR","SCALING_FORMAT=MLN","Sort=A","Dates=H","DateFormat=P","Fill=—","Direction=H","UseDPDF=Y")</f>
        <v>0</v>
      </c>
      <c r="AD26" s="1">
        <f>_xll.BDH("NFLX US Equity","LINE_OF_CREDIT_UTILIZED_AMOUNT","FQ1 2018","FQ1 2018","Currency=USD","Period=FQ","BEST_FPERIOD_OVERRIDE=FQ","FILING_STATUS=MR","SCALING_FORMAT=MLN","Sort=A","Dates=H","DateFormat=P","Fill=—","Direction=H","UseDPDF=Y")</f>
        <v>0</v>
      </c>
      <c r="AE26" s="1">
        <f>_xll.BDH("NFLX US Equity","LINE_OF_CREDIT_UTILIZED_AMOUNT","FQ2 2018","FQ2 2018","Currency=USD","Period=FQ","BEST_FPERIOD_OVERRIDE=FQ","FILING_STATUS=MR","SCALING_FORMAT=MLN","Sort=A","Dates=H","DateFormat=P","Fill=—","Direction=H","UseDPDF=Y")</f>
        <v>0</v>
      </c>
      <c r="AF26" s="1">
        <f>_xll.BDH("NFLX US Equity","LINE_OF_CREDIT_UTILIZED_AMOUNT","FQ3 2018","FQ3 2018","Currency=USD","Period=FQ","BEST_FPERIOD_OVERRIDE=FQ","FILING_STATUS=MR","SCALING_FORMAT=MLN","Sort=A","Dates=H","DateFormat=P","Fill=—","Direction=H","UseDPDF=Y")</f>
        <v>0</v>
      </c>
      <c r="AG26" s="1">
        <f>_xll.BDH("NFLX US Equity","LINE_OF_CREDIT_UTILIZED_AMOUNT","FQ4 2018","FQ4 2018","Currency=USD","Period=FQ","BEST_FPERIOD_OVERRIDE=FQ","FILING_STATUS=MR","SCALING_FORMAT=MLN","Sort=A","Dates=H","DateFormat=P","Fill=—","Direction=H","UseDPDF=Y")</f>
        <v>0</v>
      </c>
      <c r="AH26" s="1">
        <f>_xll.BDH("NFLX US Equity","LINE_OF_CREDIT_UTILIZED_AMOUNT","FQ1 2019","FQ1 2019","Currency=USD","Period=FQ","BEST_FPERIOD_OVERRIDE=FQ","FILING_STATUS=MR","SCALING_FORMAT=MLN","Sort=A","Dates=H","DateFormat=P","Fill=—","Direction=H","UseDPDF=Y")</f>
        <v>0</v>
      </c>
      <c r="AI26" s="1">
        <f>_xll.BDH("NFLX US Equity","LINE_OF_CREDIT_UTILIZED_AMOUNT","FQ2 2019","FQ2 2019","Currency=USD","Period=FQ","BEST_FPERIOD_OVERRIDE=FQ","FILING_STATUS=MR","SCALING_FORMAT=MLN","Sort=A","Dates=H","DateFormat=P","Fill=—","Direction=H","UseDPDF=Y")</f>
        <v>0</v>
      </c>
      <c r="AJ26" s="1">
        <f>_xll.BDH("NFLX US Equity","LINE_OF_CREDIT_UTILIZED_AMOUNT","FQ3 2019","FQ3 2019","Currency=USD","Period=FQ","BEST_FPERIOD_OVERRIDE=FQ","FILING_STATUS=MR","SCALING_FORMAT=MLN","Sort=A","Dates=H","DateFormat=P","Fill=—","Direction=H","UseDPDF=Y")</f>
        <v>0</v>
      </c>
      <c r="AK26" s="1">
        <f>_xll.BDH("NFLX US Equity","LINE_OF_CREDIT_UTILIZED_AMOUNT","FQ4 2019","FQ4 2019","Currency=USD","Period=FQ","BEST_FPERIOD_OVERRIDE=FQ","FILING_STATUS=MR","SCALING_FORMAT=MLN","Sort=A","Dates=H","DateFormat=P","Fill=—","Direction=H","UseDPDF=Y")</f>
        <v>0</v>
      </c>
      <c r="AL26" s="1">
        <f>_xll.BDH("NFLX US Equity","LINE_OF_CREDIT_UTILIZED_AMOUNT","FQ1 2020","FQ1 2020","Currency=USD","Period=FQ","BEST_FPERIOD_OVERRIDE=FQ","FILING_STATUS=MR","SCALING_FORMAT=MLN","Sort=A","Dates=H","DateFormat=P","Fill=—","Direction=H","UseDPDF=Y")</f>
        <v>0</v>
      </c>
      <c r="AM26" s="1">
        <f>_xll.BDH("NFLX US Equity","LINE_OF_CREDIT_UTILIZED_AMOUNT","FQ2 2020","FQ2 2020","Currency=USD","Period=FQ","BEST_FPERIOD_OVERRIDE=FQ","FILING_STATUS=MR","SCALING_FORMAT=MLN","Sort=A","Dates=H","DateFormat=P","Fill=—","Direction=H","UseDPDF=Y")</f>
        <v>0</v>
      </c>
      <c r="AN26" s="1">
        <f>_xll.BDH("NFLX US Equity","LINE_OF_CREDIT_UTILIZED_AMOUNT","FQ3 2020","FQ3 2020","Currency=USD","Period=FQ","BEST_FPERIOD_OVERRIDE=FQ","FILING_STATUS=MR","SCALING_FORMAT=MLN","Sort=A","Dates=H","DateFormat=P","Fill=—","Direction=H","UseDPDF=Y")</f>
        <v>0</v>
      </c>
      <c r="AO26" s="1">
        <f>_xll.BDH("NFLX US Equity","LINE_OF_CREDIT_UTILIZED_AMOUNT","FQ4 2020","FQ4 2020","Currency=USD","Period=FQ","BEST_FPERIOD_OVERRIDE=FQ","FILING_STATUS=MR","SCALING_FORMAT=MLN","Sort=A","Dates=H","DateFormat=P","Fill=—","Direction=H","UseDPDF=Y")</f>
        <v>0</v>
      </c>
      <c r="AP26" s="1">
        <f>_xll.BDH("NFLX US Equity","LINE_OF_CREDIT_UTILIZED_AMOUNT","FQ1 2021","FQ1 2021","Currency=USD","Period=FQ","BEST_FPERIOD_OVERRIDE=FQ","FILING_STATUS=MR","SCALING_FORMAT=MLN","Sort=A","Dates=H","DateFormat=P","Fill=—","Direction=H","UseDPDF=Y")</f>
        <v>0</v>
      </c>
    </row>
    <row r="27" spans="1:42" x14ac:dyDescent="0.25">
      <c r="A27" s="8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</row>
    <row r="28" spans="1:42" x14ac:dyDescent="0.25">
      <c r="A28" s="15" t="s">
        <v>118</v>
      </c>
      <c r="B28" s="15"/>
      <c r="C28" s="15" t="s">
        <v>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Profitability</vt:lpstr>
      <vt:lpstr>Profitability (2)</vt:lpstr>
      <vt:lpstr>Liquidity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SUHARDJO, Johanes</cp:lastModifiedBy>
  <dcterms:created xsi:type="dcterms:W3CDTF">2013-04-03T15:49:21Z</dcterms:created>
  <dcterms:modified xsi:type="dcterms:W3CDTF">2021-07-07T12:45:19Z</dcterms:modified>
</cp:coreProperties>
</file>