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2"/>
  </bookViews>
  <sheets>
    <sheet name="Profitability (2)" sheetId="4" r:id="rId1"/>
    <sheet name="Profitability" sheetId="2" r:id="rId2"/>
    <sheet name="Liquidity" sheetId="3" r:id="rId3"/>
  </sheets>
  <calcPr calcId="162913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G16" i="2"/>
  <c r="G9" i="2"/>
  <c r="G13" i="2"/>
  <c r="G10" i="2"/>
  <c r="G12" i="2"/>
  <c r="G17" i="2"/>
  <c r="S9" i="2"/>
  <c r="S16" i="2"/>
  <c r="S10" i="2"/>
  <c r="S13" i="2"/>
  <c r="S17" i="2"/>
  <c r="S12" i="2"/>
  <c r="W13" i="2"/>
  <c r="W17" i="2"/>
  <c r="W9" i="2"/>
  <c r="W12" i="2"/>
  <c r="W16" i="2"/>
  <c r="W10" i="2"/>
  <c r="K10" i="2"/>
  <c r="K12" i="2"/>
  <c r="K9" i="2"/>
  <c r="K17" i="2"/>
  <c r="K16" i="2"/>
  <c r="K13" i="2"/>
  <c r="AE13" i="2"/>
  <c r="AE16" i="2"/>
  <c r="AE9" i="2"/>
  <c r="AE12" i="2"/>
  <c r="AE10" i="2"/>
  <c r="AE17" i="2"/>
  <c r="C9" i="2"/>
  <c r="C16" i="2"/>
  <c r="C17" i="2"/>
  <c r="C13" i="2"/>
  <c r="C10" i="2"/>
  <c r="C12" i="2"/>
  <c r="AI17" i="2"/>
  <c r="AI9" i="2"/>
  <c r="AI13" i="2"/>
  <c r="AI10" i="2"/>
  <c r="AI12" i="2"/>
  <c r="AI16" i="2"/>
  <c r="O12" i="2"/>
  <c r="O10" i="2"/>
  <c r="O13" i="2"/>
  <c r="O16" i="2"/>
  <c r="O17" i="2"/>
  <c r="O9" i="2"/>
  <c r="AA12" i="2"/>
  <c r="AA13" i="2"/>
  <c r="AA17" i="2"/>
  <c r="AA10" i="2"/>
  <c r="AA9" i="2"/>
  <c r="AA16" i="2"/>
  <c r="T9" i="2"/>
  <c r="T16" i="2"/>
  <c r="T13" i="2"/>
  <c r="T10" i="2"/>
  <c r="T12" i="2"/>
  <c r="T17" i="2"/>
  <c r="N16" i="2"/>
  <c r="N9" i="2"/>
  <c r="N13" i="2"/>
  <c r="N17" i="2"/>
  <c r="N10" i="2"/>
  <c r="N12" i="2"/>
  <c r="AM17" i="2"/>
  <c r="AM16" i="2"/>
  <c r="AM12" i="2"/>
  <c r="AM9" i="2"/>
  <c r="AM10" i="2"/>
  <c r="AM13" i="2"/>
  <c r="AO12" i="2"/>
  <c r="AO17" i="2"/>
  <c r="AO13" i="2"/>
  <c r="AO16" i="2"/>
  <c r="AO9" i="2"/>
  <c r="AO10" i="2"/>
  <c r="AP13" i="2"/>
  <c r="AP17" i="2"/>
  <c r="AP12" i="2"/>
  <c r="AP16" i="2"/>
  <c r="AP9" i="2"/>
  <c r="AP10" i="2"/>
  <c r="D12" i="2"/>
  <c r="D13" i="2"/>
  <c r="D9" i="2"/>
  <c r="D16" i="2"/>
  <c r="D17" i="2"/>
  <c r="D10" i="2"/>
  <c r="Z9" i="2"/>
  <c r="Z16" i="2"/>
  <c r="Z17" i="2"/>
  <c r="Z13" i="2"/>
  <c r="Z10" i="2"/>
  <c r="Z12" i="2"/>
  <c r="X12" i="2"/>
  <c r="X10" i="2"/>
  <c r="X17" i="2"/>
  <c r="X13" i="2"/>
  <c r="X16" i="2"/>
  <c r="X9" i="2"/>
  <c r="H16" i="2"/>
  <c r="H10" i="2"/>
  <c r="H17" i="2"/>
  <c r="H13" i="2"/>
  <c r="H12" i="2"/>
  <c r="H9" i="2"/>
  <c r="AH17" i="2"/>
  <c r="AH13" i="2"/>
  <c r="AH12" i="2"/>
  <c r="AH16" i="2"/>
  <c r="AH9" i="2"/>
  <c r="AH10" i="2"/>
  <c r="AK16" i="2"/>
  <c r="AK17" i="2"/>
  <c r="AK9" i="2"/>
  <c r="AK10" i="2"/>
  <c r="AK12" i="2"/>
  <c r="AK13" i="2"/>
  <c r="V10" i="2"/>
  <c r="V17" i="2"/>
  <c r="V9" i="2"/>
  <c r="V16" i="2"/>
  <c r="V13" i="2"/>
  <c r="V12" i="2"/>
  <c r="R12" i="2"/>
  <c r="R13" i="2"/>
  <c r="R9" i="2"/>
  <c r="R17" i="2"/>
  <c r="R16" i="2"/>
  <c r="R10" i="2"/>
  <c r="Y13" i="2"/>
  <c r="Y12" i="2"/>
  <c r="Y9" i="2"/>
  <c r="Y17" i="2"/>
  <c r="Y10" i="2"/>
  <c r="Y16" i="2"/>
  <c r="AB10" i="2"/>
  <c r="AB17" i="2"/>
  <c r="AB12" i="2"/>
  <c r="AB13" i="2"/>
  <c r="AB16" i="2"/>
  <c r="AB9" i="2"/>
  <c r="AD12" i="2"/>
  <c r="AD10" i="2"/>
  <c r="AD9" i="2"/>
  <c r="AD17" i="2"/>
  <c r="AD13" i="2"/>
  <c r="AD16" i="2"/>
  <c r="Q10" i="2"/>
  <c r="Q13" i="2"/>
  <c r="Q12" i="2"/>
  <c r="Q17" i="2"/>
  <c r="Q9" i="2"/>
  <c r="Q16" i="2"/>
  <c r="U9" i="2"/>
  <c r="U12" i="2"/>
  <c r="U13" i="2"/>
  <c r="U10" i="2"/>
  <c r="U17" i="2"/>
  <c r="U16" i="2"/>
  <c r="P17" i="2"/>
  <c r="P10" i="2"/>
  <c r="P16" i="2"/>
  <c r="P13" i="2"/>
  <c r="P12" i="2"/>
  <c r="P9" i="2"/>
  <c r="AG10" i="2"/>
  <c r="AG12" i="2"/>
  <c r="AG16" i="2"/>
  <c r="AG9" i="2"/>
  <c r="AG17" i="2"/>
  <c r="AG13" i="2"/>
  <c r="I12" i="2"/>
  <c r="I13" i="2"/>
  <c r="I10" i="2"/>
  <c r="I17" i="2"/>
  <c r="I9" i="2"/>
  <c r="I16" i="2"/>
  <c r="F16" i="2"/>
  <c r="F17" i="2"/>
  <c r="F13" i="2"/>
  <c r="F9" i="2"/>
  <c r="F12" i="2"/>
  <c r="F10" i="2"/>
  <c r="L12" i="2"/>
  <c r="L16" i="2"/>
  <c r="L17" i="2"/>
  <c r="L10" i="2"/>
  <c r="L13" i="2"/>
  <c r="L9" i="2"/>
  <c r="E13" i="2"/>
  <c r="E10" i="2"/>
  <c r="E9" i="2"/>
  <c r="E12" i="2"/>
  <c r="E17" i="2"/>
  <c r="E16" i="2"/>
  <c r="M12" i="2"/>
  <c r="M17" i="2"/>
  <c r="M16" i="2"/>
  <c r="M9" i="2"/>
  <c r="M10" i="2"/>
  <c r="M13" i="2"/>
  <c r="AL17" i="2"/>
  <c r="AL12" i="2"/>
  <c r="AL13" i="2"/>
  <c r="AL9" i="2"/>
  <c r="AL16" i="2"/>
  <c r="AL10" i="2"/>
  <c r="AF17" i="2"/>
  <c r="AF9" i="2"/>
  <c r="AF13" i="2"/>
  <c r="AF16" i="2"/>
  <c r="AF10" i="2"/>
  <c r="AF12" i="2"/>
  <c r="AC17" i="2"/>
  <c r="AC9" i="2"/>
  <c r="AC13" i="2"/>
  <c r="AC12" i="2"/>
  <c r="AC16" i="2"/>
  <c r="AC10" i="2"/>
  <c r="AJ10" i="2"/>
  <c r="AJ17" i="2"/>
  <c r="AJ12" i="2"/>
  <c r="AJ13" i="2"/>
  <c r="AJ9" i="2"/>
  <c r="AJ16" i="2"/>
  <c r="AN12" i="2"/>
  <c r="AN17" i="2"/>
  <c r="AN16" i="2"/>
  <c r="AN13" i="2"/>
  <c r="AN9" i="2"/>
  <c r="AN10" i="2"/>
  <c r="J10" i="2"/>
  <c r="J9" i="2"/>
  <c r="J12" i="2"/>
  <c r="J13" i="2"/>
  <c r="J16" i="2"/>
  <c r="J17" i="2"/>
</calcChain>
</file>

<file path=xl/sharedStrings.xml><?xml version="1.0" encoding="utf-8"?>
<sst xmlns="http://schemas.openxmlformats.org/spreadsheetml/2006/main" count="344" uniqueCount="198">
  <si>
    <t>Right click to show data transparency (not supported for all values)</t>
  </si>
  <si>
    <t>NVIDIA Corp (NVDA US) - Profitability</t>
  </si>
  <si>
    <t>In Millions of USD except Per Share</t>
  </si>
  <si>
    <t>CQ2 2012</t>
  </si>
  <si>
    <t>CQ3 2012</t>
  </si>
  <si>
    <t>CQ4 2012</t>
  </si>
  <si>
    <t>CQ1 2013</t>
  </si>
  <si>
    <t>CQ2 2013</t>
  </si>
  <si>
    <t>CQ3 2013</t>
  </si>
  <si>
    <t>CQ4 2013</t>
  </si>
  <si>
    <t>CQ1 2014</t>
  </si>
  <si>
    <t>CQ2 2014</t>
  </si>
  <si>
    <t>CQ3 2014</t>
  </si>
  <si>
    <t>CQ4 2014</t>
  </si>
  <si>
    <t>CQ1 2015</t>
  </si>
  <si>
    <t>CQ2 2015</t>
  </si>
  <si>
    <t>CQ3 2015</t>
  </si>
  <si>
    <t>CQ4 2015</t>
  </si>
  <si>
    <t>CQ1 2016</t>
  </si>
  <si>
    <t>CQ2 2016</t>
  </si>
  <si>
    <t>CQ3 2016</t>
  </si>
  <si>
    <t>CQ4 2016</t>
  </si>
  <si>
    <t>CQ1 2017</t>
  </si>
  <si>
    <t>CQ2 2017</t>
  </si>
  <si>
    <t>CQ3 2017</t>
  </si>
  <si>
    <t>CQ4 2017</t>
  </si>
  <si>
    <t>CQ1 2018</t>
  </si>
  <si>
    <t>CQ2 2018</t>
  </si>
  <si>
    <t>CQ3 2018</t>
  </si>
  <si>
    <t>CQ4 2018</t>
  </si>
  <si>
    <t>CQ1 2019</t>
  </si>
  <si>
    <t>CQ2 2019</t>
  </si>
  <si>
    <t>CQ3 2019</t>
  </si>
  <si>
    <t>CQ4 2019</t>
  </si>
  <si>
    <t>CQ1 2020</t>
  </si>
  <si>
    <t>CQ2 2020</t>
  </si>
  <si>
    <t>CQ3 2020</t>
  </si>
  <si>
    <t>CQ4 2020</t>
  </si>
  <si>
    <t>CQ1 2021</t>
  </si>
  <si>
    <t>CQ2 2021</t>
  </si>
  <si>
    <t>CQ3 2021</t>
  </si>
  <si>
    <t>CQ4 2021</t>
  </si>
  <si>
    <t>CQ1 2022</t>
  </si>
  <si>
    <t>Period ending</t>
  </si>
  <si>
    <t>07/31/2011</t>
  </si>
  <si>
    <t>10/30/2011</t>
  </si>
  <si>
    <t>01/29/2012</t>
  </si>
  <si>
    <t>04/29/2012</t>
  </si>
  <si>
    <t>07/29/2012</t>
  </si>
  <si>
    <t>10/28/2012</t>
  </si>
  <si>
    <t>01/27/2013</t>
  </si>
  <si>
    <t>04/28/2013</t>
  </si>
  <si>
    <t>07/28/2013</t>
  </si>
  <si>
    <t>10/27/2013</t>
  </si>
  <si>
    <t>01/26/2014</t>
  </si>
  <si>
    <t>04/27/2014</t>
  </si>
  <si>
    <t>07/27/2014</t>
  </si>
  <si>
    <t>10/26/2014</t>
  </si>
  <si>
    <t>01/25/2015</t>
  </si>
  <si>
    <t>04/26/2015</t>
  </si>
  <si>
    <t>07/26/2015</t>
  </si>
  <si>
    <t>10/25/2015</t>
  </si>
  <si>
    <t>01/31/2016</t>
  </si>
  <si>
    <t>05/01/2016</t>
  </si>
  <si>
    <t>07/31/2016</t>
  </si>
  <si>
    <t>10/30/2016</t>
  </si>
  <si>
    <t>01/29/2017</t>
  </si>
  <si>
    <t>04/30/2017</t>
  </si>
  <si>
    <t>07/30/2017</t>
  </si>
  <si>
    <t>10/29/2017</t>
  </si>
  <si>
    <t>01/28/2018</t>
  </si>
  <si>
    <t>04/29/2018</t>
  </si>
  <si>
    <t>07/29/2018</t>
  </si>
  <si>
    <t>10/28/2018</t>
  </si>
  <si>
    <t>01/27/2019</t>
  </si>
  <si>
    <t>04/28/2019</t>
  </si>
  <si>
    <t>07/28/2019</t>
  </si>
  <si>
    <t>10/27/2019</t>
  </si>
  <si>
    <t>01/26/2020</t>
  </si>
  <si>
    <t>04/26/2020</t>
  </si>
  <si>
    <t>07/26/2020</t>
  </si>
  <si>
    <t>10/25/2020</t>
  </si>
  <si>
    <t>01/31/2021</t>
  </si>
  <si>
    <t>05/02/2021</t>
  </si>
  <si>
    <t>Returns</t>
  </si>
  <si>
    <t>Margins</t>
  </si>
  <si>
    <t>Gross Margin</t>
  </si>
  <si>
    <t>GROSS_MARGIN</t>
  </si>
  <si>
    <t>EBITDA Margin</t>
  </si>
  <si>
    <t>EBITDA_TO_REVENUE</t>
  </si>
  <si>
    <t xml:space="preserve">    Growth (YoY)</t>
  </si>
  <si>
    <t>Operating Margin</t>
  </si>
  <si>
    <t>OPER_MARGIN</t>
  </si>
  <si>
    <t>Net Income Margin</t>
  </si>
  <si>
    <t>PROF_MARGIN</t>
  </si>
  <si>
    <t>Additional</t>
  </si>
  <si>
    <t>Effective Tax Rate</t>
  </si>
  <si>
    <t>EFF_TAX_RATE</t>
  </si>
  <si>
    <t>Dvd Payout Ratio</t>
  </si>
  <si>
    <t>DVD_PAYOUT_RATIO</t>
  </si>
  <si>
    <t>Source: Bloomberg</t>
  </si>
  <si>
    <t>BS_TOT_COM_PAPER_ISSUED</t>
  </si>
  <si>
    <t>Total Commercial Paper Outstanding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</si>
  <si>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</si>
  <si>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</si>
  <si>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</si>
  <si>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</si>
  <si>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</si>
  <si>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</si>
  <si>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</si>
  <si>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</si>
  <si>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</si>
  <si>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</si>
  <si>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</si>
  <si>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</si>
  <si>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</si>
  <si>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</si>
  <si>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</si>
  <si>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</si>
  <si>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</si>
  <si>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</si>
  <si>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</si>
  <si>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</si>
  <si>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</si>
  <si>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</si>
  <si>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</si>
  <si>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</si>
  <si>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</si>
  <si>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</si>
  <si>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</si>
  <si>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</si>
  <si>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</si>
  <si>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</si>
  <si>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</si>
  <si>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</si>
  <si>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</si>
  <si>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</si>
  <si>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3 Months Ending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</si>
  <si>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</si>
  <si>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</si>
  <si>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</si>
  <si>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</si>
  <si>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</si>
  <si>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</si>
  <si>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</si>
  <si>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</si>
  <si>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</si>
  <si>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</si>
  <si>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</si>
  <si>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</si>
  <si>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</si>
  <si>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</si>
  <si>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</si>
  <si>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</si>
  <si>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</si>
  <si>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</si>
  <si>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</si>
  <si>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</si>
  <si>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</si>
  <si>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</si>
  <si>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</si>
  <si>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</si>
  <si>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</si>
  <si>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</si>
  <si>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</si>
  <si>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</si>
  <si>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</si>
  <si>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</si>
  <si>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</si>
  <si>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</si>
  <si>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</si>
  <si>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</si>
  <si>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</si>
  <si>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</si>
  <si>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</si>
  <si>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</si>
  <si>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</si>
  <si>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</si>
  <si>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NVIDIA Corp (NVDA US) - Liquidity</t>
  </si>
  <si>
    <t>SUSTAIN_GROWTH_RT</t>
  </si>
  <si>
    <t>Sustainable Growth Rate</t>
  </si>
  <si>
    <t>NET_INCOME_TO_COMMON_MARGIN</t>
  </si>
  <si>
    <t>Net Income to Common Margin</t>
  </si>
  <si>
    <t>INC_BEF_XO_ITEMS_TO_NET_SALES</t>
  </si>
  <si>
    <t>Income before XO Margin</t>
  </si>
  <si>
    <t>PRETAX_INC_TO_NET_SALES</t>
  </si>
  <si>
    <t>Pretax Margin</t>
  </si>
  <si>
    <t>INCREMENTAL_OPERATING_MARGIN</t>
  </si>
  <si>
    <t>Incremental Operating Margin</t>
  </si>
  <si>
    <t>—</t>
  </si>
  <si>
    <t>RETURN_ON_INV_CAPITAL</t>
  </si>
  <si>
    <t>Return on Invested Capital</t>
  </si>
  <si>
    <t>RETURN_ON_CAP</t>
  </si>
  <si>
    <t>Return on Capital</t>
  </si>
  <si>
    <t>RETURN_ON_ASSET</t>
  </si>
  <si>
    <t>Return on Assets</t>
  </si>
  <si>
    <t>RETURN_COM_EQY</t>
  </si>
  <si>
    <t>Return on Common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</si>
</sst>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0" fontId="4" fillId="34" borderId="18"/>
    <xf numFmtId="0" fontId="8" fillId="34" borderId="18"/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3" fillId="34" borderId="18"/>
    <xf numFmtId="171" fontId="1" fillId="34" borderId="2">
      <alignment horizontal="right"/>
    </xf>
  </cellStyleXfs>
  <cellXfs count="24">
    <xf numFmtId="0" fontId="0" fillId="0" borderId="0" xfId="0"/>
    <xf numFmtId="0" fontId="4" fillId="34" borderId="18" xfId="57" applyNumberFormat="1" applyFont="1" applyFill="1" applyBorder="1" applyAlignment="1" applyProtection="1"/>
    <xf numFmtId="0" fontId="8" fillId="34" borderId="18" xfId="58" applyNumberFormat="1" applyFont="1" applyFill="1" applyBorder="1" applyAlignment="1" applyProtection="1"/>
    <xf numFmtId="0" fontId="7" fillId="33" borderId="16" xfId="59" applyNumberFormat="1" applyFont="1" applyFill="1" applyBorder="1" applyAlignment="1" applyProtection="1">
      <alignment horizontal="left"/>
    </xf>
    <xf numFmtId="0" fontId="7" fillId="33" borderId="16" xfId="60" applyNumberFormat="1" applyFont="1" applyFill="1" applyBorder="1" applyAlignment="1" applyProtection="1">
      <alignment horizontal="right"/>
    </xf>
    <xf numFmtId="0" fontId="7" fillId="33" borderId="17" xfId="61">
      <alignment horizontal="left"/>
    </xf>
    <xf numFmtId="0" fontId="7" fillId="33" borderId="17" xfId="62" applyNumberFormat="1" applyFont="1" applyFill="1" applyBorder="1" applyAlignment="1" applyProtection="1">
      <alignment horizontal="right"/>
    </xf>
    <xf numFmtId="0" fontId="3" fillId="34" borderId="18" xfId="63" applyNumberFormat="1" applyFont="1" applyFill="1" applyBorder="1" applyAlignment="1" applyProtection="1"/>
    <xf numFmtId="171" fontId="1" fillId="34" borderId="2" xfId="64" applyNumberFormat="1" applyFont="1" applyFill="1" applyBorder="1" applyAlignment="1" applyProtection="1">
      <alignment horizontal="right"/>
    </xf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2"/>
    <cellStyle name="fa_column_header_bottom_left" xfId="52"/>
    <cellStyle name="fa_column_header_bottom_left 2" xfId="61"/>
    <cellStyle name="fa_column_header_empty" xfId="31"/>
    <cellStyle name="fa_column_header_top" xfId="32"/>
    <cellStyle name="fa_column_header_top 2" xfId="60"/>
    <cellStyle name="fa_column_header_top_left" xfId="33"/>
    <cellStyle name="fa_column_header_top_left 2" xfId="59"/>
    <cellStyle name="fa_data_bold_0_grouped" xfId="55"/>
    <cellStyle name="fa_data_italic_1_grouped" xfId="56"/>
    <cellStyle name="fa_data_standard_0_grouped" xfId="53"/>
    <cellStyle name="fa_data_standard_1_grouped" xfId="64"/>
    <cellStyle name="fa_data_standard_2_grouped" xfId="54"/>
    <cellStyle name="fa_footer_italic" xfId="34"/>
    <cellStyle name="fa_row_header_bold" xfId="35"/>
    <cellStyle name="fa_row_header_bold 2" xfId="58"/>
    <cellStyle name="fa_row_header_italic" xfId="36"/>
    <cellStyle name="fa_row_header_italic 2" xfId="57"/>
    <cellStyle name="fa_row_header_standard" xfId="37"/>
    <cellStyle name="fa_row_header_standard 2" xfId="63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BDP|10706915944521262680</stp>
        <tr r="AO16" s="2"/>
      </tp>
      <tp t="s">
        <v>#N/A N/A</v>
        <stp/>
        <stp>BDP|15275712085673463383</stp>
        <tr r="AD12" s="2"/>
      </tp>
      <tp t="s">
        <v>#N/A N/A</v>
        <stp/>
        <stp>BDP|10882262061608150633</stp>
        <tr r="AN13" s="2"/>
      </tp>
      <tp t="s">
        <v>#N/A N/A</v>
        <stp/>
        <stp>BDP|15286544831840299985</stp>
        <tr r="AD10" s="2"/>
      </tp>
      <tp t="s">
        <v>#N/A N/A</v>
        <stp/>
        <stp>BDP|11432244699501084167</stp>
        <tr r="L17" s="2"/>
      </tp>
      <tp t="s">
        <v>#N/A N/A</v>
        <stp/>
        <stp>BDP|14609533400299681241</stp>
        <tr r="D12" s="2"/>
      </tp>
      <tp t="s">
        <v>#N/A N/A</v>
        <stp/>
        <stp>BDP|17899248083092947501</stp>
        <tr r="AK16" s="2"/>
      </tp>
      <tp t="s">
        <v>#N/A N/A</v>
        <stp/>
        <stp>BDH|12549574946288725122</stp>
        <tr r="AO19" s="4"/>
      </tp>
      <tp t="s">
        <v>#N/A N/A</v>
        <stp/>
        <stp>BDH|11875846335954054489</stp>
        <tr r="P14" s="3"/>
      </tp>
      <tp t="s">
        <v>#N/A N/A</v>
        <stp/>
        <stp>BDH|11710172887851759305</stp>
        <tr r="AG26" s="3"/>
      </tp>
      <tp t="s">
        <v>#N/A N/A</v>
        <stp/>
        <stp>BDH|11381514883861425759</stp>
        <tr r="AP28" s="3"/>
      </tp>
      <tp t="s">
        <v>#N/A N/A</v>
        <stp/>
        <stp>BDH|10119954024615944491</stp>
        <tr r="AE16" s="3"/>
      </tp>
      <tp t="s">
        <v>#N/A N/A</v>
        <stp/>
        <stp>BDH|13122958016549298839</stp>
        <tr r="Z14" s="4"/>
      </tp>
      <tp t="s">
        <v>#N/A N/A</v>
        <stp/>
        <stp>BDH|13938925491660150986</stp>
        <tr r="T26" s="4"/>
      </tp>
      <tp t="s">
        <v>#N/A N/A</v>
        <stp/>
        <stp>BDH|18239599968853916291</stp>
        <tr r="AO10" s="3"/>
      </tp>
      <tp t="s">
        <v>#N/A N/A</v>
        <stp/>
        <stp>BDH|17869603813543064994</stp>
        <tr r="C28" s="3"/>
      </tp>
      <tp t="s">
        <v>#N/A N/A</v>
        <stp/>
        <stp>BDH|15561623181350630123</stp>
        <tr r="AP19" s="4"/>
      </tp>
      <tp t="s">
        <v>#N/A N/A</v>
        <stp/>
        <stp>BDH|18217075777060542538</stp>
        <tr r="AN25" s="3"/>
      </tp>
      <tp t="s">
        <v>#N/A N/A</v>
        <stp/>
        <stp>BDH|18168017815861023221</stp>
        <tr r="AO28" s="3"/>
      </tp>
      <tp t="s">
        <v>#N/A N/A</v>
        <stp/>
        <stp>BDH|14332970137636479205</stp>
        <tr r="AC13" s="3"/>
      </tp>
      <tp t="s">
        <v>#N/A N/A</v>
        <stp/>
        <stp>BDH|13556504122629006702</stp>
        <tr r="I9" s="4"/>
      </tp>
      <tp t="s">
        <v>#N/A N/A</v>
        <stp/>
        <stp>BDH|13404407153071615974</stp>
        <tr r="AA8" s="3"/>
      </tp>
      <tp t="s">
        <v>#N/A N/A</v>
        <stp/>
        <stp>BDH|12707839982188849075</stp>
        <tr r="I24" s="4"/>
      </tp>
      <tp t="s">
        <v>#N/A N/A</v>
        <stp/>
        <stp>BDH|10610515649483395856</stp>
        <tr r="AG20" s="3"/>
      </tp>
      <tp t="s">
        <v>#N/A N/A</v>
        <stp/>
        <stp>BDH|15727917424944183088</stp>
        <tr r="M9" s="3"/>
      </tp>
      <tp t="s">
        <v>#N/A N/A</v>
        <stp/>
        <stp>BDH|11052505697783569490</stp>
        <tr r="AE19" s="4"/>
      </tp>
      <tp t="s">
        <v>#N/A N/A</v>
        <stp/>
        <stp>BDH|10788477469631240917</stp>
        <tr r="G9" s="3"/>
      </tp>
      <tp t="s">
        <v>#N/A N/A</v>
        <stp/>
        <stp>BDH|15518096827384801995</stp>
        <tr r="AO22" s="3"/>
      </tp>
      <tp t="s">
        <v>#N/A N/A</v>
        <stp/>
        <stp>BDH|15199795031903338876</stp>
        <tr r="S10" s="3"/>
      </tp>
      <tp t="s">
        <v>#N/A N/A</v>
        <stp/>
        <stp>BDH|17984211634805450953</stp>
        <tr r="N10" s="3"/>
      </tp>
      <tp t="s">
        <v>#N/A N/A</v>
        <stp/>
        <stp>BDH|13195548193441298498</stp>
        <tr r="M17" s="3"/>
      </tp>
      <tp t="s">
        <v>#N/A N/A</v>
        <stp/>
        <stp>BDH|14342126136444906828</stp>
        <tr r="AH18" s="3"/>
      </tp>
      <tp t="s">
        <v>#N/A N/A</v>
        <stp/>
        <stp>BDH|16382909924715121292</stp>
        <tr r="X7" s="3"/>
      </tp>
      <tp t="s">
        <v>#N/A N/A</v>
        <stp/>
        <stp>BDH|12806732681056732132</stp>
        <tr r="Q7" s="4"/>
      </tp>
      <tp t="s">
        <v>#N/A N/A</v>
        <stp/>
        <stp>BDH|16450037376722970961</stp>
        <tr r="AJ8" s="4"/>
      </tp>
      <tp t="s">
        <v>#N/A N/A</v>
        <stp/>
        <stp>BDP|16607349427128897466</stp>
        <tr r="P17" s="2"/>
      </tp>
      <tp t="s">
        <v>#N/A N/A</v>
        <stp/>
        <stp>BDP|11528694974829253258</stp>
        <tr r="AK9" s="2"/>
      </tp>
      <tp t="s">
        <v>#N/A N/A</v>
        <stp/>
        <stp>BDP|14392607242269146450</stp>
        <tr r="AG12" s="2"/>
      </tp>
      <tp t="s">
        <v>#N/A N/A</v>
        <stp/>
        <stp>BDP|11734960822715359453</stp>
        <tr r="W17" s="2"/>
      </tp>
      <tp t="s">
        <v>#N/A N/A</v>
        <stp/>
        <stp>BDH|11627317096149426947</stp>
        <tr r="R18" s="3"/>
      </tp>
      <tp t="s">
        <v>#N/A N/A</v>
        <stp/>
        <stp>BDH|14731310312594406912</stp>
        <tr r="M21" s="4"/>
      </tp>
      <tp t="s">
        <v>#N/A N/A</v>
        <stp/>
        <stp>BDH|18445715924360015615</stp>
        <tr r="AK8" s="3"/>
      </tp>
      <tp t="s">
        <v>#N/A N/A</v>
        <stp/>
        <stp>BDH|17112303672709700178</stp>
        <tr r="P13" s="4"/>
      </tp>
      <tp t="s">
        <v>#N/A N/A</v>
        <stp/>
        <stp>BDH|16011721681223058115</stp>
        <tr r="N17" s="3"/>
      </tp>
      <tp t="s">
        <v>#N/A N/A</v>
        <stp/>
        <stp>BDH|12268998556414007181</stp>
        <tr r="AC18" s="4"/>
      </tp>
      <tp t="s">
        <v>#N/A N/A</v>
        <stp/>
        <stp>BDH|14798929303327724148</stp>
        <tr r="K17" s="3"/>
      </tp>
      <tp t="s">
        <v>#N/A N/A</v>
        <stp/>
        <stp>BDH|11960941318163875183</stp>
        <tr r="AO7" s="4"/>
      </tp>
      <tp t="s">
        <v>#N/A N/A</v>
        <stp/>
        <stp>BDH|13915583936399703750</stp>
        <tr r="M7" s="3"/>
      </tp>
      <tp t="s">
        <v>#N/A N/A</v>
        <stp/>
        <stp>BDH|17530411255458358574</stp>
        <tr r="AC19" s="4"/>
      </tp>
      <tp t="s">
        <v>#N/A N/A</v>
        <stp/>
        <stp>BDH|15165112405348900782</stp>
        <tr r="AE14" s="3"/>
      </tp>
      <tp t="s">
        <v>#N/A N/A</v>
        <stp/>
        <stp>BDH|14541914022427449364</stp>
        <tr r="Q24" s="4"/>
      </tp>
      <tp t="s">
        <v>#N/A N/A</v>
        <stp/>
        <stp>BDH|14047812220071655409</stp>
        <tr r="E16" s="3"/>
      </tp>
      <tp t="s">
        <v>#N/A N/A</v>
        <stp/>
        <stp>BDH|14705202620116444942</stp>
        <tr r="AA25" s="4"/>
      </tp>
      <tp t="s">
        <v>#N/A N/A</v>
        <stp/>
        <stp>BDH|16054912133405624223</stp>
        <tr r="AG26" s="4"/>
      </tp>
      <tp t="s">
        <v>#N/A N/A</v>
        <stp/>
        <stp>BDH|12919033691943597386</stp>
        <tr r="AC10" s="4"/>
      </tp>
      <tp t="s">
        <v>#N/A N/A</v>
        <stp/>
        <stp>BDH|17562931599969058565</stp>
        <tr r="X25" s="4"/>
      </tp>
      <tp t="s">
        <v>#N/A N/A</v>
        <stp/>
        <stp>BDH|14796418594674262688</stp>
        <tr r="F19" s="4"/>
      </tp>
      <tp t="s">
        <v>#N/A N/A</v>
        <stp/>
        <stp>BDH|17291881922471150717</stp>
        <tr r="P28" s="3"/>
      </tp>
      <tp t="s">
        <v>#N/A N/A</v>
        <stp/>
        <stp>BDH|10504207688135404427</stp>
        <tr r="AN26" s="4"/>
      </tp>
      <tp t="s">
        <v>#N/A N/A</v>
        <stp/>
        <stp>BDH|18174353845263328795</stp>
        <tr r="L9" s="4"/>
      </tp>
      <tp t="s">
        <v>#N/A N/A</v>
        <stp/>
        <stp>BDH|15768528365128901529</stp>
        <tr r="C25" s="3"/>
      </tp>
      <tp t="s">
        <v>#N/A N/A</v>
        <stp/>
        <stp>BDH|10756250988369735861</stp>
        <tr r="L7" s="3"/>
      </tp>
      <tp t="s">
        <v>#N/A N/A</v>
        <stp/>
        <stp>BDH|12147895126756723537</stp>
        <tr r="Y21" s="4"/>
      </tp>
      <tp t="s">
        <v>#N/A N/A</v>
        <stp/>
        <stp>BDH|18353658288895672820</stp>
        <tr r="AH18" s="4"/>
      </tp>
      <tp t="s">
        <v>#N/A N/A</v>
        <stp/>
        <stp>BDH|10551777619469712415</stp>
        <tr r="AH13" s="4"/>
      </tp>
      <tp t="s">
        <v>#N/A N/A</v>
        <stp/>
        <stp>BDH|17317081062073213967</stp>
        <tr r="X18" s="3"/>
      </tp>
      <tp t="s">
        <v>#N/A N/A</v>
        <stp/>
        <stp>BDH|17270418330279911260</stp>
        <tr r="AA17" s="3"/>
      </tp>
      <tp t="s">
        <v>#N/A N/A</v>
        <stp/>
        <stp>BDH|12110212152128414697</stp>
        <tr r="S20" s="4"/>
      </tp>
      <tp t="s">
        <v>#N/A N/A</v>
        <stp/>
        <stp>BDH|17861694715369234289</stp>
        <tr r="R16" s="4"/>
      </tp>
      <tp t="s">
        <v>#N/A N/A</v>
        <stp/>
        <stp>BDH|16542993834287157079</stp>
        <tr r="M18" s="3"/>
      </tp>
      <tp t="s">
        <v>#N/A N/A</v>
        <stp/>
        <stp>BDH|12405830548214180102</stp>
        <tr r="Z17" s="4"/>
      </tp>
      <tp t="s">
        <v>#N/A N/A</v>
        <stp/>
        <stp>BDH|17389696854046993998</stp>
        <tr r="AP20" s="4"/>
      </tp>
      <tp t="s">
        <v>#N/A N/A</v>
        <stp/>
        <stp>BDH|17477097994200353541</stp>
        <tr r="C24" s="4"/>
      </tp>
      <tp t="s">
        <v>#N/A N/A</v>
        <stp/>
        <stp>BDP|15593490162537307860</stp>
        <tr r="V10" s="2"/>
      </tp>
      <tp t="s">
        <v>#N/A N/A</v>
        <stp/>
        <stp>BDP|10187341663415764832</stp>
        <tr r="Z16" s="2"/>
      </tp>
      <tp t="s">
        <v>#N/A N/A</v>
        <stp/>
        <stp>BDP|13987425877051356981</stp>
        <tr r="AP13" s="2"/>
      </tp>
      <tp t="s">
        <v>#N/A N/A</v>
        <stp/>
        <stp>BDH|18338384829498279919</stp>
        <tr r="V6" s="3"/>
      </tp>
      <tp t="s">
        <v>#N/A N/A</v>
        <stp/>
        <stp>BDH|14054111803275228818</stp>
        <tr r="AA25" s="3"/>
      </tp>
      <tp t="s">
        <v>#N/A N/A</v>
        <stp/>
        <stp>BDH|17359993715290805767</stp>
        <tr r="AD6" s="3"/>
      </tp>
      <tp t="s">
        <v>#N/A N/A</v>
        <stp/>
        <stp>BDH|16791965523512768753</stp>
        <tr r="AM8" s="3"/>
      </tp>
      <tp t="s">
        <v>#N/A N/A</v>
        <stp/>
        <stp>BDH|12215309895604276459</stp>
        <tr r="K10" s="3"/>
      </tp>
      <tp t="s">
        <v>#N/A N/A</v>
        <stp/>
        <stp>BDH|10787869020851464359</stp>
        <tr r="J24" s="4"/>
      </tp>
      <tp t="s">
        <v>#N/A N/A</v>
        <stp/>
        <stp>BDH|17242413869899938404</stp>
        <tr r="X7" s="4"/>
      </tp>
      <tp t="s">
        <v>#N/A N/A</v>
        <stp/>
        <stp>BDH|15934854261867983477</stp>
        <tr r="V22" s="3"/>
      </tp>
      <tp t="s">
        <v>#N/A N/A</v>
        <stp/>
        <stp>BDH|13009945942495263370</stp>
        <tr r="M7" s="4"/>
      </tp>
      <tp t="s">
        <v>#N/A N/A</v>
        <stp/>
        <stp>BDH|18209017371710027714</stp>
        <tr r="H25" s="3"/>
      </tp>
      <tp t="s">
        <v>#N/A N/A</v>
        <stp/>
        <stp>BDH|10734250746936765816</stp>
        <tr r="S26" s="4"/>
      </tp>
      <tp t="s">
        <v>#N/A N/A</v>
        <stp/>
        <stp>BDH|12948382382348301920</stp>
        <tr r="M28" s="3"/>
      </tp>
      <tp t="s">
        <v>#N/A N/A</v>
        <stp/>
        <stp>BDH|11956626569619554054</stp>
        <tr r="AJ16" s="3"/>
      </tp>
      <tp t="s">
        <v>#N/A N/A</v>
        <stp/>
        <stp>BDH|12436934564525718008</stp>
        <tr r="AJ20" s="4"/>
      </tp>
      <tp t="s">
        <v>#N/A N/A</v>
        <stp/>
        <stp>BDH|10007711548178842369</stp>
        <tr r="N21" s="3"/>
      </tp>
      <tp t="s">
        <v>#N/A N/A</v>
        <stp/>
        <stp>BDH|12567231641775368937</stp>
        <tr r="AH19" s="4"/>
      </tp>
      <tp t="s">
        <v>#N/A N/A</v>
        <stp/>
        <stp>BDH|14224994813132914675</stp>
        <tr r="AB16" s="3"/>
      </tp>
      <tp t="s">
        <v>#N/A N/A</v>
        <stp/>
        <stp>BDH|14106525536038534263</stp>
        <tr r="AH24" s="3"/>
      </tp>
      <tp t="s">
        <v>#N/A N/A</v>
        <stp/>
        <stp>BDH|10952142621073482815</stp>
        <tr r="D21" s="4"/>
      </tp>
      <tp t="s">
        <v>#N/A N/A</v>
        <stp/>
        <stp>BDH|12921467083152109449</stp>
        <tr r="D28" s="3"/>
      </tp>
      <tp t="s">
        <v>#N/A N/A</v>
        <stp/>
        <stp>BDH|10943763481904615312</stp>
        <tr r="K26" s="3"/>
      </tp>
      <tp t="s">
        <v>#N/A N/A</v>
        <stp/>
        <stp>BDH|12058752456449981139</stp>
        <tr r="AP20" s="3"/>
      </tp>
      <tp t="s">
        <v>#N/A N/A</v>
        <stp/>
        <stp>BDH|14778969555477990759</stp>
        <tr r="K16" s="4"/>
      </tp>
      <tp t="s">
        <v>#N/A N/A</v>
        <stp/>
        <stp>BDH|11476504964292869805</stp>
        <tr r="D18" s="4"/>
      </tp>
      <tp t="s">
        <v>#N/A N/A</v>
        <stp/>
        <stp>BDH|18368956817338971002</stp>
        <tr r="T16" s="4"/>
      </tp>
      <tp t="s">
        <v>#N/A N/A</v>
        <stp/>
        <stp>BDH|17999924643900089237</stp>
        <tr r="AN12" s="3"/>
      </tp>
      <tp t="s">
        <v>#N/A N/A</v>
        <stp/>
        <stp>BDH|11773505771103227899</stp>
        <tr r="Z26" s="3"/>
      </tp>
      <tp t="s">
        <v>#N/A N/A</v>
        <stp/>
        <stp>BDH|16664782196769033952</stp>
        <tr r="F25" s="4"/>
      </tp>
      <tp t="s">
        <v>#N/A N/A</v>
        <stp/>
        <stp>BDH|14704081672232627960</stp>
        <tr r="D16" s="4"/>
      </tp>
      <tp t="s">
        <v>#N/A N/A</v>
        <stp/>
        <stp>BDH|13043027208862370955</stp>
        <tr r="V16" s="3"/>
      </tp>
      <tp t="s">
        <v>#N/A N/A</v>
        <stp/>
        <stp>BDH|18108924972837590989</stp>
        <tr r="W13" s="3"/>
      </tp>
      <tp t="s">
        <v>#N/A N/A</v>
        <stp/>
        <stp>BDH|11022940531563953037</stp>
        <tr r="AC25" s="4"/>
      </tp>
      <tp t="s">
        <v>#N/A N/A</v>
        <stp/>
        <stp>BDH|11209866202641982013</stp>
        <tr r="K19" s="4"/>
      </tp>
      <tp t="s">
        <v>#N/A N/A</v>
        <stp/>
        <stp>BDH|16039234080753494796</stp>
        <tr r="F9" s="3"/>
      </tp>
      <tp t="s">
        <v>#N/A N/A</v>
        <stp/>
        <stp>BDH|10781781763981176839</stp>
        <tr r="L16" s="3"/>
      </tp>
      <tp t="s">
        <v>#N/A N/A</v>
        <stp/>
        <stp>BDP|17327481607659579333</stp>
        <tr r="O12" s="2"/>
      </tp>
      <tp t="s">
        <v>#N/A N/A</v>
        <stp/>
        <stp>BDP|11359552424559941617</stp>
        <tr r="AI13" s="2"/>
      </tp>
      <tp t="s">
        <v>#N/A N/A</v>
        <stp/>
        <stp>BDP|18092047158804927058</stp>
        <tr r="AO12" s="2"/>
      </tp>
      <tp t="s">
        <v>#N/A N/A</v>
        <stp/>
        <stp>BDP|15001015107339628525</stp>
        <tr r="G16" s="2"/>
      </tp>
      <tp t="s">
        <v>#N/A N/A</v>
        <stp/>
        <stp>BDP|15525658600168322279</stp>
        <tr r="O10" s="2"/>
      </tp>
      <tp t="s">
        <v>#N/A N/A</v>
        <stp/>
        <stp>BDH|15713803535227491072</stp>
        <tr r="X12" s="3"/>
      </tp>
      <tp t="s">
        <v>#N/A N/A</v>
        <stp/>
        <stp>BDH|12224352987213416349</stp>
        <tr r="F28" s="3"/>
      </tp>
      <tp t="s">
        <v>#N/A N/A</v>
        <stp/>
        <stp>BDH|14574212352232461823</stp>
        <tr r="W24" s="4"/>
      </tp>
      <tp t="s">
        <v>#N/A N/A</v>
        <stp/>
        <stp>BDH|17492463483552336028</stp>
        <tr r="AH17" s="4"/>
      </tp>
      <tp t="s">
        <v>#N/A N/A</v>
        <stp/>
        <stp>BDH|17641462781853297106</stp>
        <tr r="M10" s="3"/>
      </tp>
      <tp t="s">
        <v>#N/A N/A</v>
        <stp/>
        <stp>BDH|13679653091890272526</stp>
        <tr r="AP14" s="4"/>
      </tp>
      <tp t="s">
        <v>#N/A N/A</v>
        <stp/>
        <stp>BDH|11294494991587936260</stp>
        <tr r="AD16" s="3"/>
      </tp>
      <tp t="s">
        <v>#N/A N/A</v>
        <stp/>
        <stp>BDH|17458747197143036328</stp>
        <tr r="H8" s="4"/>
      </tp>
      <tp t="s">
        <v>#N/A N/A</v>
        <stp/>
        <stp>BDH|16443641053385319956</stp>
        <tr r="AL19" s="4"/>
      </tp>
      <tp t="s">
        <v>#N/A N/A</v>
        <stp/>
        <stp>BDH|17362025310598545715</stp>
        <tr r="J25" s="3"/>
      </tp>
      <tp t="s">
        <v>#N/A N/A</v>
        <stp/>
        <stp>BDH|17616755121802241943</stp>
        <tr r="J19" s="4"/>
      </tp>
      <tp t="s">
        <v>#N/A N/A</v>
        <stp/>
        <stp>BDH|16736977644377518555</stp>
        <tr r="X13" s="4"/>
      </tp>
      <tp t="s">
        <v>#N/A N/A</v>
        <stp/>
        <stp>BDH|18230246764003433620</stp>
        <tr r="K7" s="4"/>
      </tp>
      <tp t="s">
        <v>#N/A N/A</v>
        <stp/>
        <stp>BDH|15611738583421076208</stp>
        <tr r="AL26" s="3"/>
      </tp>
      <tp t="s">
        <v>#N/A N/A</v>
        <stp/>
        <stp>BDH|16279692295043916311</stp>
        <tr r="P7" s="4"/>
      </tp>
      <tp t="s">
        <v>#N/A N/A</v>
        <stp/>
        <stp>BDH|13759022266814270883</stp>
        <tr r="U9" s="4"/>
      </tp>
      <tp t="s">
        <v>#N/A N/A</v>
        <stp/>
        <stp>BDH|12005816558006988096</stp>
        <tr r="X28" s="3"/>
      </tp>
      <tp t="s">
        <v>#N/A N/A</v>
        <stp/>
        <stp>BDH|13950617642510535862</stp>
        <tr r="P18" s="4"/>
      </tp>
      <tp t="s">
        <v>#N/A N/A</v>
        <stp/>
        <stp>BDH|11500452520546190890</stp>
        <tr r="AK7" s="3"/>
      </tp>
      <tp t="s">
        <v>#N/A N/A</v>
        <stp/>
        <stp>BDH|12710767306848726480</stp>
        <tr r="AM24" s="4"/>
      </tp>
      <tp t="s">
        <v>#N/A N/A</v>
        <stp/>
        <stp>BDH|16036953354255165683</stp>
        <tr r="AE16" s="4"/>
      </tp>
      <tp t="s">
        <v>#N/A N/A</v>
        <stp/>
        <stp>BDH|10760235313748708280</stp>
        <tr r="AN20" s="4"/>
      </tp>
      <tp t="s">
        <v>#N/A N/A</v>
        <stp/>
        <stp>BDH|18156389375167172261</stp>
        <tr r="AO18" s="4"/>
      </tp>
      <tp t="s">
        <v>#N/A N/A</v>
        <stp/>
        <stp>BDH|18237052161951447694</stp>
        <tr r="AG20" s="4"/>
      </tp>
      <tp t="s">
        <v>#N/A N/A</v>
        <stp/>
        <stp>BDH|14631852925231413693</stp>
        <tr r="Y14" s="4"/>
      </tp>
      <tp t="s">
        <v>#N/A N/A</v>
        <stp/>
        <stp>BDH|12003391619020859920</stp>
        <tr r="I21" s="3"/>
      </tp>
      <tp t="s">
        <v>#N/A N/A</v>
        <stp/>
        <stp>BDH|10351480492750688432</stp>
        <tr r="D13" s="4"/>
      </tp>
      <tp t="s">
        <v>#N/A N/A</v>
        <stp/>
        <stp>BDH|11940254032810432968</stp>
        <tr r="X9" s="3"/>
      </tp>
      <tp t="s">
        <v>#N/A N/A</v>
        <stp/>
        <stp>BDH|12113054186146892555</stp>
        <tr r="V16" s="4"/>
      </tp>
      <tp t="s">
        <v>#N/A N/A</v>
        <stp/>
        <stp>BDH|16281658988245230433</stp>
        <tr r="AA21" s="4"/>
      </tp>
      <tp t="s">
        <v>#N/A N/A</v>
        <stp/>
        <stp>BDP|17930079986378788968</stp>
        <tr r="AB10" s="2"/>
      </tp>
      <tp t="s">
        <v>#N/A N/A</v>
        <stp/>
        <stp>BDP|11786733171849907679</stp>
        <tr r="AI9" s="2"/>
      </tp>
      <tp t="s">
        <v>#N/A N/A</v>
        <stp/>
        <stp>BDP|16972284772995896813</stp>
        <tr r="F17" s="2"/>
      </tp>
      <tp t="s">
        <v>#N/A N/A</v>
        <stp/>
        <stp>BDP|10260877106821802758</stp>
        <tr r="AA9" s="2"/>
      </tp>
      <tp t="s">
        <v>#N/A N/A</v>
        <stp/>
        <stp>BDP|11744226114818689469</stp>
        <tr r="R13" s="2"/>
      </tp>
      <tp t="s">
        <v>#N/A N/A</v>
        <stp/>
        <stp>BDP|10053534674134235869</stp>
        <tr r="X12" s="2"/>
      </tp>
      <tp t="s">
        <v>#N/A N/A</v>
        <stp/>
        <stp>BDP|13046037831717329935</stp>
        <tr r="AO17" s="2"/>
      </tp>
      <tp t="s">
        <v>#N/A N/A</v>
        <stp/>
        <stp>BDP|17968952069870366624</stp>
        <tr r="AM17" s="2"/>
      </tp>
      <tp t="s">
        <v>#N/A N/A</v>
        <stp/>
        <stp>BDP|14338107309482595981</stp>
        <tr r="AJ17" s="2"/>
      </tp>
      <tp t="s">
        <v>#N/A N/A</v>
        <stp/>
        <stp>BDH|15194921764973327758</stp>
        <tr r="AF26" s="3"/>
      </tp>
      <tp t="s">
        <v>#N/A N/A</v>
        <stp/>
        <stp>BDH|18092414575151751426</stp>
        <tr r="AH25" s="4"/>
      </tp>
      <tp t="s">
        <v>#N/A N/A</v>
        <stp/>
        <stp>BDH|13192983268037086502</stp>
        <tr r="AC20" s="3"/>
      </tp>
      <tp t="s">
        <v>#N/A N/A</v>
        <stp/>
        <stp>BDH|12751785779784213849</stp>
        <tr r="AH26" s="3"/>
      </tp>
      <tp t="s">
        <v>#N/A N/A</v>
        <stp/>
        <stp>BDH|13896879224825339286</stp>
        <tr r="X16" s="4"/>
      </tp>
      <tp t="s">
        <v>#N/A N/A</v>
        <stp/>
        <stp>BDH|17312154569987974950</stp>
        <tr r="M13" s="4"/>
      </tp>
      <tp t="s">
        <v>#N/A N/A</v>
        <stp/>
        <stp>BDH|16402933349995851056</stp>
        <tr r="Y7" s="4"/>
      </tp>
      <tp t="s">
        <v>#N/A N/A</v>
        <stp/>
        <stp>BDH|16444065043738312408</stp>
        <tr r="C12" s="3"/>
      </tp>
      <tp t="s">
        <v>#N/A N/A</v>
        <stp/>
        <stp>BDH|18343516626009400820</stp>
        <tr r="R20" s="3"/>
      </tp>
      <tp t="s">
        <v>#N/A N/A</v>
        <stp/>
        <stp>BDH|11165007796014662231</stp>
        <tr r="M8" s="3"/>
      </tp>
      <tp t="s">
        <v>#N/A N/A</v>
        <stp/>
        <stp>BDH|14058984556811210798</stp>
        <tr r="AA16" s="3"/>
      </tp>
      <tp t="s">
        <v>#N/A N/A</v>
        <stp/>
        <stp>BDH|10419262782655064154</stp>
        <tr r="M25" s="3"/>
      </tp>
      <tp t="s">
        <v>#N/A N/A</v>
        <stp/>
        <stp>BDH|17297390918663021869</stp>
        <tr r="V19" s="4"/>
      </tp>
      <tp t="s">
        <v>#N/A N/A</v>
        <stp/>
        <stp>BDH|14962012150837734889</stp>
        <tr r="AK18" s="3"/>
      </tp>
      <tp t="s">
        <v>#N/A N/A</v>
        <stp/>
        <stp>BDH|18214352038232837410</stp>
        <tr r="S17" s="4"/>
      </tp>
      <tp t="s">
        <v>#N/A N/A</v>
        <stp/>
        <stp>BDH|13271926314911490494</stp>
        <tr r="AG8" s="4"/>
      </tp>
      <tp t="s">
        <v>#N/A N/A</v>
        <stp/>
        <stp>BDH|11330722227052494895</stp>
        <tr r="P18" s="3"/>
      </tp>
      <tp t="s">
        <v>#N/A N/A</v>
        <stp/>
        <stp>BDH|11670442939611008905</stp>
        <tr r="S7" s="4"/>
      </tp>
      <tp t="s">
        <v>#N/A N/A</v>
        <stp/>
        <stp>BDH|14028450597264989311</stp>
        <tr r="AK21" s="4"/>
      </tp>
      <tp t="s">
        <v>#N/A N/A</v>
        <stp/>
        <stp>BDH|14342392361149525647</stp>
        <tr r="O16" s="3"/>
      </tp>
      <tp t="s">
        <v>#N/A N/A</v>
        <stp/>
        <stp>BDH|10421495031588791162</stp>
        <tr r="R13" s="3"/>
      </tp>
      <tp t="s">
        <v>#N/A N/A</v>
        <stp/>
        <stp>BDH|11889009796894392201</stp>
        <tr r="K22" s="3"/>
      </tp>
      <tp t="s">
        <v>#N/A N/A</v>
        <stp/>
        <stp>BDH|10104780993599255955</stp>
        <tr r="I25" s="3"/>
      </tp>
      <tp t="s">
        <v>#N/A N/A</v>
        <stp/>
        <stp>BDH|14427414022885294992</stp>
        <tr r="Z7" s="3"/>
      </tp>
      <tp t="s">
        <v>#N/A N/A</v>
        <stp/>
        <stp>BDH|11222992780579190754</stp>
        <tr r="O22" s="3"/>
      </tp>
      <tp t="s">
        <v>#N/A N/A</v>
        <stp/>
        <stp>BDH|10069863348021795375</stp>
        <tr r="R17" s="4"/>
      </tp>
      <tp t="s">
        <v>#N/A N/A</v>
        <stp/>
        <stp>BDP|16760832057850849429</stp>
        <tr r="AG10" s="2"/>
      </tp>
    </main>
    <main first="bofaddin.rtdserver">
      <tp t="s">
        <v>#N/A N/A</v>
        <stp/>
        <stp>BDP|10997513762195376926</stp>
        <tr r="U9" s="2"/>
      </tp>
      <tp t="s">
        <v>#N/A N/A</v>
        <stp/>
        <stp>BDP|15480736779313934919</stp>
        <tr r="G13" s="2"/>
      </tp>
      <tp t="s">
        <v>#N/A N/A</v>
        <stp/>
        <stp>BDH|13799508263299695632</stp>
        <tr r="Q6" s="3"/>
      </tp>
      <tp t="s">
        <v>#N/A N/A</v>
        <stp/>
        <stp>BDH|14381484958909273302</stp>
        <tr r="S10" s="4"/>
      </tp>
      <tp t="s">
        <v>#N/A N/A</v>
        <stp/>
        <stp>BDH|14081187067684663888</stp>
        <tr r="AJ24" s="3"/>
      </tp>
      <tp t="s">
        <v>#N/A N/A</v>
        <stp/>
        <stp>BDH|18276080754017678587</stp>
        <tr r="T22" s="3"/>
      </tp>
      <tp t="s">
        <v>#N/A N/A</v>
        <stp/>
        <stp>BDH|14022661138237742992</stp>
        <tr r="R21" s="3"/>
      </tp>
      <tp t="s">
        <v>#N/A N/A</v>
        <stp/>
        <stp>BDH|11230944077520473051</stp>
        <tr r="J16" s="3"/>
      </tp>
      <tp t="s">
        <v>#N/A N/A</v>
        <stp/>
        <stp>BDH|14855418071560339884</stp>
        <tr r="M26" s="3"/>
      </tp>
      <tp t="s">
        <v>#N/A N/A</v>
        <stp/>
        <stp>BDH|17690010883814754407</stp>
        <tr r="AI14" s="3"/>
      </tp>
      <tp t="s">
        <v>#N/A N/A</v>
        <stp/>
        <stp>BDH|11441856491057323802</stp>
        <tr r="AB28" s="3"/>
      </tp>
      <tp t="s">
        <v>#N/A N/A</v>
        <stp/>
        <stp>BDH|15174717787306206363</stp>
        <tr r="V21" s="3"/>
      </tp>
      <tp t="s">
        <v>#N/A N/A</v>
        <stp/>
        <stp>BDH|11359411221139368133</stp>
        <tr r="S21" s="3"/>
      </tp>
      <tp t="s">
        <v>#N/A N/A</v>
        <stp/>
        <stp>BDH|10970728387368616881</stp>
        <tr r="AN24" s="3"/>
      </tp>
      <tp t="s">
        <v>#N/A N/A</v>
        <stp/>
        <stp>BDH|12143935241834188400</stp>
        <tr r="AK20" s="4"/>
      </tp>
      <tp t="s">
        <v>#N/A N/A</v>
        <stp/>
        <stp>BDH|11640393422736849971</stp>
        <tr r="Q16" s="4"/>
      </tp>
      <tp t="s">
        <v>#N/A N/A</v>
        <stp/>
        <stp>BDH|14148596482031921714</stp>
        <tr r="AL10" s="3"/>
      </tp>
      <tp t="s">
        <v>#N/A N/A</v>
        <stp/>
        <stp>BDH|13687867670973760021</stp>
        <tr r="AK9" s="4"/>
      </tp>
      <tp t="s">
        <v>#N/A N/A</v>
        <stp/>
        <stp>BDH|14669816822480874186</stp>
        <tr r="AG13" s="4"/>
      </tp>
    </main>
    <main first="bofaddin.rtdserver">
      <tp t="s">
        <v>#N/A N/A</v>
        <stp/>
        <stp>BDH|17713381748157237822</stp>
        <tr r="P20" s="3"/>
      </tp>
      <tp t="s">
        <v>#N/A N/A</v>
        <stp/>
        <stp>BDH|16269749390086427158</stp>
        <tr r="S24" s="3"/>
      </tp>
      <tp t="s">
        <v>#N/A N/A</v>
        <stp/>
        <stp>BDH|11065862362594139427</stp>
        <tr r="F16" s="3"/>
      </tp>
      <tp t="s">
        <v>#N/A N/A</v>
        <stp/>
        <stp>BDH|16117992507589120974</stp>
        <tr r="L20" s="4"/>
      </tp>
      <tp t="s">
        <v>#N/A N/A</v>
        <stp/>
        <stp>BDH|10126324904104762894</stp>
        <tr r="AO20" s="4"/>
      </tp>
      <tp t="s">
        <v>#N/A N/A</v>
        <stp/>
        <stp>BDH|12004824377300942257</stp>
        <tr r="O25" s="4"/>
      </tp>
      <tp t="s">
        <v>#N/A N/A</v>
        <stp/>
        <stp>BDH|13320071482510624483</stp>
        <tr r="C26" s="3"/>
      </tp>
      <tp t="s">
        <v>#N/A N/A</v>
        <stp/>
        <stp>BDH|12839942979735862664</stp>
        <tr r="AK26" s="4"/>
      </tp>
      <tp t="s">
        <v>#N/A N/A</v>
        <stp/>
        <stp>BDH|15594476029024844890</stp>
        <tr r="AI13" s="4"/>
      </tp>
      <tp t="s">
        <v>#N/A N/A</v>
        <stp/>
        <stp>BDH|17903470457791211815</stp>
        <tr r="AF20" s="3"/>
      </tp>
      <tp t="s">
        <v>#N/A N/A</v>
        <stp/>
        <stp>BDH|18283335430767886040</stp>
        <tr r="AB7" s="4"/>
      </tp>
      <tp t="s">
        <v>#N/A N/A</v>
        <stp/>
        <stp>BDH|18375787370516298152</stp>
        <tr r="N25" s="4"/>
      </tp>
      <tp t="s">
        <v>#N/A N/A</v>
        <stp/>
        <stp>BDH|11075301738676133853</stp>
        <tr r="S28" s="3"/>
      </tp>
      <tp t="s">
        <v>#N/A N/A</v>
        <stp/>
        <stp>BDH|13135151980396108397</stp>
        <tr r="Q8" s="4"/>
      </tp>
      <tp t="s">
        <v>#N/A N/A</v>
        <stp/>
        <stp>BDP|10965652812842925990</stp>
        <tr r="L10" s="2"/>
      </tp>
      <tp t="s">
        <v>#N/A N/A</v>
        <stp/>
        <stp>BDP|10186827670725402672</stp>
        <tr r="AF17" s="2"/>
      </tp>
      <tp t="s">
        <v>#N/A N/A</v>
        <stp/>
        <stp>BDP|17364048720891675871</stp>
        <tr r="AH17" s="2"/>
      </tp>
      <tp t="s">
        <v>#N/A N/A</v>
        <stp/>
        <stp>BDH|10551029294426266301</stp>
        <tr r="Z20" s="3"/>
      </tp>
      <tp t="s">
        <v>#N/A N/A</v>
        <stp/>
        <stp>BDH|10844352376610816839</stp>
        <tr r="AH20" s="3"/>
      </tp>
      <tp t="s">
        <v>#N/A N/A</v>
        <stp/>
        <stp>BDH|16760349552245364928</stp>
        <tr r="E14" s="3"/>
      </tp>
      <tp t="s">
        <v>#N/A N/A</v>
        <stp/>
        <stp>BDH|11909581491415796446</stp>
        <tr r="AI17" s="3"/>
      </tp>
      <tp t="s">
        <v>#N/A N/A</v>
        <stp/>
        <stp>BDH|15013084777296417884</stp>
        <tr r="G26" s="3"/>
      </tp>
      <tp t="s">
        <v>#N/A N/A</v>
        <stp/>
        <stp>BDH|16469991190049959376</stp>
        <tr r="U6" s="3"/>
      </tp>
      <tp t="s">
        <v>#N/A N/A</v>
        <stp/>
        <stp>BDH|11332461890635698511</stp>
        <tr r="AI14" s="4"/>
      </tp>
      <tp t="s">
        <v>#N/A N/A</v>
        <stp/>
        <stp>BDH|16939190143746465955</stp>
        <tr r="L13" s="4"/>
      </tp>
      <tp t="s">
        <v>#N/A N/A</v>
        <stp/>
        <stp>BDH|17102706497971325479</stp>
        <tr r="AC8" s="4"/>
      </tp>
      <tp t="s">
        <v>#N/A N/A</v>
        <stp/>
        <stp>BDH|13813691274009290731</stp>
        <tr r="C18" s="3"/>
      </tp>
      <tp t="s">
        <v>#N/A N/A</v>
        <stp/>
        <stp>BDH|10817384266101762856</stp>
        <tr r="W9" s="4"/>
      </tp>
      <tp t="s">
        <v>#N/A N/A</v>
        <stp/>
        <stp>BDH|13577042087117608079</stp>
        <tr r="J21" s="4"/>
      </tp>
      <tp t="s">
        <v>#N/A N/A</v>
        <stp/>
        <stp>BDH|17322070577748364460</stp>
        <tr r="Y18" s="3"/>
      </tp>
      <tp t="s">
        <v>#N/A N/A</v>
        <stp/>
        <stp>BDH|17176727793166003365</stp>
        <tr r="X17" s="4"/>
      </tp>
      <tp t="s">
        <v>#N/A N/A</v>
        <stp/>
        <stp>BDH|14941183275239536781</stp>
        <tr r="Z10" s="3"/>
      </tp>
      <tp t="s">
        <v>#N/A N/A</v>
        <stp/>
        <stp>BDH|10662520890958981857</stp>
        <tr r="AM16" s="4"/>
      </tp>
      <tp t="s">
        <v>#N/A N/A</v>
        <stp/>
        <stp>BDH|12068377853771433982</stp>
        <tr r="M14" s="4"/>
      </tp>
      <tp t="s">
        <v>#N/A N/A</v>
        <stp/>
        <stp>BDH|13491990140051743317</stp>
        <tr r="Y7" s="3"/>
      </tp>
      <tp t="s">
        <v>#N/A N/A</v>
        <stp/>
        <stp>BDH|13830346095465413068</stp>
        <tr r="AA16" s="4"/>
      </tp>
      <tp t="s">
        <v>#N/A N/A</v>
        <stp/>
        <stp>BDH|13779065349449366203</stp>
        <tr r="F10" s="4"/>
      </tp>
      <tp t="s">
        <v>#N/A N/A</v>
        <stp/>
        <stp>BDH|15009558359851797818</stp>
        <tr r="AI20" s="4"/>
      </tp>
      <tp t="s">
        <v>#N/A N/A</v>
        <stp/>
        <stp>BDH|11676125427228077697</stp>
        <tr r="P9" s="4"/>
      </tp>
      <tp t="s">
        <v>#N/A N/A</v>
        <stp/>
        <stp>BDH|17233791200124712867</stp>
        <tr r="U20" s="3"/>
      </tp>
      <tp t="s">
        <v>#N/A N/A</v>
        <stp/>
        <stp>BDH|13297380606099623575</stp>
        <tr r="W8" s="4"/>
      </tp>
      <tp t="s">
        <v>#N/A N/A</v>
        <stp/>
        <stp>BDH|10793688960939500561</stp>
        <tr r="W21" s="3"/>
      </tp>
      <tp t="s">
        <v>#N/A N/A</v>
        <stp/>
        <stp>BDH|14082281542558228674</stp>
        <tr r="AH13" s="3"/>
      </tp>
      <tp t="s">
        <v>#N/A N/A</v>
        <stp/>
        <stp>BDH|15478881038061809326</stp>
        <tr r="F20" s="4"/>
      </tp>
      <tp t="s">
        <v>#N/A N/A</v>
        <stp/>
        <stp>BDH|12048530197422212084</stp>
        <tr r="L20" s="3"/>
      </tp>
      <tp t="s">
        <v>#N/A N/A</v>
        <stp/>
        <stp>BDP|10896339254803151854</stp>
        <tr r="AO13" s="2"/>
      </tp>
      <tp t="s">
        <v>#N/A N/A</v>
        <stp/>
        <stp>BDP|14852743965330238803</stp>
        <tr r="AD9" s="2"/>
      </tp>
      <tp t="s">
        <v>#N/A N/A</v>
        <stp/>
        <stp>BDP|12823918024532287637</stp>
        <tr r="J12" s="2"/>
      </tp>
      <tp t="s">
        <v>#N/A N/A</v>
        <stp/>
        <stp>BDP|17048933247812900534</stp>
        <tr r="AH13" s="2"/>
      </tp>
      <tp t="s">
        <v>#N/A N/A</v>
        <stp/>
        <stp>BDP|15322339169129860415</stp>
        <tr r="AJ10" s="2"/>
      </tp>
      <tp t="s">
        <v>#N/A N/A</v>
        <stp/>
        <stp>BDP|17835615478212201946</stp>
        <tr r="AN12" s="2"/>
      </tp>
      <tp t="s">
        <v>#N/A N/A</v>
        <stp/>
        <stp>BDH|18354173914106792363</stp>
        <tr r="K9" s="4"/>
      </tp>
      <tp t="s">
        <v>#N/A N/A</v>
        <stp/>
        <stp>BDH|11732273895137601033</stp>
        <tr r="P8" s="4"/>
      </tp>
      <tp t="s">
        <v>#N/A N/A</v>
        <stp/>
        <stp>BDH|10460794108839483310</stp>
        <tr r="AN9" s="3"/>
      </tp>
      <tp t="s">
        <v>#N/A N/A</v>
        <stp/>
        <stp>BDH|16634085699275115764</stp>
        <tr r="S14" s="3"/>
      </tp>
      <tp t="s">
        <v>#N/A N/A</v>
        <stp/>
        <stp>BDH|18414353870159544840</stp>
        <tr r="Z7" s="4"/>
      </tp>
      <tp t="s">
        <v>#N/A N/A</v>
        <stp/>
        <stp>BDH|13975503345817670886</stp>
        <tr r="T8" s="4"/>
      </tp>
      <tp t="s">
        <v>#N/A N/A</v>
        <stp/>
        <stp>BDH|17251841160541241566</stp>
        <tr r="H25" s="4"/>
      </tp>
      <tp t="s">
        <v>#N/A N/A</v>
        <stp/>
        <stp>BDH|16834615585751809413</stp>
        <tr r="N28" s="3"/>
      </tp>
      <tp t="s">
        <v>#N/A N/A</v>
        <stp/>
        <stp>BDH|17755090288284263611</stp>
        <tr r="I18" s="3"/>
      </tp>
      <tp t="s">
        <v>#N/A N/A</v>
        <stp/>
        <stp>BDH|13168934292046178842</stp>
        <tr r="L13" s="3"/>
      </tp>
      <tp t="s">
        <v>#N/A N/A</v>
        <stp/>
        <stp>BDH|18011356466836633615</stp>
        <tr r="V25" s="4"/>
      </tp>
      <tp t="s">
        <v>#N/A N/A</v>
        <stp/>
        <stp>BDH|13026934720546322341</stp>
        <tr r="T21" s="4"/>
      </tp>
      <tp t="s">
        <v>#N/A N/A</v>
        <stp/>
        <stp>BDH|17131911417696359406</stp>
        <tr r="AE20" s="4"/>
      </tp>
      <tp t="s">
        <v>#N/A N/A</v>
        <stp/>
        <stp>BDH|10496675792006570433</stp>
        <tr r="AL7" s="3"/>
      </tp>
      <tp t="s">
        <v>#N/A N/A</v>
        <stp/>
        <stp>BDH|12770309593132114722</stp>
        <tr r="AC26" s="3"/>
      </tp>
      <tp t="s">
        <v>#N/A N/A</v>
        <stp/>
        <stp>BDH|10030104283394172051</stp>
        <tr r="AF8" s="4"/>
      </tp>
      <tp t="s">
        <v>#N/A N/A</v>
        <stp/>
        <stp>BDH|11273873366841658335</stp>
        <tr r="AA17" s="4"/>
      </tp>
      <tp t="s">
        <v>#N/A N/A</v>
        <stp/>
        <stp>BDH|14356069812450874893</stp>
        <tr r="AP22" s="3"/>
      </tp>
      <tp t="s">
        <v>#N/A N/A</v>
        <stp/>
        <stp>BDH|12994538798062609123</stp>
        <tr r="AO16" s="3"/>
      </tp>
      <tp t="s">
        <v>#N/A N/A</v>
        <stp/>
        <stp>BDH|13965683201101577934</stp>
        <tr r="U7" s="3"/>
      </tp>
      <tp t="s">
        <v>#N/A N/A</v>
        <stp/>
        <stp>BDH|17320262549179445510</stp>
        <tr r="N18" s="4"/>
      </tp>
      <tp t="s">
        <v>#N/A N/A</v>
        <stp/>
        <stp>BDH|16404483349682840958</stp>
        <tr r="P26" s="3"/>
      </tp>
      <tp t="s">
        <v>#N/A N/A</v>
        <stp/>
        <stp>BDH|10389592187025608537</stp>
        <tr r="AA13" s="4"/>
      </tp>
      <tp t="s">
        <v>#N/A N/A</v>
        <stp/>
        <stp>BDH|16458662464243618886</stp>
        <tr r="F14" s="3"/>
      </tp>
      <tp t="s">
        <v>#N/A N/A</v>
        <stp/>
        <stp>BDH|14656292747726783979</stp>
        <tr r="Q21" s="4"/>
      </tp>
      <tp t="s">
        <v>#N/A N/A</v>
        <stp/>
        <stp>BDH|15332161022059734280</stp>
        <tr r="Y16" s="4"/>
      </tp>
      <tp t="s">
        <v>#N/A N/A</v>
        <stp/>
        <stp>BDH|16295541179740585921</stp>
        <tr r="Z13" s="4"/>
      </tp>
      <tp t="s">
        <v>#N/A N/A</v>
        <stp/>
        <stp>BDH|16204727358379348035</stp>
        <tr r="AA21" s="3"/>
      </tp>
      <tp t="s">
        <v>#N/A N/A</v>
        <stp/>
        <stp>BDH|17853046625640125802</stp>
        <tr r="AO18" s="3"/>
      </tp>
      <tp t="s">
        <v>#N/A N/A</v>
        <stp/>
        <stp>BDH|11274793306123039868</stp>
        <tr r="J20" s="3"/>
      </tp>
      <tp t="s">
        <v>#N/A N/A</v>
        <stp/>
        <stp>BDH|17218816919164857791</stp>
        <tr r="O9" s="4"/>
      </tp>
      <tp t="s">
        <v>#N/A N/A</v>
        <stp/>
        <stp>BDH|13795518629749517011</stp>
        <tr r="H10" s="4"/>
      </tp>
      <tp t="s">
        <v>#N/A N/A</v>
        <stp/>
        <stp>BDH|14750091623868112379</stp>
        <tr r="AJ17" s="3"/>
      </tp>
      <tp t="s">
        <v>#N/A N/A</v>
        <stp/>
        <stp>BDH|17947175993593661161</stp>
        <tr r="E9" s="3"/>
      </tp>
      <tp t="s">
        <v>#N/A N/A</v>
        <stp/>
        <stp>BDH|13164902169447513613</stp>
        <tr r="AJ25" s="4"/>
      </tp>
      <tp t="s">
        <v>#N/A N/A</v>
        <stp/>
        <stp>BDH|16420174566579316595</stp>
        <tr r="H21" s="3"/>
      </tp>
      <tp t="s">
        <v>#N/A N/A</v>
        <stp/>
        <stp>BDH|18389620178524635014</stp>
        <tr r="M17" s="4"/>
      </tp>
      <tp t="s">
        <v>#N/A N/A</v>
        <stp/>
        <stp>BDH|11883057290415117023</stp>
        <tr r="I21" s="4"/>
      </tp>
      <tp t="s">
        <v>#N/A N/A</v>
        <stp/>
        <stp>BDH|11788202819786144915</stp>
        <tr r="AD21" s="4"/>
      </tp>
      <tp t="s">
        <v>#N/A N/A</v>
        <stp/>
        <stp>BDP|11196474162474849557</stp>
        <tr r="W9" s="2"/>
      </tp>
      <tp t="s">
        <v>#N/A N/A</v>
        <stp/>
        <stp>BDP|12004240773496666398</stp>
        <tr r="C17" s="2"/>
      </tp>
      <tp t="s">
        <v>#N/A N/A</v>
        <stp/>
        <stp>BDP|12941691376332019341</stp>
        <tr r="Q13" s="2"/>
      </tp>
      <tp t="s">
        <v>#N/A N/A</v>
        <stp/>
        <stp>BDP|15240271724307318079</stp>
        <tr r="T16" s="2"/>
      </tp>
      <tp t="s">
        <v>#N/A N/A</v>
        <stp/>
        <stp>BDP|12506271903697507510</stp>
        <tr r="AG16" s="2"/>
      </tp>
      <tp t="s">
        <v>#N/A N/A</v>
        <stp/>
        <stp>BDP|13576775132537360245</stp>
        <tr r="D13" s="2"/>
      </tp>
      <tp t="s">
        <v>#N/A N/A</v>
        <stp/>
        <stp>BDH|12887529382348804518</stp>
        <tr r="J12" s="3"/>
      </tp>
      <tp t="s">
        <v>#N/A N/A</v>
        <stp/>
        <stp>BDH|13763466885878167557</stp>
        <tr r="N6" s="3"/>
      </tp>
      <tp t="s">
        <v>#N/A N/A</v>
        <stp/>
        <stp>BDH|11230124674837657229</stp>
        <tr r="S8" s="4"/>
      </tp>
      <tp t="s">
        <v>#N/A N/A</v>
        <stp/>
        <stp>BDH|17162371047782476050</stp>
        <tr r="K8" s="3"/>
      </tp>
      <tp t="s">
        <v>#N/A N/A</v>
        <stp/>
        <stp>BDH|14489916882165472205</stp>
        <tr r="AK17" s="4"/>
      </tp>
      <tp t="s">
        <v>#N/A N/A</v>
        <stp/>
        <stp>BDH|10579863981232679070</stp>
        <tr r="AE7" s="4"/>
      </tp>
      <tp t="s">
        <v>#N/A N/A</v>
        <stp/>
        <stp>BDH|13656203094778523242</stp>
        <tr r="AN21" s="3"/>
      </tp>
      <tp t="s">
        <v>#N/A N/A</v>
        <stp/>
        <stp>BDH|15570723634907741468</stp>
        <tr r="AI20" s="3"/>
      </tp>
      <tp t="s">
        <v>#N/A N/A</v>
        <stp/>
        <stp>BDH|11324491198617669918</stp>
        <tr r="AF9" s="3"/>
      </tp>
      <tp t="s">
        <v>#N/A N/A</v>
        <stp/>
        <stp>BDH|16310068448233898308</stp>
        <tr r="M24" s="4"/>
      </tp>
      <tp t="s">
        <v>#N/A N/A</v>
        <stp/>
        <stp>BDH|16660259646577810585</stp>
        <tr r="N8" s="3"/>
      </tp>
      <tp t="s">
        <v>#N/A N/A</v>
        <stp/>
        <stp>BDH|15922188961522105242</stp>
        <tr r="AA20" s="3"/>
      </tp>
      <tp t="s">
        <v>#N/A N/A</v>
        <stp/>
        <stp>BDH|11042025874425757142</stp>
        <tr r="AP16" s="3"/>
      </tp>
      <tp t="s">
        <v>#N/A N/A</v>
        <stp/>
        <stp>BDH|11052153889563973900</stp>
        <tr r="F12" s="3"/>
      </tp>
      <tp t="s">
        <v>#N/A N/A</v>
        <stp/>
        <stp>BDH|13605720305542579409</stp>
        <tr r="U19" s="4"/>
      </tp>
      <tp t="s">
        <v>#N/A N/A</v>
        <stp/>
        <stp>BDH|13074202368437980250</stp>
        <tr r="AA7" s="3"/>
      </tp>
      <tp t="s">
        <v>#N/A N/A</v>
        <stp/>
        <stp>BDH|13050336712330529303</stp>
        <tr r="AL13" s="3"/>
      </tp>
      <tp t="s">
        <v>#N/A N/A</v>
        <stp/>
        <stp>BDH|10318062096322090978</stp>
        <tr r="AM6" s="3"/>
      </tp>
      <tp t="s">
        <v>#N/A N/A</v>
        <stp/>
        <stp>BDH|13450097620341809216</stp>
        <tr r="AA9" s="3"/>
      </tp>
      <tp t="s">
        <v>#N/A N/A</v>
        <stp/>
        <stp>BDH|18334168113013259934</stp>
        <tr r="Q17" s="3"/>
      </tp>
      <tp t="s">
        <v>#N/A N/A</v>
        <stp/>
        <stp>BDH|17223554338811874209</stp>
        <tr r="D24" s="4"/>
      </tp>
      <tp t="s">
        <v>#N/A N/A</v>
        <stp/>
        <stp>BDH|16103526232553210158</stp>
        <tr r="AE9" s="3"/>
      </tp>
      <tp t="s">
        <v>#N/A N/A</v>
        <stp/>
        <stp>BDH|10663485308885639362</stp>
        <tr r="AJ19" s="4"/>
      </tp>
      <tp t="s">
        <v>#N/A N/A</v>
        <stp/>
        <stp>BDH|14748282928976662070</stp>
        <tr r="AI16" s="3"/>
      </tp>
      <tp t="s">
        <v>#N/A N/A</v>
        <stp/>
        <stp>BDH|18070910946331433652</stp>
        <tr r="AG12" s="3"/>
      </tp>
      <tp t="s">
        <v>#N/A N/A</v>
        <stp/>
        <stp>BDH|14017126050916808437</stp>
        <tr r="AI24" s="4"/>
      </tp>
      <tp t="s">
        <v>#N/A N/A</v>
        <stp/>
        <stp>BDH|14708086813722209578</stp>
        <tr r="H13" s="4"/>
      </tp>
      <tp t="s">
        <v>#N/A N/A</v>
        <stp/>
        <stp>BDH|16954679686509771368</stp>
        <tr r="N13" s="3"/>
      </tp>
      <tp t="s">
        <v>#N/A N/A</v>
        <stp/>
        <stp>BDH|15969749352492667717</stp>
        <tr r="Y13" s="4"/>
      </tp>
      <tp t="s">
        <v>#N/A N/A</v>
        <stp/>
        <stp>BDH|18445231582945876554</stp>
        <tr r="AO24" s="4"/>
      </tp>
      <tp t="s">
        <v>#N/A N/A</v>
        <stp/>
        <stp>BDH|17501568810394816536</stp>
        <tr r="P25" s="4"/>
      </tp>
      <tp t="s">
        <v>#N/A N/A</v>
        <stp/>
        <stp>BDH|11287299513383380338</stp>
        <tr r="AE28" s="3"/>
      </tp>
      <tp t="s">
        <v>#N/A N/A</v>
        <stp/>
        <stp>BDH|12768432675643949034</stp>
        <tr r="V24" s="4"/>
      </tp>
      <tp t="s">
        <v>#N/A N/A</v>
        <stp/>
        <stp>BDH|11492438218167072142</stp>
        <tr r="I17" s="4"/>
      </tp>
      <tp t="s">
        <v>#N/A N/A</v>
        <stp/>
        <stp>BDH|10474583844873248000</stp>
        <tr r="M14" s="3"/>
      </tp>
      <tp t="s">
        <v>#N/A N/A</v>
        <stp/>
        <stp>BDH|15325703078431605679</stp>
        <tr r="Z13" s="3"/>
      </tp>
      <tp t="s">
        <v>#N/A N/A</v>
        <stp/>
        <stp>BDH|10300586526225378044</stp>
        <tr r="AN8" s="3"/>
      </tp>
      <tp t="s">
        <v>#N/A N/A</v>
        <stp/>
        <stp>BDH|17883578508736560685</stp>
        <tr r="AH9" s="3"/>
      </tp>
      <tp t="s">
        <v>#N/A N/A</v>
        <stp/>
        <stp>BDH|16491745216745941720</stp>
        <tr r="S25" s="3"/>
      </tp>
      <tp t="s">
        <v>#N/A N/A</v>
        <stp/>
        <stp>BDH|13855509804975933190</stp>
        <tr r="V20" s="3"/>
      </tp>
      <tp t="s">
        <v>#N/A N/A</v>
        <stp/>
        <stp>BDH|16643213032654907107</stp>
        <tr r="AK22" s="3"/>
      </tp>
      <tp t="s">
        <v>#N/A N/A</v>
        <stp/>
        <stp>BDH|15606397536407243072</stp>
        <tr r="I18" s="4"/>
      </tp>
      <tp t="s">
        <v>#N/A N/A</v>
        <stp/>
        <stp>BDH|11213646205843414685</stp>
        <tr r="H17" s="3"/>
      </tp>
      <tp t="s">
        <v>#N/A N/A</v>
        <stp/>
        <stp>BDH|16954404205071540168</stp>
        <tr r="G21" s="4"/>
      </tp>
      <tp t="s">
        <v>#N/A N/A</v>
        <stp/>
        <stp>BDH|14799721348344393105</stp>
        <tr r="AP21" s="4"/>
      </tp>
      <tp t="s">
        <v>#N/A N/A</v>
        <stp/>
        <stp>BDH|11820837490386756427</stp>
        <tr r="AP26" s="3"/>
      </tp>
      <tp t="s">
        <v>#N/A N/A</v>
        <stp/>
        <stp>BDP|14535717035272884121</stp>
        <tr r="R12" s="2"/>
      </tp>
      <tp t="s">
        <v>#N/A N/A</v>
        <stp/>
        <stp>BDP|15405073961198883876</stp>
        <tr r="J9" s="2"/>
      </tp>
      <tp t="s">
        <v>#N/A N/A</v>
        <stp/>
        <stp>BDP|10776553083557483996</stp>
        <tr r="F13" s="2"/>
      </tp>
      <tp t="s">
        <v>#N/A N/A</v>
        <stp/>
        <stp>BDP|15693119672638679820</stp>
        <tr r="J10" s="2"/>
      </tp>
      <tp t="s">
        <v>#N/A N/A</v>
        <stp/>
        <stp>BDP|16996184074083427019</stp>
        <tr r="AN17" s="2"/>
      </tp>
      <tp t="s">
        <v>#N/A N/A</v>
        <stp/>
        <stp>BDP|15242705615964360479</stp>
        <tr r="AB12" s="2"/>
      </tp>
      <tp t="s">
        <v>#N/A N/A</v>
        <stp/>
        <stp>BDP|12156603963185567422</stp>
        <tr r="S16" s="2"/>
      </tp>
      <tp t="s">
        <v>#N/A N/A</v>
        <stp/>
        <stp>BDP|18092128691577245468</stp>
        <tr r="AB17" s="2"/>
      </tp>
      <tp t="s">
        <v>#N/A N/A</v>
        <stp/>
        <stp>BDP|13181350676791709530</stp>
        <tr r="AG9" s="2"/>
      </tp>
      <tp t="s">
        <v>#N/A N/A</v>
        <stp/>
        <stp>BDP|14040449962725357031</stp>
        <tr r="M12" s="2"/>
      </tp>
      <tp t="s">
        <v>#N/A N/A</v>
        <stp/>
        <stp>BDH|10410371506525215569</stp>
        <tr r="L21" s="3"/>
      </tp>
      <tp t="s">
        <v>#N/A N/A</v>
        <stp/>
        <stp>BDH|17944919131727838916</stp>
        <tr r="C9" s="3"/>
      </tp>
      <tp t="s">
        <v>#N/A N/A</v>
        <stp/>
        <stp>BDH|15508996193483605591</stp>
        <tr r="H24" s="3"/>
      </tp>
      <tp t="s">
        <v>#N/A N/A</v>
        <stp/>
        <stp>BDH|14887843049489226279</stp>
        <tr r="AE21" s="3"/>
      </tp>
      <tp t="s">
        <v>#N/A N/A</v>
        <stp/>
        <stp>BDH|11642211570433123458</stp>
        <tr r="AA26" s="4"/>
      </tp>
      <tp t="s">
        <v>#N/A N/A</v>
        <stp/>
        <stp>BDH|10417876203919432276</stp>
        <tr r="AF14" s="3"/>
      </tp>
      <tp t="s">
        <v>#N/A N/A</v>
        <stp/>
        <stp>BDH|10369354072944512327</stp>
        <tr r="AB21" s="4"/>
      </tp>
      <tp t="s">
        <v>#N/A N/A</v>
        <stp/>
        <stp>BDH|11346022215730383348</stp>
        <tr r="AG22" s="3"/>
      </tp>
      <tp t="s">
        <v>#N/A N/A</v>
        <stp/>
        <stp>BDH|17332544609319590897</stp>
        <tr r="Q26" s="3"/>
      </tp>
      <tp t="s">
        <v>#N/A N/A</v>
        <stp/>
        <stp>BDH|15558589265314950135</stp>
        <tr r="S13" s="4"/>
      </tp>
      <tp t="s">
        <v>#N/A N/A</v>
        <stp/>
        <stp>BDH|14619135555451780256</stp>
        <tr r="AN25" s="4"/>
      </tp>
      <tp t="s">
        <v>#N/A N/A</v>
        <stp/>
        <stp>BDH|13123878747275320909</stp>
        <tr r="K24" s="4"/>
      </tp>
      <tp t="s">
        <v>#N/A N/A</v>
        <stp/>
        <stp>BDH|12902784203071750771</stp>
        <tr r="AB10" s="4"/>
      </tp>
      <tp t="s">
        <v>#N/A N/A</v>
        <stp/>
        <stp>BDH|18030943174955011052</stp>
        <tr r="M19" s="4"/>
      </tp>
      <tp t="s">
        <v>#N/A N/A</v>
        <stp/>
        <stp>BDH|17697889991062291780</stp>
        <tr r="E21" s="3"/>
      </tp>
      <tp t="s">
        <v>#N/A N/A</v>
        <stp/>
        <stp>BDH|16672528630561637271</stp>
        <tr r="U24" s="3"/>
      </tp>
      <tp t="s">
        <v>#N/A N/A</v>
        <stp/>
        <stp>BDH|13152045515877506605</stp>
        <tr r="AD24" s="3"/>
      </tp>
      <tp t="s">
        <v>#N/A N/A</v>
        <stp/>
        <stp>BDH|13536028421026013437</stp>
        <tr r="AI18" s="3"/>
      </tp>
      <tp t="s">
        <v>#N/A N/A</v>
        <stp/>
        <stp>BDH|11319875585594218678</stp>
        <tr r="AN20" s="3"/>
      </tp>
      <tp t="s">
        <v>#N/A N/A</v>
        <stp/>
        <stp>BDH|14167456851817669170</stp>
        <tr r="T25" s="4"/>
      </tp>
      <tp t="s">
        <v>#N/A N/A</v>
        <stp/>
        <stp>BDH|17269953359251995915</stp>
        <tr r="AG9" s="4"/>
      </tp>
      <tp t="s">
        <v>#N/A N/A</v>
        <stp/>
        <stp>BDH|11489511277287631725</stp>
        <tr r="AL28" s="3"/>
      </tp>
      <tp t="s">
        <v>#N/A N/A</v>
        <stp/>
        <stp>BDH|17413387231746815230</stp>
        <tr r="I10" s="4"/>
      </tp>
      <tp t="s">
        <v>#N/A N/A</v>
        <stp/>
        <stp>BDH|10548542319076917170</stp>
        <tr r="R18" s="4"/>
      </tp>
      <tp t="s">
        <v>#N/A N/A</v>
        <stp/>
        <stp>BDH|18419257515201347917</stp>
        <tr r="P22" s="3"/>
      </tp>
      <tp t="s">
        <v>#N/A N/A</v>
        <stp/>
        <stp>BDH|11876139239368868835</stp>
        <tr r="D8" s="3"/>
      </tp>
      <tp t="s">
        <v>#N/A N/A</v>
        <stp/>
        <stp>BDH|11886114275597523307</stp>
        <tr r="I19" s="4"/>
      </tp>
      <tp t="s">
        <v>#N/A N/A</v>
        <stp/>
        <stp>BDH|16885679944627528070</stp>
        <tr r="AO12" s="3"/>
      </tp>
      <tp t="s">
        <v>#N/A N/A</v>
        <stp/>
        <stp>BDH|15898092679259331801</stp>
        <tr r="Q25" s="4"/>
      </tp>
      <tp t="s">
        <v>#N/A N/A</v>
        <stp/>
        <stp>BDH|16193487373437916189</stp>
        <tr r="W20" s="4"/>
      </tp>
      <tp t="s">
        <v>#N/A N/A</v>
        <stp/>
        <stp>BDH|14558384765220175225</stp>
        <tr r="AE17" s="3"/>
      </tp>
      <tp t="s">
        <v>#N/A N/A</v>
        <stp/>
        <stp>BDH|18197907575335713089</stp>
        <tr r="N8" s="4"/>
      </tp>
      <tp t="s">
        <v>#N/A N/A</v>
        <stp/>
        <stp>BDH|16910812291730361409</stp>
        <tr r="AN26" s="3"/>
      </tp>
      <tp t="s">
        <v>#N/A N/A</v>
        <stp/>
        <stp>BDH|16863387637236957348</stp>
        <tr r="M20" s="3"/>
      </tp>
      <tp t="s">
        <v>#N/A N/A</v>
        <stp/>
        <stp>BDH|14812074074993723363</stp>
        <tr r="G10" s="3"/>
      </tp>
      <tp t="s">
        <v>#N/A N/A</v>
        <stp/>
        <stp>BDH|17176891764959687303</stp>
        <tr r="AO26" s="4"/>
      </tp>
      <tp t="s">
        <v>#N/A N/A</v>
        <stp/>
        <stp>BDH|11336898143219352767</stp>
        <tr r="N10" s="4"/>
      </tp>
      <tp t="s">
        <v>#N/A N/A</v>
        <stp/>
        <stp>BDH|11899613304431355521</stp>
        <tr r="M12" s="3"/>
      </tp>
      <tp t="s">
        <v>#N/A N/A</v>
        <stp/>
        <stp>BDH|10836745677797009471</stp>
        <tr r="M13" s="3"/>
      </tp>
      <tp t="s">
        <v>#N/A N/A</v>
        <stp/>
        <stp>BDH|17399568336383700184</stp>
        <tr r="H9" s="4"/>
      </tp>
      <tp t="s">
        <v>#N/A N/A</v>
        <stp/>
        <stp>BDH|17928146543532864393</stp>
        <tr r="L24" s="4"/>
      </tp>
      <tp t="s">
        <v>#N/A N/A</v>
        <stp/>
        <stp>BDH|15794961277449005181</stp>
        <tr r="V25" s="3"/>
      </tp>
      <tp t="s">
        <v>#N/A N/A</v>
        <stp/>
        <stp>BDP|12913702371807250516</stp>
        <tr r="F16" s="2"/>
      </tp>
      <tp t="s">
        <v>#N/A N/A</v>
        <stp/>
        <stp>BDP|12278041235453658297</stp>
        <tr r="AE13" s="2"/>
      </tp>
      <tp t="s">
        <v>#N/A N/A</v>
        <stp/>
        <stp>BDP|12911971230900664885</stp>
        <tr r="K12" s="2"/>
      </tp>
      <tp t="s">
        <v>#N/A N/A</v>
        <stp/>
        <stp>BDP|17117073905667940083</stp>
        <tr r="C9" s="2"/>
      </tp>
      <tp t="s">
        <v>#N/A N/A</v>
        <stp/>
        <stp>BDP|11130702143975369743</stp>
        <tr r="AJ12" s="2"/>
      </tp>
      <tp t="s">
        <v>#N/A N/A</v>
        <stp/>
        <stp>BDP|10405302192778440263</stp>
        <tr r="H10" s="2"/>
      </tp>
      <tp t="s">
        <v>#N/A N/A</v>
        <stp/>
        <stp>BDH|15752692749613324458</stp>
        <tr r="J16" s="4"/>
      </tp>
      <tp t="s">
        <v>#N/A N/A</v>
        <stp/>
        <stp>BDH|11995549758354444506</stp>
        <tr r="AB14" s="4"/>
      </tp>
      <tp t="s">
        <v>#N/A N/A</v>
        <stp/>
        <stp>BDH|13540270644125263053</stp>
        <tr r="AH14" s="4"/>
      </tp>
      <tp t="s">
        <v>#N/A N/A</v>
        <stp/>
        <stp>BDH|12752000088343625984</stp>
        <tr r="T10" s="4"/>
      </tp>
      <tp t="s">
        <v>#N/A N/A</v>
        <stp/>
        <stp>BDH|13841966134180910926</stp>
        <tr r="I26" s="4"/>
      </tp>
      <tp t="s">
        <v>#N/A N/A</v>
        <stp/>
        <stp>BDH|14767226072423085271</stp>
        <tr r="AI25" s="3"/>
      </tp>
      <tp t="s">
        <v>#N/A N/A</v>
        <stp/>
        <stp>BDH|17138370273430640333</stp>
        <tr r="M16" s="3"/>
      </tp>
      <tp t="s">
        <v>#N/A N/A</v>
        <stp/>
        <stp>BDH|12016213531832135129</stp>
        <tr r="AB19" s="4"/>
      </tp>
      <tp t="s">
        <v>#N/A N/A</v>
        <stp/>
        <stp>BDH|13403658605272708711</stp>
        <tr r="O13" s="4"/>
      </tp>
      <tp t="s">
        <v>#N/A N/A</v>
        <stp/>
        <stp>BDH|12250714060126608578</stp>
        <tr r="AI8" s="3"/>
      </tp>
      <tp t="s">
        <v>#N/A N/A</v>
        <stp/>
        <stp>BDH|11522449930771198757</stp>
        <tr r="O25" s="3"/>
      </tp>
      <tp t="s">
        <v>#N/A N/A</v>
        <stp/>
        <stp>BDH|14944381678041522196</stp>
        <tr r="C21" s="3"/>
      </tp>
      <tp t="s">
        <v>#N/A N/A</v>
        <stp/>
        <stp>BDH|18168473674029171272</stp>
        <tr r="I7" s="4"/>
      </tp>
      <tp t="s">
        <v>#N/A N/A</v>
        <stp/>
        <stp>BDH|12234576762009241821</stp>
        <tr r="Y9" s="3"/>
      </tp>
      <tp t="s">
        <v>#N/A N/A</v>
        <stp/>
        <stp>BDH|16735206167921744311</stp>
        <tr r="S8" s="3"/>
      </tp>
      <tp t="s">
        <v>#N/A N/A</v>
        <stp/>
        <stp>BDH|12181899138849628005</stp>
        <tr r="AJ6" s="3"/>
      </tp>
      <tp t="s">
        <v>#N/A N/A</v>
        <stp/>
        <stp>BDH|14396242139950044588</stp>
        <tr r="AJ21" s="3"/>
      </tp>
      <tp t="s">
        <v>#N/A N/A</v>
        <stp/>
        <stp>BDH|15109423689681866841</stp>
        <tr r="Y12" s="3"/>
      </tp>
      <tp t="s">
        <v>#N/A N/A</v>
        <stp/>
        <stp>BDH|17661803087087023072</stp>
        <tr r="G12" s="3"/>
      </tp>
      <tp t="s">
        <v>#N/A N/A</v>
        <stp/>
        <stp>BDH|18064776015037159951</stp>
        <tr r="O8" s="4"/>
      </tp>
      <tp t="s">
        <v>#N/A N/A</v>
        <stp/>
        <stp>BDH|17012708529726671461</stp>
        <tr r="AB25" s="3"/>
      </tp>
      <tp t="s">
        <v>#N/A N/A</v>
        <stp/>
        <stp>BDH|18381827864645812346</stp>
        <tr r="AM20" s="4"/>
      </tp>
      <tp t="s">
        <v>#N/A N/A</v>
        <stp/>
        <stp>BDH|17965460730883744307</stp>
        <tr r="AC16" s="4"/>
      </tp>
      <tp t="s">
        <v>#N/A N/A</v>
        <stp/>
        <stp>BDH|13806467739100686492</stp>
        <tr r="I7" s="3"/>
      </tp>
      <tp t="s">
        <v>#N/A N/A</v>
        <stp/>
        <stp>BDH|15261346419335036246</stp>
        <tr r="AD9" s="3"/>
      </tp>
      <tp t="s">
        <v>#N/A N/A</v>
        <stp/>
        <stp>BDH|15327354672555859468</stp>
        <tr r="J22" s="3"/>
      </tp>
      <tp t="s">
        <v>#N/A N/A</v>
        <stp/>
        <stp>BDH|10931848143969356509</stp>
        <tr r="AL14" s="3"/>
      </tp>
      <tp t="s">
        <v>#N/A N/A</v>
        <stp/>
        <stp>BDH|11756419755340724085</stp>
        <tr r="AD16" s="4"/>
      </tp>
      <tp t="s">
        <v>#N/A N/A</v>
        <stp/>
        <stp>BDH|17549812998520675667</stp>
        <tr r="S16" s="3"/>
      </tp>
      <tp t="s">
        <v>#N/A N/A</v>
        <stp/>
        <stp>BDH|14834080905465972102</stp>
        <tr r="V7" s="3"/>
      </tp>
      <tp t="s">
        <v>#N/A N/A</v>
        <stp/>
        <stp>BDH|10105287892939066279</stp>
        <tr r="AA18" s="4"/>
      </tp>
      <tp t="s">
        <v>#N/A N/A</v>
        <stp/>
        <stp>BDH|16749708541711947406</stp>
        <tr r="U9" s="3"/>
      </tp>
      <tp t="s">
        <v>#N/A N/A</v>
        <stp/>
        <stp>BDH|15265899672959292353</stp>
        <tr r="K21" s="4"/>
      </tp>
      <tp t="s">
        <v>#N/A N/A</v>
        <stp/>
        <stp>BDH|10334211705110165287</stp>
        <tr r="AB9" s="4"/>
      </tp>
      <tp t="s">
        <v>#N/A N/A</v>
        <stp/>
        <stp>BDH|11824621511957212179</stp>
        <tr r="AI24" s="3"/>
      </tp>
      <tp t="s">
        <v>#N/A N/A</v>
        <stp/>
        <stp>BDH|17054633435366179495</stp>
        <tr r="F18" s="4"/>
      </tp>
      <tp t="s">
        <v>#N/A N/A</v>
        <stp/>
        <stp>BDH|16344592942467434025</stp>
        <tr r="D16" s="3"/>
      </tp>
    </main>
    <main first="bofaddin.rtdserver">
      <tp t="s">
        <v>#N/A N/A</v>
        <stp/>
        <stp>BDP|10307400194398945458</stp>
        <tr r="P10" s="2"/>
      </tp>
      <tp t="s">
        <v>#N/A N/A</v>
        <stp/>
        <stp>BDP|15379406558170499504</stp>
        <tr r="T9" s="2"/>
      </tp>
    </main>
    <main first="bofaddin.rtdserver">
      <tp t="s">
        <v>#N/A N/A</v>
        <stp/>
        <stp>BDP|17233253635961701668</stp>
        <tr r="E13" s="2"/>
      </tp>
      <tp t="s">
        <v>#N/A N/A</v>
        <stp/>
        <stp>BDP|15243375427624002175</stp>
        <tr r="K10" s="2"/>
      </tp>
      <tp t="s">
        <v>#N/A N/A</v>
        <stp/>
        <stp>BDP|16503908390456765178</stp>
        <tr r="AA12" s="2"/>
      </tp>
      <tp t="s">
        <v>#N/A N/A</v>
        <stp/>
        <stp>BDP|12260844334859351167</stp>
        <tr r="AI17" s="2"/>
      </tp>
      <tp t="s">
        <v>#N/A N/A</v>
        <stp/>
        <stp>BDH|10211724171992017307</stp>
        <tr r="J14" s="4"/>
      </tp>
      <tp t="s">
        <v>#N/A N/A</v>
        <stp/>
        <stp>BDH|16038645507062488366</stp>
        <tr r="AP21" s="3"/>
      </tp>
      <tp t="s">
        <v>#N/A N/A</v>
        <stp/>
        <stp>BDH|10443318177447351201</stp>
        <tr r="L8" s="3"/>
      </tp>
      <tp t="s">
        <v>#N/A N/A</v>
        <stp/>
        <stp>BDH|16180595200906028492</stp>
        <tr r="AG21" s="4"/>
      </tp>
      <tp t="s">
        <v>#N/A N/A</v>
        <stp/>
        <stp>BDH|17749583229923235247</stp>
        <tr r="J6" s="3"/>
      </tp>
      <tp t="s">
        <v>#N/A N/A</v>
        <stp/>
        <stp>BDH|16623714657262589750</stp>
        <tr r="G28" s="3"/>
      </tp>
      <tp t="s">
        <v>#N/A N/A</v>
        <stp/>
        <stp>BDH|17618021664426560655</stp>
        <tr r="AA9" s="4"/>
      </tp>
      <tp t="s">
        <v>#N/A N/A</v>
        <stp/>
        <stp>BDH|17913396052643365328</stp>
        <tr r="AH10" s="3"/>
      </tp>
      <tp t="s">
        <v>#N/A N/A</v>
        <stp/>
        <stp>BDH|16059317632376462146</stp>
        <tr r="P21" s="3"/>
      </tp>
      <tp t="s">
        <v>#N/A N/A</v>
        <stp/>
        <stp>BDH|16270665908615720486</stp>
        <tr r="M26" s="4"/>
      </tp>
      <tp t="s">
        <v>#N/A N/A</v>
        <stp/>
        <stp>BDH|17316902002119020625</stp>
        <tr r="D20" s="3"/>
      </tp>
      <tp t="s">
        <v>#N/A N/A</v>
        <stp/>
        <stp>BDH|10914019649120580568</stp>
        <tr r="R13" s="4"/>
      </tp>
      <tp t="s">
        <v>#N/A N/A</v>
        <stp/>
        <stp>BDH|14332202124531381460</stp>
        <tr r="G13" s="3"/>
      </tp>
      <tp t="s">
        <v>#N/A N/A</v>
        <stp/>
        <stp>BDH|14632961937446034956</stp>
        <tr r="AM17" s="3"/>
      </tp>
      <tp t="s">
        <v>#N/A N/A</v>
        <stp/>
        <stp>BDH|17081966871341464919</stp>
        <tr r="AG10" s="3"/>
      </tp>
      <tp t="s">
        <v>#N/A N/A</v>
        <stp/>
        <stp>BDH|14244126313123174604</stp>
        <tr r="T25" s="3"/>
      </tp>
      <tp t="s">
        <v>#N/A N/A</v>
        <stp/>
        <stp>BDH|16003975915016409940</stp>
        <tr r="S19" s="4"/>
      </tp>
      <tp t="s">
        <v>#N/A N/A</v>
        <stp/>
        <stp>BDH|12093001702761056278</stp>
        <tr r="E7" s="3"/>
      </tp>
      <tp t="s">
        <v>#N/A N/A</v>
        <stp/>
        <stp>BDH|15719039649959031991</stp>
        <tr r="X16" s="3"/>
      </tp>
      <tp t="s">
        <v>#N/A N/A</v>
        <stp/>
        <stp>BDH|15171711673744628013</stp>
        <tr r="AD28" s="3"/>
      </tp>
      <tp t="s">
        <v>#N/A N/A</v>
        <stp/>
        <stp>BDH|15698726762087210234</stp>
        <tr r="AJ10" s="3"/>
      </tp>
      <tp t="s">
        <v>#N/A N/A</v>
        <stp/>
        <stp>BDH|12392651170891784360</stp>
        <tr r="AF19" s="4"/>
      </tp>
      <tp t="s">
        <v>#N/A N/A</v>
        <stp/>
        <stp>BDH|11469931067926301953</stp>
        <tr r="AC17" s="4"/>
      </tp>
      <tp t="s">
        <v>#N/A N/A</v>
        <stp/>
        <stp>BDH|10573048502272205370</stp>
        <tr r="W28" s="3"/>
      </tp>
      <tp t="s">
        <v>#N/A N/A</v>
        <stp/>
        <stp>BDH|15421911843208727172</stp>
        <tr r="F21" s="3"/>
      </tp>
      <tp t="s">
        <v>#N/A N/A</v>
        <stp/>
        <stp>BDH|17530302305585156077</stp>
        <tr r="X20" s="4"/>
      </tp>
      <tp t="s">
        <v>#N/A N/A</v>
        <stp/>
        <stp>BDH|14665009812546965246</stp>
        <tr r="H18" s="4"/>
      </tp>
      <tp t="s">
        <v>#N/A N/A</v>
        <stp/>
        <stp>BDH|12129532765533745398</stp>
        <tr r="AK19" s="4"/>
      </tp>
      <tp t="s">
        <v>#N/A N/A</v>
        <stp/>
        <stp>BDH|14189185457031029061</stp>
        <tr r="V18" s="3"/>
      </tp>
      <tp t="s">
        <v>#N/A N/A</v>
        <stp/>
        <stp>BDH|10241908899548797942</stp>
        <tr r="AG17" s="3"/>
      </tp>
      <tp t="s">
        <v>#N/A N/A</v>
        <stp/>
        <stp>BDH|13779518839487381346</stp>
        <tr r="S12" s="3"/>
      </tp>
      <tp t="s">
        <v>#N/A N/A</v>
        <stp/>
        <stp>BDH|14249157404577867303</stp>
        <tr r="G7" s="3"/>
      </tp>
      <tp t="s">
        <v>#N/A N/A</v>
        <stp/>
        <stp>BDH|16337303009341708565</stp>
        <tr r="AC25" s="3"/>
      </tp>
      <tp t="s">
        <v>#N/A N/A</v>
        <stp/>
        <stp>BDH|11389606277692673384</stp>
        <tr r="R7" s="3"/>
      </tp>
      <tp t="s">
        <v>#N/A N/A</v>
        <stp/>
        <stp>BDH|18036070494634889419</stp>
        <tr r="AM28" s="3"/>
      </tp>
      <tp t="s">
        <v>#N/A N/A</v>
        <stp/>
        <stp>BDH|12348831308973311867</stp>
        <tr r="D17" s="4"/>
      </tp>
      <tp t="s">
        <v>#N/A N/A</v>
        <stp/>
        <stp>BDH|12481013879056915280</stp>
        <tr r="AB16" s="4"/>
      </tp>
      <tp t="s">
        <v>#N/A N/A</v>
        <stp/>
        <stp>BDH|16899341645047767730</stp>
        <tr r="F9" s="4"/>
      </tp>
      <tp t="s">
        <v>#N/A N/A</v>
        <stp/>
        <stp>BDH|14362635936046859631</stp>
        <tr r="AG18" s="3"/>
      </tp>
      <tp t="s">
        <v>#N/A N/A</v>
        <stp/>
        <stp>BDH|14396745449615733366</stp>
        <tr r="AJ26" s="4"/>
      </tp>
      <tp t="s">
        <v>#N/A N/A</v>
        <stp/>
        <stp>BDH|10125883858495868977</stp>
        <tr r="AM21" s="3"/>
      </tp>
      <tp t="s">
        <v>#N/A N/A</v>
        <stp/>
        <stp>BDP|12200987699303329789</stp>
        <tr r="AE16" s="2"/>
      </tp>
      <tp t="s">
        <v>#N/A N/A</v>
        <stp/>
        <stp>BDP|17943339169052015686</stp>
        <tr r="E9" s="2"/>
      </tp>
      <tp t="s">
        <v>#N/A N/A</v>
        <stp/>
        <stp>BDP|17368543058435496456</stp>
        <tr r="N16" s="2"/>
      </tp>
      <tp t="s">
        <v>#N/A N/A</v>
        <stp/>
        <stp>BDP|12886222284247468997</stp>
        <tr r="AJ13" s="2"/>
      </tp>
      <tp t="s">
        <v>#N/A N/A</v>
        <stp/>
        <stp>BDP|11228636070177037120</stp>
        <tr r="S10" s="2"/>
      </tp>
      <tp t="s">
        <v>#N/A N/A</v>
        <stp/>
        <stp>BDP|17934788260433576332</stp>
        <tr r="I12" s="2"/>
      </tp>
      <tp t="s">
        <v>#N/A N/A</v>
        <stp/>
        <stp>BDP|15629957422489680108</stp>
        <tr r="Q10" s="2"/>
      </tp>
      <tp t="s">
        <v>#N/A N/A</v>
        <stp/>
        <stp>BDH|17162332736849032852</stp>
        <tr r="AL20" s="4"/>
      </tp>
      <tp t="s">
        <v>#N/A N/A</v>
        <stp/>
        <stp>BDH|13856045644572066390</stp>
        <tr r="L21" s="4"/>
      </tp>
      <tp t="s">
        <v>#N/A N/A</v>
        <stp/>
        <stp>BDH|12031252853331100267</stp>
        <tr r="H9" s="3"/>
      </tp>
      <tp t="s">
        <v>#N/A N/A</v>
        <stp/>
        <stp>BDH|10739507201176121578</stp>
        <tr r="Y25" s="3"/>
      </tp>
      <tp t="s">
        <v>#N/A N/A</v>
        <stp/>
        <stp>BDH|17231279939953486384</stp>
        <tr r="Z18" s="3"/>
      </tp>
      <tp t="s">
        <v>#N/A N/A</v>
        <stp/>
        <stp>BDH|18015320816269222565</stp>
        <tr r="D9" s="3"/>
      </tp>
      <tp t="s">
        <v>#N/A N/A</v>
        <stp/>
        <stp>BDH|10410880736559173488</stp>
        <tr r="C16" s="4"/>
      </tp>
      <tp t="s">
        <v>#N/A N/A</v>
        <stp/>
        <stp>BDH|17815988038019257293</stp>
        <tr r="AO8" s="4"/>
      </tp>
      <tp t="s">
        <v>#N/A N/A</v>
        <stp/>
        <stp>BDH|10678500633917331751</stp>
        <tr r="V8" s="3"/>
      </tp>
      <tp t="s">
        <v>#N/A N/A</v>
        <stp/>
        <stp>BDH|10313028716382225569</stp>
        <tr r="AE21" s="4"/>
      </tp>
      <tp t="s">
        <v>#N/A N/A</v>
        <stp/>
        <stp>BDH|15154514758515355681</stp>
        <tr r="AG8" s="3"/>
      </tp>
    </main>
    <main first="bofaddin.rtdserver">
      <tp t="s">
        <v>#N/A N/A</v>
        <stp/>
        <stp>BDH|15471654742358311951</stp>
        <tr r="Z16" s="4"/>
      </tp>
      <tp t="s">
        <v>#N/A N/A</v>
        <stp/>
        <stp>BDH|17152761919724238395</stp>
        <tr r="X14" s="3"/>
      </tp>
      <tp t="s">
        <v>#N/A N/A</v>
        <stp/>
        <stp>BDH|13900229658164563625</stp>
        <tr r="AN18" s="3"/>
      </tp>
      <tp t="s">
        <v>#N/A N/A</v>
        <stp/>
        <stp>BDH|10776285834134814373</stp>
        <tr r="G17" s="3"/>
      </tp>
      <tp t="s">
        <v>#N/A N/A</v>
        <stp/>
        <stp>BDH|17454726853937506473</stp>
        <tr r="J8" s="3"/>
      </tp>
      <tp t="s">
        <v>#N/A N/A</v>
        <stp/>
        <stp>BDH|18030863326865154163</stp>
        <tr r="K7" s="3"/>
      </tp>
      <tp t="s">
        <v>#N/A N/A</v>
        <stp/>
        <stp>BDH|18156108498297709186</stp>
        <tr r="I14" s="3"/>
      </tp>
      <tp t="s">
        <v>#N/A N/A</v>
        <stp/>
        <stp>BDH|13527367827826208205</stp>
        <tr r="O24" s="4"/>
      </tp>
      <tp t="s">
        <v>#N/A N/A</v>
        <stp/>
        <stp>BDH|12936451945177644399</stp>
        <tr r="AK20" s="3"/>
      </tp>
      <tp t="s">
        <v>#N/A N/A</v>
        <stp/>
        <stp>BDH|18035530632439557121</stp>
        <tr r="AC26" s="4"/>
      </tp>
      <tp t="s">
        <v>#N/A N/A</v>
        <stp/>
        <stp>BDH|13441659402494243784</stp>
        <tr r="AP24" s="3"/>
      </tp>
      <tp t="s">
        <v>#N/A N/A</v>
        <stp/>
        <stp>BDH|17083512861306127483</stp>
        <tr r="X13" s="3"/>
      </tp>
      <tp t="s">
        <v>#N/A N/A</v>
        <stp/>
        <stp>BDH|16110909690977874706</stp>
        <tr r="W12" s="3"/>
      </tp>
      <tp t="s">
        <v>#N/A N/A</v>
        <stp/>
        <stp>BDH|14264265732961667299</stp>
        <tr r="H16" s="4"/>
      </tp>
      <tp t="s">
        <v>#N/A N/A</v>
        <stp/>
        <stp>BDH|14699650867310843242</stp>
        <tr r="AN13" s="3"/>
      </tp>
      <tp t="s">
        <v>#N/A N/A</v>
        <stp/>
        <stp>BDH|14647377232574973618</stp>
        <tr r="AE10" s="3"/>
      </tp>
      <tp t="s">
        <v>#N/A N/A</v>
        <stp/>
        <stp>BDH|12599524041905913044</stp>
        <tr r="AP17" s="4"/>
      </tp>
      <tp t="s">
        <v>#N/A N/A</v>
        <stp/>
        <stp>BDH|17021472448971296064</stp>
        <tr r="F24" s="4"/>
      </tp>
      <tp t="s">
        <v>#N/A N/A</v>
        <stp/>
        <stp>BDH|13895259646453487056</stp>
        <tr r="AP18" s="4"/>
      </tp>
      <tp t="s">
        <v>#N/A N/A</v>
        <stp/>
        <stp>BDH|12949901791005145133</stp>
        <tr r="Z12" s="3"/>
      </tp>
      <tp t="s">
        <v>#N/A N/A</v>
        <stp/>
        <stp>BDH|13680831494353866739</stp>
        <tr r="H18" s="3"/>
      </tp>
      <tp t="s">
        <v>#N/A N/A</v>
        <stp/>
        <stp>BDH|17480562270946816579</stp>
        <tr r="AE8" s="3"/>
      </tp>
      <tp t="s">
        <v>#N/A N/A</v>
        <stp/>
        <stp>BDH|11783631904553897259</stp>
        <tr r="C13" s="3"/>
      </tp>
      <tp t="s">
        <v>#N/A N/A</v>
        <stp/>
        <stp>BDH|16505149721482853149</stp>
        <tr r="AE18" s="3"/>
      </tp>
      <tp t="s">
        <v>#N/A N/A</v>
        <stp/>
        <stp>BDH|13679556493500522992</stp>
        <tr r="AG14" s="4"/>
      </tp>
      <tp t="s">
        <v>#N/A N/A</v>
        <stp/>
        <stp>BDH|14625488963469713954</stp>
        <tr r="AP26" s="4"/>
      </tp>
      <tp t="s">
        <v>#N/A N/A</v>
        <stp/>
        <stp>BDH|10570067028931219562</stp>
        <tr r="Q25" s="3"/>
      </tp>
      <tp t="s">
        <v>#N/A N/A</v>
        <stp/>
        <stp>BDH|18198830662669879977</stp>
        <tr r="L12" s="3"/>
      </tp>
      <tp t="s">
        <v>#N/A N/A</v>
        <stp/>
        <stp>BDH|15264703576492845134</stp>
        <tr r="AE7" s="3"/>
      </tp>
      <tp t="s">
        <v>#N/A N/A</v>
        <stp/>
        <stp>BDH|12093312773412577295</stp>
        <tr r="O26" s="4"/>
      </tp>
      <tp t="s">
        <v>#N/A N/A</v>
        <stp/>
        <stp>BDP|10667484367897503254</stp>
        <tr r="V17" s="2"/>
      </tp>
      <tp t="s">
        <v>#N/A N/A</v>
        <stp/>
        <stp>BDP|11647515716305036718</stp>
        <tr r="I9" s="2"/>
      </tp>
      <tp t="s">
        <v>#N/A N/A</v>
        <stp/>
        <stp>BDP|10471466441796185179</stp>
        <tr r="AA17" s="2"/>
      </tp>
      <tp t="s">
        <v>#N/A N/A</v>
        <stp/>
        <stp>BDP|16586409012153434759</stp>
        <tr r="G9" s="2"/>
      </tp>
      <tp t="s">
        <v>#N/A N/A</v>
        <stp/>
        <stp>BDH|17358948180565464427</stp>
        <tr r="AK14" s="3"/>
      </tp>
      <tp t="s">
        <v>#N/A N/A</v>
        <stp/>
        <stp>BDH|12653325371878215969</stp>
        <tr r="J10" s="4"/>
      </tp>
      <tp t="s">
        <v>#N/A N/A</v>
        <stp/>
        <stp>BDH|10711341371561078234</stp>
        <tr r="AC13" s="4"/>
      </tp>
      <tp t="s">
        <v>#N/A N/A</v>
        <stp/>
        <stp>BDH|12207347639584679192</stp>
        <tr r="AJ14" s="4"/>
      </tp>
      <tp t="s">
        <v>#N/A N/A</v>
        <stp/>
        <stp>BDH|12041310357462469114</stp>
        <tr r="W17" s="4"/>
      </tp>
      <tp t="s">
        <v>#N/A N/A</v>
        <stp/>
        <stp>BDH|15302527397609238761</stp>
        <tr r="Y14" s="3"/>
      </tp>
      <tp t="s">
        <v>#N/A N/A</v>
        <stp/>
        <stp>BDH|16356983888252772261</stp>
        <tr r="AG21" s="3"/>
      </tp>
      <tp t="s">
        <v>#N/A N/A</v>
        <stp/>
        <stp>BDH|15858427831571078490</stp>
        <tr r="F16" s="4"/>
      </tp>
      <tp t="s">
        <v>#N/A N/A</v>
        <stp/>
        <stp>BDH|15516022769583465787</stp>
        <tr r="Q20" s="4"/>
      </tp>
      <tp t="s">
        <v>#N/A N/A</v>
        <stp/>
        <stp>BDH|15024754058620632095</stp>
        <tr r="L6" s="3"/>
      </tp>
      <tp t="s">
        <v>#N/A N/A</v>
        <stp/>
        <stp>BDH|11565708708644906512</stp>
        <tr r="R10" s="3"/>
      </tp>
      <tp t="s">
        <v>#N/A N/A</v>
        <stp/>
        <stp>BDH|16764605867659479812</stp>
        <tr r="T6" s="3"/>
      </tp>
      <tp t="s">
        <v>#N/A N/A</v>
        <stp/>
        <stp>BDH|10356112147435605773</stp>
        <tr r="AD19" s="4"/>
      </tp>
      <tp t="s">
        <v>#N/A N/A</v>
        <stp/>
        <stp>BDH|10996640108284583572</stp>
        <tr r="R6" s="3"/>
      </tp>
      <tp t="s">
        <v>#N/A N/A</v>
        <stp/>
        <stp>BDH|17245930380592717314</stp>
        <tr r="Y16" s="3"/>
      </tp>
      <tp t="s">
        <v>#N/A N/A</v>
        <stp/>
        <stp>BDH|15326344130841018317</stp>
        <tr r="P24" s="4"/>
      </tp>
      <tp t="s">
        <v>#N/A N/A</v>
        <stp/>
        <stp>BDH|12651023052834133411</stp>
        <tr r="N19" s="4"/>
      </tp>
      <tp t="s">
        <v>#N/A N/A</v>
        <stp/>
        <stp>BDH|12229409814576168619</stp>
        <tr r="AK13" s="4"/>
      </tp>
      <tp t="s">
        <v>#N/A N/A</v>
        <stp/>
        <stp>BDH|13344426537922296127</stp>
        <tr r="P13" s="3"/>
      </tp>
      <tp t="s">
        <v>#N/A N/A</v>
        <stp/>
        <stp>BDH|13954547982519158087</stp>
        <tr r="J21" s="3"/>
      </tp>
      <tp t="s">
        <v>#N/A N/A</v>
        <stp/>
        <stp>BDH|17496044068506452055</stp>
        <tr r="E26" s="3"/>
      </tp>
      <tp t="s">
        <v>#N/A N/A</v>
        <stp/>
        <stp>BDH|11511936450653751984</stp>
        <tr r="I16" s="4"/>
      </tp>
      <tp t="s">
        <v>#N/A N/A</v>
        <stp/>
        <stp>BDH|15833579741906633517</stp>
        <tr r="F14" s="4"/>
      </tp>
      <tp t="s">
        <v>#N/A N/A</v>
        <stp/>
        <stp>BDH|11965174473854379464</stp>
        <tr r="N24" s="4"/>
      </tp>
      <tp t="s">
        <v>#N/A N/A</v>
        <stp/>
        <stp>BDH|10282626514924529493</stp>
        <tr r="F13" s="4"/>
      </tp>
      <tp t="s">
        <v>#N/A N/A</v>
        <stp/>
        <stp>BDH|10929457641322742526</stp>
        <tr r="AD25" s="4"/>
      </tp>
      <tp t="s">
        <v>#N/A N/A</v>
        <stp/>
        <stp>BDH|16166864698020258053</stp>
        <tr r="AK13" s="3"/>
      </tp>
      <tp t="s">
        <v>#N/A N/A</v>
        <stp/>
        <stp>BDH|16250877369407514827</stp>
        <tr r="AL21" s="4"/>
      </tp>
      <tp t="s">
        <v>#N/A N/A</v>
        <stp/>
        <stp>BDH|16454272149821610664</stp>
        <tr r="AG25" s="3"/>
      </tp>
      <tp t="s">
        <v>#N/A N/A</v>
        <stp/>
        <stp>BDH|14762630906572192797</stp>
        <tr r="X20" s="3"/>
      </tp>
      <tp t="s">
        <v>#N/A N/A</v>
        <stp/>
        <stp>BDH|10692729339530314348</stp>
        <tr r="G14" s="3"/>
      </tp>
      <tp t="s">
        <v>#N/A N/A</v>
        <stp/>
        <stp>BDH|15948865187284108632</stp>
        <tr r="J9" s="3"/>
      </tp>
      <tp t="s">
        <v>#N/A N/A</v>
        <stp/>
        <stp>BDH|11912527628708827914</stp>
        <tr r="K12" s="3"/>
      </tp>
      <tp t="s">
        <v>#N/A N/A</v>
        <stp/>
        <stp>BDH|10255366928991682704</stp>
        <tr r="AN16" s="4"/>
      </tp>
      <tp t="s">
        <v>#N/A N/A</v>
        <stp/>
        <stp>BDH|10270284243220310106</stp>
        <tr r="F7" s="3"/>
      </tp>
      <tp t="s">
        <v>#N/A N/A</v>
        <stp/>
        <stp>BDH|18192427525920896934</stp>
        <tr r="L25" s="3"/>
      </tp>
      <tp t="s">
        <v>#N/A N/A</v>
        <stp/>
        <stp>BDH|10102382160025419703</stp>
        <tr r="Z25" s="3"/>
      </tp>
      <tp t="s">
        <v>#N/A N/A</v>
        <stp/>
        <stp>BDH|10402857242542929977</stp>
        <tr r="AO6" s="3"/>
      </tp>
      <tp t="s">
        <v>#N/A N/A</v>
        <stp/>
        <stp>BDH|13815340376130100049</stp>
        <tr r="W8" s="3"/>
      </tp>
      <tp t="s">
        <v>#N/A N/A</v>
        <stp/>
        <stp>BDH|14160668338965549353</stp>
        <tr r="Q21" s="3"/>
      </tp>
      <tp t="s">
        <v>#N/A N/A</v>
        <stp/>
        <stp>BDH|15865439810696266169</stp>
        <tr r="U12" s="3"/>
      </tp>
      <tp t="s">
        <v>#N/A N/A</v>
        <stp/>
        <stp>BDH|16295080652954328047</stp>
        <tr r="AF13" s="4"/>
      </tp>
      <tp t="s">
        <v>#N/A N/A</v>
        <stp/>
        <stp>BDH|10727499334189305973</stp>
        <tr r="L26" s="3"/>
      </tp>
      <tp t="s">
        <v>#N/A N/A</v>
        <stp/>
        <stp>BDH|17351199755421692577</stp>
        <tr r="X18" s="4"/>
      </tp>
      <tp t="s">
        <v>#N/A N/A</v>
        <stp/>
        <stp>BDH|16961838192466691607</stp>
        <tr r="H20" s="3"/>
      </tp>
    </main>
    <main first="bofaddin.rtdserver">
      <tp t="s">
        <v>#N/A N/A</v>
        <stp/>
        <stp>BDP|14970367817132076010</stp>
        <tr r="W13" s="2"/>
      </tp>
      <tp t="s">
        <v>#N/A N/A</v>
        <stp/>
        <stp>BDP|14535819556208816578</stp>
        <tr r="I13" s="2"/>
      </tp>
      <tp t="s">
        <v>#N/A N/A</v>
        <stp/>
        <stp>BDP|14495287652321089621</stp>
        <tr r="AK17" s="2"/>
      </tp>
      <tp t="s">
        <v>#N/A N/A</v>
        <stp/>
        <stp>BDP|10037611269265944111</stp>
        <tr r="Q12" s="2"/>
      </tp>
      <tp t="s">
        <v>#N/A N/A</v>
        <stp/>
        <stp>BDP|11996125478175525656</stp>
        <tr r="Y13" s="2"/>
      </tp>
      <tp t="s">
        <v>#N/A N/A</v>
        <stp/>
        <stp>BDP|14314081325773981152</stp>
        <tr r="AC17" s="2"/>
      </tp>
      <tp t="s">
        <v>#N/A N/A</v>
        <stp/>
        <stp>BDP|12056342952951373100</stp>
        <tr r="T13" s="2"/>
      </tp>
      <tp t="s">
        <v>#N/A N/A</v>
        <stp/>
        <stp>BDP|11175337036700909596</stp>
        <tr r="AB13" s="2"/>
      </tp>
      <tp t="s">
        <v>#N/A N/A</v>
        <stp/>
        <stp>BDP|13244110263033621310</stp>
        <tr r="AC9" s="2"/>
      </tp>
      <tp t="s">
        <v>#N/A N/A</v>
        <stp/>
        <stp>BDH|17230537213315219219</stp>
        <tr r="E24" s="3"/>
      </tp>
      <tp t="s">
        <v>#N/A N/A</v>
        <stp/>
        <stp>BDH|13398203503166806395</stp>
        <tr r="AB26" s="4"/>
      </tp>
      <tp t="s">
        <v>#N/A N/A</v>
        <stp/>
        <stp>BDH|14034685087297854966</stp>
        <tr r="AN14" s="4"/>
      </tp>
      <tp t="s">
        <v>#N/A N/A</v>
        <stp/>
        <stp>BDH|15255732342775548771</stp>
        <tr r="C6" s="3"/>
      </tp>
      <tp t="s">
        <v>#N/A N/A</v>
        <stp/>
        <stp>BDH|12462132052570219264</stp>
        <tr r="O16" s="4"/>
      </tp>
      <tp t="s">
        <v>#N/A N/A</v>
        <stp/>
        <stp>BDH|13064022083928507745</stp>
        <tr r="P17" s="4"/>
      </tp>
      <tp t="s">
        <v>#N/A N/A</v>
        <stp/>
        <stp>BDH|17364446702307542001</stp>
        <tr r="AD8" s="3"/>
      </tp>
      <tp t="s">
        <v>#N/A N/A</v>
        <stp/>
        <stp>BDH|15305037350866582253</stp>
        <tr r="N26" s="3"/>
      </tp>
      <tp t="s">
        <v>#N/A N/A</v>
        <stp/>
        <stp>BDH|16725570502512388520</stp>
        <tr r="E8" s="3"/>
      </tp>
      <tp t="s">
        <v>#N/A N/A</v>
        <stp/>
        <stp>BDH|16334183705883561080</stp>
        <tr r="K16" s="3"/>
      </tp>
      <tp t="s">
        <v>#N/A N/A</v>
        <stp/>
        <stp>BDH|10980534810390945013</stp>
        <tr r="D24" s="3"/>
      </tp>
      <tp t="s">
        <v>#N/A N/A</v>
        <stp/>
        <stp>BDH|14074251072937068256</stp>
        <tr r="W25" s="3"/>
      </tp>
      <tp t="s">
        <v>#N/A N/A</v>
        <stp/>
        <stp>BDH|12359154872803305355</stp>
        <tr r="AH25" s="3"/>
      </tp>
      <tp t="s">
        <v>#N/A N/A</v>
        <stp/>
        <stp>BDH|15333207510964341628</stp>
        <tr r="AE10" s="4"/>
      </tp>
      <tp t="s">
        <v>#N/A N/A</v>
        <stp/>
        <stp>BDH|14411503453295486561</stp>
        <tr r="AM16" s="3"/>
      </tp>
      <tp t="s">
        <v>#N/A N/A</v>
        <stp/>
        <stp>BDH|14375730930173194749</stp>
        <tr r="AI22" s="3"/>
      </tp>
      <tp t="s">
        <v>#N/A N/A</v>
        <stp/>
        <stp>BDH|16558262167810507652</stp>
        <tr r="AJ9" s="4"/>
      </tp>
      <tp t="s">
        <v>#N/A N/A</v>
        <stp/>
        <stp>BDH|14338266001241346331</stp>
        <tr r="H24" s="4"/>
      </tp>
      <tp t="s">
        <v>#N/A N/A</v>
        <stp/>
        <stp>BDH|15325338725406895690</stp>
        <tr r="X8" s="3"/>
      </tp>
      <tp t="s">
        <v>#N/A N/A</v>
        <stp/>
        <stp>BDH|12536527021851731058</stp>
        <tr r="X10" s="4"/>
      </tp>
      <tp t="s">
        <v>#N/A N/A</v>
        <stp/>
        <stp>BDH|17054502700217242164</stp>
        <tr r="V21" s="4"/>
      </tp>
      <tp t="s">
        <v>#N/A N/A</v>
        <stp/>
        <stp>BDH|13809581857640772763</stp>
        <tr r="W19" s="4"/>
      </tp>
      <tp t="s">
        <v>#N/A N/A</v>
        <stp/>
        <stp>BDH|10704715565262347761</stp>
        <tr r="I13" s="3"/>
      </tp>
      <tp t="s">
        <v>#N/A N/A</v>
        <stp/>
        <stp>BDH|13212918284131694771</stp>
        <tr r="T14" s="4"/>
      </tp>
      <tp t="s">
        <v>#N/A N/A</v>
        <stp/>
        <stp>BDH|15138144156345558007</stp>
        <tr r="AF10" s="3"/>
      </tp>
      <tp t="s">
        <v>#N/A N/A</v>
        <stp/>
        <stp>BDH|14653360703072289179</stp>
        <tr r="Q19" s="4"/>
      </tp>
      <tp t="s">
        <v>#N/A N/A</v>
        <stp/>
        <stp>BDH|15553023777530191687</stp>
        <tr r="C8" s="4"/>
      </tp>
      <tp t="s">
        <v>#N/A N/A</v>
        <stp/>
        <stp>BDH|12942320886528408500</stp>
        <tr r="AB8" s="4"/>
      </tp>
      <tp t="s">
        <v>#N/A N/A</v>
        <stp/>
        <stp>BDH|17843782745165831552</stp>
        <tr r="G16" s="3"/>
      </tp>
      <tp t="s">
        <v>#N/A N/A</v>
        <stp/>
        <stp>BDH|15392025713929990902</stp>
        <tr r="F26" s="4"/>
      </tp>
      <tp t="s">
        <v>#N/A N/A</v>
        <stp/>
        <stp>BDH|12046737714581968152</stp>
        <tr r="R12" s="3"/>
      </tp>
      <tp t="s">
        <v>#N/A N/A</v>
        <stp/>
        <stp>BDH|12410187089456901973</stp>
        <tr r="AD17" s="4"/>
      </tp>
      <tp t="s">
        <v>#N/A N/A</v>
        <stp/>
        <stp>BDH|13796467752270138698</stp>
        <tr r="AO9" s="4"/>
      </tp>
      <tp t="s">
        <v>#N/A N/A</v>
        <stp/>
        <stp>BDH|10867249325952268607</stp>
        <tr r="AP25" s="4"/>
      </tp>
      <tp t="s">
        <v>#N/A N/A</v>
        <stp/>
        <stp>BDH|15299099549631998410</stp>
        <tr r="E12" s="3"/>
      </tp>
      <tp t="s">
        <v>#N/A N/A</v>
        <stp/>
        <stp>BDH|14745784334734147000</stp>
        <tr r="AM7" s="4"/>
      </tp>
      <tp t="s">
        <v>#N/A N/A</v>
        <stp/>
        <stp>BDH|14471477408965218140</stp>
        <tr r="AA10" s="3"/>
      </tp>
      <tp t="s">
        <v>#N/A N/A</v>
        <stp/>
        <stp>BDH|18120568807550878941</stp>
        <tr r="R26" s="3"/>
      </tp>
      <tp t="s">
        <v>#N/A N/A</v>
        <stp/>
        <stp>BDH|15371004380221875879</stp>
        <tr r="AH7" s="4"/>
      </tp>
      <tp t="s">
        <v>#N/A N/A</v>
        <stp/>
        <stp>BDH|12495508056875626387</stp>
        <tr r="V9" s="4"/>
      </tp>
      <tp t="s">
        <v>#N/A N/A</v>
        <stp/>
        <stp>BDH|10507808608508954488</stp>
        <tr r="D26" s="3"/>
      </tp>
      <tp t="s">
        <v>#N/A N/A</v>
        <stp/>
        <stp>BDH|10760589419747141780</stp>
        <tr r="Q22" s="3"/>
      </tp>
      <tp t="s">
        <v>#N/A N/A</v>
        <stp/>
        <stp>BDH|11007582676485848288</stp>
        <tr r="U13" s="3"/>
      </tp>
      <tp t="s">
        <v>#N/A N/A</v>
        <stp/>
        <stp>BDH|10412828590096813301</stp>
        <tr r="AB10" s="3"/>
      </tp>
      <tp t="s">
        <v>#N/A N/A</v>
        <stp/>
        <stp>BDH|14875165853022277611</stp>
        <tr r="E7" s="4"/>
      </tp>
      <tp t="s">
        <v>#N/A N/A</v>
        <stp/>
        <stp>BDP|13469368551812209290</stp>
        <tr r="D9" s="2"/>
      </tp>
      <tp t="s">
        <v>#N/A N/A</v>
        <stp/>
        <stp>BDP|10535761759957072013</stp>
        <tr r="AN9" s="2"/>
      </tp>
      <tp t="s">
        <v>#N/A N/A</v>
        <stp/>
        <stp>BDP|17475236683468898060</stp>
        <tr r="Z9" s="2"/>
      </tp>
      <tp t="s">
        <v>#N/A N/A</v>
        <stp/>
        <stp>BDP|13591891264361138957</stp>
        <tr r="AN16" s="2"/>
      </tp>
      <tp t="s">
        <v>#N/A N/A</v>
        <stp/>
        <stp>BDP|14847648878232959224</stp>
        <tr r="L12" s="2"/>
      </tp>
      <tp t="s">
        <v>#N/A N/A</v>
        <stp/>
        <stp>BDP|13933811090983725418</stp>
        <tr r="L16" s="2"/>
      </tp>
      <tp t="s">
        <v>#N/A N/A</v>
        <stp/>
        <stp>BDP|17341085578980472561</stp>
        <tr r="S9" s="2"/>
      </tp>
      <tp t="s">
        <v>#N/A N/A</v>
        <stp/>
        <stp>BDP|11552687978867093245</stp>
        <tr r="H16" s="2"/>
      </tp>
      <tp t="s">
        <v>#N/A N/A</v>
        <stp/>
        <stp>BDP|17618484314422096596</stp>
        <tr r="AA13" s="2"/>
      </tp>
      <tp t="s">
        <v>#N/A N/A</v>
        <stp/>
        <stp>BDP|14058452342276527777</stp>
        <tr r="T10" s="2"/>
      </tp>
      <tp t="s">
        <v>#N/A N/A</v>
        <stp/>
        <stp>BDP|10479572637942570154</stp>
        <tr r="W12" s="2"/>
      </tp>
      <tp t="s">
        <v>#N/A N/A</v>
        <stp/>
        <stp>BDP|13336947294140407609</stp>
        <tr r="X10" s="2"/>
      </tp>
      <tp t="s">
        <v>#N/A N/A</v>
        <stp/>
        <stp>BDH|12174407665871294475</stp>
        <tr r="I22" s="3"/>
      </tp>
      <tp t="s">
        <v>#N/A N/A</v>
        <stp/>
        <stp>BDH|11750957426138285762</stp>
        <tr r="V14" s="3"/>
      </tp>
      <tp t="s">
        <v>#N/A N/A</v>
        <stp/>
        <stp>BDH|13372821226918390443</stp>
        <tr r="AM7" s="3"/>
      </tp>
      <tp t="s">
        <v>#N/A N/A</v>
        <stp/>
        <stp>BDH|18303488588464843580</stp>
        <tr r="I6" s="3"/>
      </tp>
      <tp t="s">
        <v>#N/A N/A</v>
        <stp/>
        <stp>BDH|11256357221141264472</stp>
        <tr r="D8" s="4"/>
      </tp>
      <tp t="s">
        <v>#N/A N/A</v>
        <stp/>
        <stp>BDH|13673719332247184571</stp>
        <tr r="J8" s="4"/>
      </tp>
      <tp t="s">
        <v>#N/A N/A</v>
        <stp/>
        <stp>BDH|12359383888408675461</stp>
        <tr r="AI19" s="4"/>
      </tp>
      <tp t="s">
        <v>#N/A N/A</v>
        <stp/>
        <stp>BDH|18182897170193968138</stp>
        <tr r="AH6" s="3"/>
      </tp>
      <tp t="s">
        <v>#N/A N/A</v>
        <stp/>
        <stp>BDH|16673959252446499976</stp>
        <tr r="E28" s="3"/>
      </tp>
      <tp t="s">
        <v>#N/A N/A</v>
        <stp/>
        <stp>BDH|17175472619841896628</stp>
        <tr r="P16" s="3"/>
      </tp>
      <tp t="s">
        <v>#N/A N/A</v>
        <stp/>
        <stp>BDH|16358497924693210691</stp>
        <tr r="J17" s="3"/>
      </tp>
      <tp t="s">
        <v>#N/A N/A</v>
        <stp/>
        <stp>BDH|15931389855020637660</stp>
        <tr r="D21" s="3"/>
      </tp>
      <tp t="s">
        <v>#N/A N/A</v>
        <stp/>
        <stp>BDH|14120043991439908190</stp>
        <tr r="AB24" s="4"/>
      </tp>
      <tp t="s">
        <v>#N/A N/A</v>
        <stp/>
        <stp>BDH|15746106021730230338</stp>
        <tr r="Z10" s="4"/>
      </tp>
      <tp t="s">
        <v>#N/A N/A</v>
        <stp/>
        <stp>BDH|18263947643410479076</stp>
        <tr r="AP6" s="3"/>
      </tp>
      <tp t="s">
        <v>#N/A N/A</v>
        <stp/>
        <stp>BDH|10772556014192858378</stp>
        <tr r="AK16" s="3"/>
      </tp>
      <tp t="s">
        <v>#N/A N/A</v>
        <stp/>
        <stp>BDH|12930121120290330410</stp>
        <tr r="X25" s="3"/>
      </tp>
      <tp t="s">
        <v>#N/A N/A</v>
        <stp/>
        <stp>BDH|13930992328129205433</stp>
        <tr r="AE8" s="4"/>
      </tp>
      <tp t="s">
        <v>#N/A N/A</v>
        <stp/>
        <stp>BDH|16477186325599513954</stp>
        <tr r="AG9" s="3"/>
      </tp>
      <tp t="s">
        <v>#N/A N/A</v>
        <stp/>
        <stp>BDH|11289733115185992755</stp>
        <tr r="AB20" s="3"/>
      </tp>
      <tp t="s">
        <v>#N/A N/A</v>
        <stp/>
        <stp>BDH|11304596867673723427</stp>
        <tr r="AJ14" s="3"/>
      </tp>
      <tp t="s">
        <v>#N/A N/A</v>
        <stp/>
        <stp>BDH|15636552856858809860</stp>
        <tr r="AE18" s="4"/>
      </tp>
      <tp t="s">
        <v>#N/A N/A</v>
        <stp/>
        <stp>BDH|15571068316237687688</stp>
        <tr r="V10" s="4"/>
      </tp>
      <tp t="s">
        <v>#N/A N/A</v>
        <stp/>
        <stp>BDH|16317883255497143941</stp>
        <tr r="E24" s="4"/>
      </tp>
      <tp t="s">
        <v>#N/A N/A</v>
        <stp/>
        <stp>BDH|17067980073219055512</stp>
        <tr r="V20" s="4"/>
      </tp>
      <tp t="s">
        <v>#N/A N/A</v>
        <stp/>
        <stp>BDH|13399994311838565641</stp>
        <tr r="D25" s="4"/>
      </tp>
      <tp t="s">
        <v>#N/A N/A</v>
        <stp/>
        <stp>BDH|13774574896468405285</stp>
        <tr r="AL25" s="3"/>
      </tp>
      <tp t="s">
        <v>#N/A N/A</v>
        <stp/>
        <stp>BDH|16918243823627110452</stp>
        <tr r="AL18" s="4"/>
      </tp>
      <tp t="s">
        <v>#N/A N/A</v>
        <stp/>
        <stp>BDH|12421921996470442790</stp>
        <tr r="F8" s="4"/>
      </tp>
      <tp t="s">
        <v>#N/A N/A</v>
        <stp/>
        <stp>BDH|10645420293239215184</stp>
        <tr r="AL6" s="3"/>
      </tp>
      <tp t="s">
        <v>#N/A N/A</v>
        <stp/>
        <stp>BDH|13593341275602899017</stp>
        <tr r="I25" s="4"/>
      </tp>
      <tp t="s">
        <v>#N/A N/A</v>
        <stp/>
        <stp>BDH|13969040949633054193</stp>
        <tr r="Z9" s="4"/>
      </tp>
      <tp t="s">
        <v>#N/A N/A</v>
        <stp/>
        <stp>BDH|15064945289858336927</stp>
        <tr r="W9" s="3"/>
      </tp>
      <tp t="s">
        <v>#N/A N/A</v>
        <stp/>
        <stp>BDH|10488900668503513952</stp>
        <tr r="U10" s="3"/>
      </tp>
      <tp t="s">
        <v>#N/A N/A</v>
        <stp/>
        <stp>BDH|12236133350127917447</stp>
        <tr r="AL8" s="3"/>
      </tp>
      <tp t="s">
        <v>#N/A N/A</v>
        <stp/>
        <stp>BDH|10802150426433091542</stp>
        <tr r="AH22" s="3"/>
      </tp>
      <tp t="s">
        <v>#N/A N/A</v>
        <stp/>
        <stp>BDH|13675202514647856254</stp>
        <tr r="AF7" s="4"/>
      </tp>
      <tp t="s">
        <v>#N/A N/A</v>
        <stp/>
        <stp>BDH|13267043412976200198</stp>
        <tr r="AA14" s="4"/>
      </tp>
      <tp t="s">
        <v>#N/A N/A</v>
        <stp/>
        <stp>BDH|17323657025516511089</stp>
        <tr r="G7" s="4"/>
      </tp>
      <tp t="s">
        <v>#N/A N/A</v>
        <stp/>
        <stp>BDH|18010896266470301324</stp>
        <tr r="H20" s="4"/>
      </tp>
      <tp t="s">
        <v>#N/A N/A</v>
        <stp/>
        <stp>BDH|12951582118080764307</stp>
        <tr r="AJ8" s="3"/>
      </tp>
    </main>
    <main first="bofaddin.rtdserver">
      <tp t="s">
        <v>#N/A N/A</v>
        <stp/>
        <stp>BDH|9122455479206327047</stp>
        <tr r="D20" s="4"/>
      </tp>
      <tp t="s">
        <v>#N/A N/A</v>
        <stp/>
        <stp>BDH|4649080113619636017</stp>
        <tr r="D26" s="4"/>
      </tp>
      <tp t="s">
        <v>#N/A N/A</v>
        <stp/>
        <stp>BDP|7476114690416755591</stp>
        <tr r="Q9" s="2"/>
      </tp>
      <tp t="s">
        <v>#N/A N/A</v>
        <stp/>
        <stp>BDH|3709431138081044975</stp>
        <tr r="AG19" s="4"/>
      </tp>
      <tp t="s">
        <v>#N/A N/A</v>
        <stp/>
        <stp>BDH|1285121929157038928</stp>
        <tr r="I12" s="3"/>
      </tp>
      <tp t="s">
        <v>#N/A N/A</v>
        <stp/>
        <stp>BDH|7964869451235184342</stp>
        <tr r="AD18" s="3"/>
      </tp>
      <tp t="s">
        <v>#N/A N/A</v>
        <stp/>
        <stp>BDH|8323022781909906522</stp>
        <tr r="AJ25" s="3"/>
      </tp>
      <tp t="s">
        <v>#N/A N/A</v>
        <stp/>
        <stp>BDH|8973046856566078709</stp>
        <tr r="N12" s="3"/>
      </tp>
      <tp t="s">
        <v>#N/A N/A</v>
        <stp/>
        <stp>BDH|3449281866528053319</stp>
        <tr r="U14" s="3"/>
      </tp>
      <tp t="s">
        <v>#N/A N/A</v>
        <stp/>
        <stp>BDH|8533792625026938781</stp>
        <tr r="U21" s="4"/>
      </tp>
      <tp t="s">
        <v>#N/A N/A</v>
        <stp/>
        <stp>BDH|3884240001538279570</stp>
        <tr r="G18" s="3"/>
      </tp>
      <tp t="s">
        <v>#N/A N/A</v>
        <stp/>
        <stp>BDP|8673515238497718512</stp>
        <tr r="D16" s="2"/>
      </tp>
      <tp t="s">
        <v>#N/A N/A</v>
        <stp/>
        <stp>BDH|4023076373907527889</stp>
        <tr r="AL16" s="3"/>
      </tp>
      <tp t="s">
        <v>#N/A N/A</v>
        <stp/>
        <stp>BDH|6855922456573498510</stp>
        <tr r="AD18" s="4"/>
      </tp>
      <tp t="s">
        <v>#N/A N/A</v>
        <stp/>
        <stp>BDH|9969054006066161329</stp>
        <tr r="E10" s="4"/>
      </tp>
      <tp t="s">
        <v>#N/A N/A</v>
        <stp/>
        <stp>BDH|3313271440498236186</stp>
        <tr r="G8" s="4"/>
      </tp>
      <tp t="s">
        <v>#N/A N/A</v>
        <stp/>
        <stp>BDH|8895734015962062001</stp>
        <tr r="C21" s="4"/>
      </tp>
      <tp t="s">
        <v>#N/A N/A</v>
        <stp/>
        <stp>BDH|8239453704585902541</stp>
        <tr r="AH7" s="3"/>
      </tp>
      <tp t="s">
        <v>#N/A N/A</v>
        <stp/>
        <stp>BDH|6063376697261788196</stp>
        <tr r="C7" s="3"/>
      </tp>
      <tp t="s">
        <v>#N/A N/A</v>
        <stp/>
        <stp>BDP|4384954916905611591</stp>
        <tr r="Y10" s="2"/>
      </tp>
      <tp t="s">
        <v>#N/A N/A</v>
        <stp/>
        <stp>BDH|1700023393377060397</stp>
        <tr r="AK6" s="3"/>
      </tp>
      <tp t="s">
        <v>#N/A N/A</v>
        <stp/>
        <stp>BDH|1339075629836350918</stp>
        <tr r="Y22" s="3"/>
      </tp>
      <tp t="s">
        <v>#N/A N/A</v>
        <stp/>
        <stp>BDP|8789596932011100317</stp>
        <tr r="Q17" s="2"/>
      </tp>
      <tp t="s">
        <v>#N/A N/A</v>
        <stp/>
        <stp>BDH|3618395854948539125</stp>
        <tr r="H17" s="4"/>
      </tp>
      <tp t="s">
        <v>#N/A N/A</v>
        <stp/>
        <stp>BDH|8904479620752162034</stp>
        <tr r="S7" s="3"/>
      </tp>
      <tp t="s">
        <v>#N/A N/A</v>
        <stp/>
        <stp>BDP|6799931076475710188</stp>
        <tr r="U10" s="2"/>
      </tp>
      <tp t="s">
        <v>#N/A N/A</v>
        <stp/>
        <stp>BDH|3155155082572264466</stp>
        <tr r="T7" s="3"/>
      </tp>
      <tp t="s">
        <v>#N/A N/A</v>
        <stp/>
        <stp>BDH|2969037048473132913</stp>
        <tr r="AB17" s="4"/>
      </tp>
      <tp t="s">
        <v>#N/A N/A</v>
        <stp/>
        <stp>BDH|4071909367776766128</stp>
        <tr r="AJ21" s="4"/>
      </tp>
      <tp t="s">
        <v>#N/A N/A</v>
        <stp/>
        <stp>BDH|7096763699526965358</stp>
        <tr r="N7" s="4"/>
      </tp>
      <tp t="s">
        <v>#N/A N/A</v>
        <stp/>
        <stp>BDH|8738786426488292980</stp>
        <tr r="R7" s="4"/>
      </tp>
      <tp t="s">
        <v>#N/A N/A</v>
        <stp/>
        <stp>BDH|4990771615559282794</stp>
        <tr r="G25" s="3"/>
      </tp>
      <tp t="s">
        <v>#N/A N/A</v>
        <stp/>
        <stp>BDH|6383235186107077768</stp>
        <tr r="V26" s="3"/>
      </tp>
      <tp t="s">
        <v>#N/A N/A</v>
        <stp/>
        <stp>BDH|3407835832077403313</stp>
        <tr r="O18" s="4"/>
      </tp>
      <tp t="s">
        <v>#N/A N/A</v>
        <stp/>
        <stp>BDH|6680858890278161328</stp>
        <tr r="N18" s="3"/>
      </tp>
      <tp t="s">
        <v>#N/A N/A</v>
        <stp/>
        <stp>BDH|7046583851232839918</stp>
        <tr r="AM24" s="3"/>
      </tp>
      <tp t="s">
        <v>#N/A N/A</v>
        <stp/>
        <stp>BDH|2843989360189545832</stp>
        <tr r="AM8" s="4"/>
      </tp>
      <tp t="s">
        <v>#N/A N/A</v>
        <stp/>
        <stp>BDH|9882316416925821219</stp>
        <tr r="N7" s="3"/>
      </tp>
      <tp t="s">
        <v>#N/A N/A</v>
        <stp/>
        <stp>BDH|1035437290077136755</stp>
        <tr r="O7" s="4"/>
      </tp>
      <tp t="s">
        <v>#N/A N/A</v>
        <stp/>
        <stp>BDH|2404623577589014653</stp>
        <tr r="AM9" s="4"/>
      </tp>
      <tp t="s">
        <v>#N/A N/A</v>
        <stp/>
        <stp>BDH|4282098106888934002</stp>
        <tr r="AA24" s="4"/>
      </tp>
      <tp t="s">
        <v>#N/A N/A</v>
        <stp/>
        <stp>BDP|9456709966332454634</stp>
        <tr r="AM12" s="2"/>
      </tp>
      <tp t="s">
        <v>#N/A N/A</v>
        <stp/>
        <stp>BDP|9581169525724230212</stp>
        <tr r="AH16" s="2"/>
      </tp>
      <tp t="s">
        <v>#N/A N/A</v>
        <stp/>
        <stp>BDH|1794933470074868799</stp>
        <tr r="AO21" s="3"/>
      </tp>
      <tp t="s">
        <v>#N/A N/A</v>
        <stp/>
        <stp>BDH|4624477948710178925</stp>
        <tr r="H26" s="4"/>
      </tp>
      <tp t="s">
        <v>#N/A N/A</v>
        <stp/>
        <stp>BDH|1047093705335749910</stp>
        <tr r="V13" s="3"/>
      </tp>
      <tp t="s">
        <v>#N/A N/A</v>
        <stp/>
        <stp>BDH|9613294306323484577</stp>
        <tr r="H21" s="4"/>
      </tp>
      <tp t="s">
        <v>#N/A N/A</v>
        <stp/>
        <stp>BDH|2862920099968055795</stp>
        <tr r="C24" s="3"/>
      </tp>
      <tp t="s">
        <v>#N/A N/A</v>
        <stp/>
        <stp>BDP|6885973940682554414</stp>
        <tr r="K9" s="2"/>
      </tp>
      <tp t="s">
        <v>#N/A N/A</v>
        <stp/>
        <stp>BDH|6014201394034829473</stp>
        <tr r="AA6" s="3"/>
      </tp>
      <tp t="s">
        <v>#N/A N/A</v>
        <stp/>
        <stp>BDH|5011895542291656567</stp>
        <tr r="AF8" s="3"/>
      </tp>
      <tp t="s">
        <v>#N/A N/A</v>
        <stp/>
        <stp>BDH|2995340569983836975</stp>
        <tr r="V12" s="3"/>
      </tp>
      <tp t="s">
        <v>#N/A N/A</v>
        <stp/>
        <stp>BDH|4432233595876967405</stp>
        <tr r="D10" s="4"/>
      </tp>
      <tp t="s">
        <v>#N/A N/A</v>
        <stp/>
        <stp>BDP|9117010739883552454</stp>
        <tr r="AM9" s="2"/>
      </tp>
      <tp t="s">
        <v>#N/A N/A</v>
        <stp/>
        <stp>BDP|3237853571069705887</stp>
        <tr r="AC16" s="2"/>
      </tp>
      <tp t="s">
        <v>#N/A N/A</v>
        <stp/>
        <stp>BDH|6350185727291714923</stp>
        <tr r="AN7" s="4"/>
      </tp>
      <tp t="s">
        <v>#N/A N/A</v>
        <stp/>
        <stp>BDP|9336663721287328795</stp>
        <tr r="AF9" s="2"/>
      </tp>
      <tp t="s">
        <v>#N/A N/A</v>
        <stp/>
        <stp>BDH|9441101940346922736</stp>
        <tr r="U18" s="3"/>
      </tp>
      <tp t="s">
        <v>#N/A N/A</v>
        <stp/>
        <stp>BDH|3692359645169108093</stp>
        <tr r="AK26" s="3"/>
      </tp>
      <tp t="s">
        <v>#N/A N/A</v>
        <stp/>
        <stp>BDH|1467473721652831852</stp>
        <tr r="C7" s="4"/>
      </tp>
      <tp t="s">
        <v>#N/A N/A</v>
        <stp/>
        <stp>BDH|2808700817248982198</stp>
        <tr r="AK16" s="4"/>
      </tp>
      <tp t="s">
        <v>#N/A N/A</v>
        <stp/>
        <stp>BDH|2628507656297612893</stp>
        <tr r="S6" s="3"/>
      </tp>
      <tp t="s">
        <v>#N/A N/A</v>
        <stp/>
        <stp>BDH|6843754533189649672</stp>
        <tr r="T19" s="4"/>
      </tp>
      <tp t="s">
        <v>#N/A N/A</v>
        <stp/>
        <stp>BDH|5995410457651271813</stp>
        <tr r="L17" s="3"/>
      </tp>
      <tp t="s">
        <v>#N/A N/A</v>
        <stp/>
        <stp>BDH|3541536568855382818</stp>
        <tr r="AG25" s="4"/>
      </tp>
      <tp t="s">
        <v>#N/A N/A</v>
        <stp/>
        <stp>BDH|9372182337692422457</stp>
        <tr r="D14" s="3"/>
      </tp>
      <tp t="s">
        <v>#N/A N/A</v>
        <stp/>
        <stp>BDP|3102266947058504078</stp>
        <tr r="AJ9" s="2"/>
      </tp>
      <tp t="s">
        <v>#N/A N/A</v>
        <stp/>
        <stp>BDH|6005162876059355417</stp>
        <tr r="AC21" s="4"/>
      </tp>
      <tp t="s">
        <v>#N/A N/A</v>
        <stp/>
        <stp>BDH|9508331704956472146</stp>
        <tr r="K20" s="3"/>
      </tp>
      <tp t="s">
        <v>#N/A N/A</v>
        <stp/>
        <stp>BDH|6333010384003386077</stp>
        <tr r="S22" s="3"/>
      </tp>
      <tp t="s">
        <v>#N/A N/A</v>
        <stp/>
        <stp>BDH|2068040932278681423</stp>
        <tr r="AM21" s="4"/>
      </tp>
      <tp t="s">
        <v>#N/A N/A</v>
        <stp/>
        <stp>BDH|8697368132587426254</stp>
        <tr r="AC14" s="3"/>
      </tp>
      <tp t="s">
        <v>#N/A N/A</v>
        <stp/>
        <stp>BDH|6335854127252785359</stp>
        <tr r="R10" s="4"/>
      </tp>
      <tp t="s">
        <v>#N/A N/A</v>
        <stp/>
        <stp>BDH|2814594079229388488</stp>
        <tr r="AE22" s="3"/>
      </tp>
      <tp t="s">
        <v>#N/A N/A</v>
        <stp/>
        <stp>BDH|1249873606051255524</stp>
        <tr r="R24" s="3"/>
      </tp>
      <tp t="s">
        <v>#N/A N/A</v>
        <stp/>
        <stp>BDH|7841185601849284209</stp>
        <tr r="AD7" s="3"/>
      </tp>
      <tp t="s">
        <v>#N/A N/A</v>
        <stp/>
        <stp>BDH|1254665194134067701</stp>
        <tr r="AJ24" s="4"/>
      </tp>
      <tp t="s">
        <v>#N/A N/A</v>
        <stp/>
        <stp>BDH|5093349364005890887</stp>
        <tr r="AI17" s="4"/>
      </tp>
      <tp t="s">
        <v>#N/A N/A</v>
        <stp/>
        <stp>BDH|9349399678691711149</stp>
        <tr r="AG16" s="3"/>
      </tp>
      <tp t="s">
        <v>#N/A N/A</v>
        <stp/>
        <stp>BDH|1063936816514647024</stp>
        <tr r="J26" s="4"/>
      </tp>
      <tp t="s">
        <v>#N/A N/A</v>
        <stp/>
        <stp>BDH|6542967542260981691</stp>
        <tr r="Q20" s="3"/>
      </tp>
      <tp t="s">
        <v>#N/A N/A</v>
        <stp/>
        <stp>BDH|6460160006993743920</stp>
        <tr r="AG17" s="4"/>
      </tp>
      <tp t="s">
        <v>#N/A N/A</v>
        <stp/>
        <stp>BDH|8472402420503123037</stp>
        <tr r="D10" s="3"/>
      </tp>
      <tp t="s">
        <v>#N/A N/A</v>
        <stp/>
        <stp>BDH|6643950151160443709</stp>
        <tr r="AB18" s="4"/>
      </tp>
      <tp t="s">
        <v>#N/A N/A</v>
        <stp/>
        <stp>BDP|9661579381908024171</stp>
        <tr r="O13" s="2"/>
      </tp>
      <tp t="s">
        <v>#N/A N/A</v>
        <stp/>
        <stp>BDH|3658941677165526572</stp>
        <tr r="AP10" s="4"/>
      </tp>
      <tp t="s">
        <v>#N/A N/A</v>
        <stp/>
        <stp>BDH|2034879713853585564</stp>
        <tr r="X10" s="3"/>
      </tp>
      <tp t="s">
        <v>#N/A N/A</v>
        <stp/>
        <stp>BDH|4603452865912852990</stp>
        <tr r="K18" s="3"/>
      </tp>
      <tp t="s">
        <v>#N/A N/A</v>
        <stp/>
        <stp>BDP|7502154695691214331</stp>
        <tr r="L13" s="2"/>
      </tp>
      <tp t="s">
        <v>#N/A N/A</v>
        <stp/>
        <stp>BDH|9167604538503552286</stp>
        <tr r="AP8" s="3"/>
      </tp>
      <tp t="s">
        <v>#N/A N/A</v>
        <stp/>
        <stp>BDH|9377834554751634869</stp>
        <tr r="N20" s="3"/>
      </tp>
      <tp t="s">
        <v>#N/A N/A</v>
        <stp/>
        <stp>BDP|4898069311311913934</stp>
        <tr r="AD13" s="2"/>
      </tp>
      <tp t="s">
        <v>#N/A N/A</v>
        <stp/>
        <stp>BDH|1312906155819084932</stp>
        <tr r="J18" s="4"/>
      </tp>
      <tp t="s">
        <v>#N/A N/A</v>
        <stp/>
        <stp>BDH|9413249320644090051</stp>
        <tr r="I9" s="3"/>
      </tp>
      <tp t="s">
        <v>#N/A N/A</v>
        <stp/>
        <stp>BDH|9855693381702381866</stp>
        <tr r="J7" s="4"/>
      </tp>
      <tp t="s">
        <v>#N/A N/A</v>
        <stp/>
        <stp>BDH|7218208583794263794</stp>
        <tr r="C14" s="4"/>
      </tp>
      <tp t="s">
        <v>#N/A N/A</v>
        <stp/>
        <stp>BDP|6018598893327017313</stp>
        <tr r="AI10" s="2"/>
      </tp>
      <tp t="s">
        <v>#N/A N/A</v>
        <stp/>
        <stp>BDP|2546714969234477920</stp>
        <tr r="AJ16" s="2"/>
      </tp>
      <tp t="s">
        <v>#N/A N/A</v>
        <stp/>
        <stp>BDP|1420904066320329091</stp>
        <tr r="K13" s="2"/>
      </tp>
      <tp t="s">
        <v>#N/A N/A</v>
        <stp/>
        <stp>BDH|4531943474426568286</stp>
        <tr r="O19" s="4"/>
      </tp>
      <tp t="s">
        <v>#N/A N/A</v>
        <stp/>
        <stp>BDH|5847621113074731861</stp>
        <tr r="Y20" s="4"/>
      </tp>
      <tp t="s">
        <v>#N/A N/A</v>
        <stp/>
        <stp>BDH|4315669049238745038</stp>
        <tr r="AK24" s="3"/>
      </tp>
      <tp t="s">
        <v>#N/A N/A</v>
        <stp/>
        <stp>BDH|5377889534156012674</stp>
        <tr r="AA19" s="4"/>
      </tp>
      <tp t="s">
        <v>#N/A N/A</v>
        <stp/>
        <stp>BDH|6175564896320984404</stp>
        <tr r="Z19" s="4"/>
      </tp>
      <tp t="s">
        <v>#N/A N/A</v>
        <stp/>
        <stp>BDH|5963744482282033612</stp>
        <tr r="E20" s="4"/>
      </tp>
      <tp t="s">
        <v>#N/A N/A</v>
        <stp/>
        <stp>BDH|1112320409364566812</stp>
        <tr r="Y24" s="4"/>
      </tp>
      <tp t="s">
        <v>#N/A N/A</v>
        <stp/>
        <stp>BDH|2727071371923889864</stp>
        <tr r="M10" s="4"/>
      </tp>
      <tp t="s">
        <v>#N/A N/A</v>
        <stp/>
        <stp>BDH|8922635095519183012</stp>
        <tr r="AO21" s="4"/>
      </tp>
      <tp t="s">
        <v>#N/A N/A</v>
        <stp/>
        <stp>BDP|8020571550511978727</stp>
        <tr r="O16" s="2"/>
      </tp>
      <tp t="s">
        <v>#N/A N/A</v>
        <stp/>
        <stp>BDH|8661921869148761169</stp>
        <tr r="I14" s="4"/>
      </tp>
      <tp t="s">
        <v>#N/A N/A</v>
        <stp/>
        <stp>BDH|8294315758754374443</stp>
        <tr r="Z6" s="3"/>
      </tp>
      <tp t="s">
        <v>#N/A N/A</v>
        <stp/>
        <stp>BDH|9878505328412522286</stp>
        <tr r="AN16" s="3"/>
      </tp>
      <tp t="s">
        <v>#N/A N/A</v>
        <stp/>
        <stp>BDH|9846035446325647663</stp>
        <tr r="AL13" s="4"/>
      </tp>
      <tp t="s">
        <v>#N/A N/A</v>
        <stp/>
        <stp>BDH|6767886415455296455</stp>
        <tr r="AC24" s="4"/>
      </tp>
      <tp t="s">
        <v>#N/A N/A</v>
        <stp/>
        <stp>BDP|9721849320075939886</stp>
        <tr r="AA10" s="2"/>
      </tp>
      <tp t="s">
        <v>#N/A N/A</v>
        <stp/>
        <stp>BDH|6361910201742164301</stp>
        <tr r="AJ10" s="4"/>
      </tp>
      <tp t="s">
        <v>#N/A N/A</v>
        <stp/>
        <stp>BDH|6795396988015176650</stp>
        <tr r="AL25" s="4"/>
      </tp>
      <tp t="s">
        <v>#N/A N/A</v>
        <stp/>
        <stp>BDH|8163482576802515787</stp>
        <tr r="L25" s="4"/>
      </tp>
      <tp t="s">
        <v>#N/A N/A</v>
        <stp/>
        <stp>BDP|5212259025899572245</stp>
        <tr r="D10" s="2"/>
      </tp>
      <tp t="s">
        <v>#N/A N/A</v>
        <stp/>
        <stp>BDH|7899028946475866876</stp>
        <tr r="AO13" s="4"/>
      </tp>
      <tp t="s">
        <v>#N/A N/A</v>
        <stp/>
        <stp>BDH|4524240281327535769</stp>
        <tr r="AL26" s="4"/>
      </tp>
      <tp t="s">
        <v>#N/A N/A</v>
        <stp/>
        <stp>BDH|7921954831672897166</stp>
        <tr r="K24" s="3"/>
      </tp>
      <tp t="s">
        <v>#N/A N/A</v>
        <stp/>
        <stp>BDH|4237924972334215001</stp>
        <tr r="AI9" s="4"/>
      </tp>
      <tp t="s">
        <v>#N/A N/A</v>
        <stp/>
        <stp>BDH|9105253573344574621</stp>
        <tr r="C25" s="4"/>
      </tp>
      <tp t="s">
        <v>#N/A N/A</v>
        <stp/>
        <stp>BDH|7245992973342086580</stp>
        <tr r="AF18" s="3"/>
      </tp>
      <tp t="s">
        <v>#N/A N/A</v>
        <stp/>
        <stp>BDH|8298612828623835132</stp>
        <tr r="D18" s="3"/>
      </tp>
      <tp t="s">
        <v>#N/A N/A</v>
        <stp/>
        <stp>BDH|2618249402049160711</stp>
        <tr r="L8" s="4"/>
      </tp>
      <tp t="s">
        <v>#N/A N/A</v>
        <stp/>
        <stp>BDH|2453175653138166000</stp>
        <tr r="Q12" s="3"/>
      </tp>
      <tp t="s">
        <v>#N/A N/A</v>
        <stp/>
        <stp>BDH|9559537312815282601</stp>
        <tr r="M9" s="4"/>
      </tp>
      <tp t="s">
        <v>#N/A N/A</v>
        <stp/>
        <stp>BDH|6347909405005932490</stp>
        <tr r="G24" s="3"/>
      </tp>
      <tp t="s">
        <v>#N/A N/A</v>
        <stp/>
        <stp>BDP|4590972713111006361</stp>
        <tr r="AN10" s="2"/>
      </tp>
      <tp t="s">
        <v>#N/A N/A</v>
        <stp/>
        <stp>BDP|1730847057125515767</stp>
        <tr r="P12" s="2"/>
      </tp>
      <tp t="s">
        <v>#N/A N/A</v>
        <stp/>
        <stp>BDH|6129373451816194810</stp>
        <tr r="K26" s="4"/>
      </tp>
      <tp t="s">
        <v>#N/A N/A</v>
        <stp/>
        <stp>BDH|6687532180681751454</stp>
        <tr r="H14" s="3"/>
      </tp>
      <tp t="s">
        <v>#N/A N/A</v>
        <stp/>
        <stp>BDH|9673443263014295141</stp>
        <tr r="X14" s="4"/>
      </tp>
      <tp t="s">
        <v>#N/A N/A</v>
        <stp/>
        <stp>BDH|5071027011122123861</stp>
        <tr r="X22" s="3"/>
      </tp>
      <tp t="s">
        <v>#N/A N/A</v>
        <stp/>
        <stp>BDH|9027178850686666558</stp>
        <tr r="W7" s="4"/>
      </tp>
      <tp t="s">
        <v>#N/A N/A</v>
        <stp/>
        <stp>BDH|5696613480460019536</stp>
        <tr r="AH8" s="3"/>
      </tp>
      <tp t="s">
        <v>#N/A N/A</v>
        <stp/>
        <stp>BDH|6094405204604816881</stp>
        <tr r="Y20" s="3"/>
      </tp>
      <tp t="s">
        <v>#N/A N/A</v>
        <stp/>
        <stp>BDH|7790617075200111876</stp>
        <tr r="AD13" s="3"/>
      </tp>
      <tp t="s">
        <v>#N/A N/A</v>
        <stp/>
        <stp>BDH|75948811389194250</stp>
        <tr r="Z24" s="3"/>
      </tp>
      <tp t="s">
        <v>#N/A N/A</v>
        <stp/>
        <stp>BDP|3126575120353854846</stp>
        <tr r="AL12" s="2"/>
      </tp>
      <tp t="s">
        <v>#N/A N/A</v>
        <stp/>
        <stp>BDH|5479301509830093974</stp>
        <tr r="AI7" s="3"/>
      </tp>
      <tp t="s">
        <v>#N/A N/A</v>
        <stp/>
        <stp>BDH|6719628695516291090</stp>
        <tr r="AD25" s="3"/>
      </tp>
      <tp t="s">
        <v>#N/A N/A</v>
        <stp/>
        <stp>BDP|2422448792094386496</stp>
        <tr r="AE17" s="2"/>
      </tp>
      <tp t="s">
        <v>#N/A N/A</v>
        <stp/>
        <stp>BDP|1402208274063182897</stp>
        <tr r="I17" s="2"/>
      </tp>
      <tp t="s">
        <v>#N/A N/A</v>
        <stp/>
        <stp>BDH|4616872449167912091</stp>
        <tr r="AJ13" s="3"/>
      </tp>
      <tp t="s">
        <v>#N/A N/A</v>
        <stp/>
        <stp>BDH|7065885925357564504</stp>
        <tr r="Y9" s="4"/>
      </tp>
      <tp t="s">
        <v>#N/A N/A</v>
        <stp/>
        <stp>BDH|9119169735594955031</stp>
        <tr r="D7" s="4"/>
      </tp>
      <tp t="s">
        <v>#N/A N/A</v>
        <stp/>
        <stp>BDH|1879259643031372951</stp>
        <tr r="W16" s="3"/>
      </tp>
      <tp t="s">
        <v>#N/A N/A</v>
        <stp/>
        <stp>BDH|9599299646393619352</stp>
        <tr r="AB18" s="3"/>
      </tp>
      <tp t="s">
        <v>#N/A N/A</v>
        <stp/>
        <stp>BDH|2106249758312664826</stp>
        <tr r="AO25" s="4"/>
      </tp>
      <tp t="s">
        <v>#N/A N/A</v>
        <stp/>
        <stp>BDH|1299460482172645091</stp>
        <tr r="AL17" s="4"/>
      </tp>
      <tp t="s">
        <v>#N/A N/A</v>
        <stp/>
        <stp>BDP|4160574270839012083</stp>
        <tr r="G17" s="2"/>
      </tp>
      <tp t="s">
        <v>#N/A N/A</v>
        <stp/>
        <stp>BDH|8298366304964624085</stp>
        <tr r="AC18" s="3"/>
      </tp>
      <tp t="s">
        <v>#N/A N/A</v>
        <stp/>
        <stp>BDH|9709198691477219934</stp>
        <tr r="I16" s="3"/>
      </tp>
      <tp t="s">
        <v>#N/A N/A</v>
        <stp/>
        <stp>BDP|3847836070662359149</stp>
        <tr r="AH10" s="2"/>
      </tp>
      <tp t="s">
        <v>#N/A N/A</v>
        <stp/>
        <stp>BDH|4732360984047191783</stp>
        <tr r="R25" s="4"/>
      </tp>
      <tp t="s">
        <v>#N/A N/A</v>
        <stp/>
        <stp>BDH|1480195896725624302</stp>
        <tr r="AD26" s="4"/>
      </tp>
      <tp t="s">
        <v>#N/A N/A</v>
        <stp/>
        <stp>BDP|9651260559724994525</stp>
        <tr r="AM16" s="2"/>
      </tp>
      <tp t="s">
        <v>#N/A N/A</v>
        <stp/>
        <stp>BDH|8961794918089283899</stp>
        <tr r="M8" s="4"/>
      </tp>
      <tp t="s">
        <v>#N/A N/A</v>
        <stp/>
        <stp>BDH|2491856072500745276</stp>
        <tr r="L18" s="3"/>
      </tp>
      <tp t="s">
        <v>#N/A N/A</v>
        <stp/>
        <stp>BDH|1016409833190774974</stp>
        <tr r="S14" s="4"/>
      </tp>
      <tp t="s">
        <v>#N/A N/A</v>
        <stp/>
        <stp>BDH|7910832103920249081</stp>
        <tr r="AF16" s="4"/>
      </tp>
      <tp t="s">
        <v>#N/A N/A</v>
        <stp/>
        <stp>BDH|2795801077182943091</stp>
        <tr r="AE25" s="3"/>
      </tp>
      <tp t="s">
        <v>#N/A N/A</v>
        <stp/>
        <stp>BDH|7309830636280492325</stp>
        <tr r="W10" s="4"/>
      </tp>
      <tp t="s">
        <v>#N/A N/A</v>
        <stp/>
        <stp>BDH|2453641133621693942</stp>
        <tr r="AC7" s="4"/>
      </tp>
      <tp t="s">
        <v>#N/A N/A</v>
        <stp/>
        <stp>BDH|9169271892458550574</stp>
        <tr r="L9" s="3"/>
      </tp>
      <tp t="s">
        <v>#N/A N/A</v>
        <stp/>
        <stp>BDH|5291978767645492016</stp>
        <tr r="AK10" s="4"/>
      </tp>
      <tp t="s">
        <v>#N/A N/A</v>
        <stp/>
        <stp>BDH|2508909510495479061</stp>
        <tr r="AI16" s="4"/>
      </tp>
      <tp t="s">
        <v>#N/A N/A</v>
        <stp/>
        <stp>BDH|9581106481029766646</stp>
        <tr r="AP17" s="3"/>
      </tp>
      <tp t="s">
        <v>#N/A N/A</v>
        <stp/>
        <stp>BDH|1056148968480840900</stp>
        <tr r="AJ26" s="3"/>
      </tp>
      <tp t="s">
        <v>#N/A N/A</v>
        <stp/>
        <stp>BDH|4143643274408067259</stp>
        <tr r="AM18" s="3"/>
      </tp>
      <tp t="s">
        <v>#N/A N/A</v>
        <stp/>
        <stp>BDH|6445479269248978376</stp>
        <tr r="AL17" s="3"/>
      </tp>
      <tp t="s">
        <v>#N/A N/A</v>
        <stp/>
        <stp>BDH|5100816105165692769</stp>
        <tr r="AF21" s="4"/>
      </tp>
      <tp t="s">
        <v>#N/A N/A</v>
        <stp/>
        <stp>BDH|9553510840954994382</stp>
        <tr r="AP16" s="4"/>
      </tp>
      <tp t="s">
        <v>#N/A N/A</v>
        <stp/>
        <stp>BDH|3964607449839755724</stp>
        <tr r="L26" s="4"/>
      </tp>
      <tp t="s">
        <v>#N/A N/A</v>
        <stp/>
        <stp>BDH|8320339243630629007</stp>
        <tr r="AK8" s="4"/>
      </tp>
      <tp t="s">
        <v>#N/A N/A</v>
        <stp/>
        <stp>BDH|5122947744176670129</stp>
        <tr r="H14" s="4"/>
      </tp>
      <tp t="s">
        <v>#N/A N/A</v>
        <stp/>
        <stp>BDH|6282290049039519627</stp>
        <tr r="Y10" s="3"/>
      </tp>
      <tp t="s">
        <v>#N/A N/A</v>
        <stp/>
        <stp>BDP|6061286282252854698</stp>
        <tr r="J13" s="2"/>
      </tp>
      <tp t="s">
        <v>#N/A N/A</v>
        <stp/>
        <stp>BDP|3778806558212587415</stp>
        <tr r="R17" s="2"/>
      </tp>
      <tp t="s">
        <v>#N/A N/A</v>
        <stp/>
        <stp>BDH|1510048053215934908</stp>
        <tr r="G18" s="4"/>
      </tp>
      <tp t="s">
        <v>#N/A N/A</v>
        <stp/>
        <stp>BDH|9635542725872880449</stp>
        <tr r="P8" s="3"/>
      </tp>
      <tp t="s">
        <v>#N/A N/A</v>
        <stp/>
        <stp>BDH|6830804603692049434</stp>
        <tr r="AO9" s="3"/>
      </tp>
      <tp t="s">
        <v>#N/A N/A</v>
        <stp/>
        <stp>BDH|4760033402324643882</stp>
        <tr r="L19" s="4"/>
      </tp>
      <tp t="s">
        <v>#N/A N/A</v>
        <stp/>
        <stp>BDH|8175974889323764200</stp>
        <tr r="D13" s="3"/>
      </tp>
      <tp t="s">
        <v>#N/A N/A</v>
        <stp/>
        <stp>BDH|9154855913510672899</stp>
        <tr r="E6" s="3"/>
      </tp>
      <tp t="s">
        <v>#N/A N/A</v>
        <stp/>
        <stp>BDH|7158816219367886192</stp>
        <tr r="S16" s="4"/>
      </tp>
      <tp t="s">
        <v>#N/A N/A</v>
        <stp/>
        <stp>BDH|9623096412859303962</stp>
        <tr r="C10" s="4"/>
      </tp>
      <tp t="s">
        <v>#N/A N/A</v>
        <stp/>
        <stp>BDP|8274026323290995234</stp>
        <tr r="U13" s="2"/>
      </tp>
      <tp t="s">
        <v>#N/A N/A</v>
        <stp/>
        <stp>BDH|6211586294081229351</stp>
        <tr r="V28" s="3"/>
      </tp>
      <tp t="s">
        <v>#N/A N/A</v>
        <stp/>
        <stp>BDH|5268988806834626032</stp>
        <tr r="AF22" s="3"/>
      </tp>
      <tp t="s">
        <v>#N/A N/A</v>
        <stp/>
        <stp>BDH|1084000969406877983</stp>
        <tr r="AD8" s="4"/>
      </tp>
      <tp t="s">
        <v>#N/A N/A</v>
        <stp/>
        <stp>BDH|8520694951023237069</stp>
        <tr r="H19" s="4"/>
      </tp>
      <tp t="s">
        <v>#N/A N/A</v>
        <stp/>
        <stp>BDH|5135071970748040285</stp>
        <tr r="U17" s="3"/>
      </tp>
      <tp t="s">
        <v>#N/A N/A</v>
        <stp/>
        <stp>BDH|5497998904295356154</stp>
        <tr r="E16" s="4"/>
      </tp>
      <tp t="s">
        <v>#N/A N/A</v>
        <stp/>
        <stp>BDH|6294863559241965280</stp>
        <tr r="V18" s="4"/>
      </tp>
      <tp t="s">
        <v>#N/A N/A</v>
        <stp/>
        <stp>BDP|2659387136388087258</stp>
        <tr r="P13" s="2"/>
      </tp>
      <tp t="s">
        <v>#N/A N/A</v>
        <stp/>
        <stp>BDH|8009553819714019017</stp>
        <tr r="AA14" s="3"/>
      </tp>
      <tp t="s">
        <v>#N/A N/A</v>
        <stp/>
        <stp>BDP|7454590619652141977</stp>
        <tr r="Z17" s="2"/>
      </tp>
      <tp t="s">
        <v>#N/A N/A</v>
        <stp/>
        <stp>BDH|7319641136763229916</stp>
        <tr r="E18" s="3"/>
      </tp>
      <tp t="s">
        <v>#N/A N/A</v>
        <stp/>
        <stp>BDH|8434635906407495173</stp>
        <tr r="V17" s="3"/>
      </tp>
      <tp t="s">
        <v>#N/A N/A</v>
        <stp/>
        <stp>BDH|8596892530339948271</stp>
        <tr r="AB8" s="3"/>
      </tp>
      <tp t="s">
        <v>#N/A N/A</v>
        <stp/>
        <stp>BDH|1750302732570764908</stp>
        <tr r="AI21" s="4"/>
      </tp>
      <tp t="s">
        <v>#N/A N/A</v>
        <stp/>
        <stp>BDH|1603808361052651532</stp>
        <tr r="L24" s="3"/>
      </tp>
      <tp t="s">
        <v>#N/A N/A</v>
        <stp/>
        <stp>BDH|2488416014039507677</stp>
        <tr r="AE24" s="4"/>
      </tp>
      <tp t="s">
        <v>#N/A N/A</v>
        <stp/>
        <stp>BDP|3102231933879362324</stp>
        <tr r="Y16" s="2"/>
      </tp>
      <tp t="s">
        <v>#N/A N/A</v>
        <stp/>
        <stp>BDP|5160366098317610098</stp>
        <tr r="C10" s="2"/>
      </tp>
      <tp t="s">
        <v>#N/A N/A</v>
        <stp/>
        <stp>BDP|9821445176793979137</stp>
        <tr r="AK10" s="2"/>
      </tp>
      <tp t="s">
        <v>#N/A N/A</v>
        <stp/>
        <stp>BDH|2663253695347553632</stp>
        <tr r="P10" s="4"/>
      </tp>
      <tp t="s">
        <v>#N/A N/A</v>
        <stp/>
        <stp>BDH|7208517220600442865</stp>
        <tr r="C18" s="4"/>
      </tp>
      <tp t="s">
        <v>#N/A N/A</v>
        <stp/>
        <stp>BDH|2907802858251570654</stp>
        <tr r="AF16" s="3"/>
      </tp>
      <tp t="s">
        <v>#N/A N/A</v>
        <stp/>
        <stp>BDH|9563322376205685012</stp>
        <tr r="K17" s="4"/>
      </tp>
      <tp t="s">
        <v>#N/A N/A</v>
        <stp/>
        <stp>BDH|5510834718564895007</stp>
        <tr r="AM25" s="4"/>
      </tp>
      <tp t="s">
        <v>#N/A N/A</v>
        <stp/>
        <stp>BDH|4318467525049061371</stp>
        <tr r="AF7" s="3"/>
      </tp>
      <tp t="s">
        <v>#N/A N/A</v>
        <stp/>
        <stp>BDP|3319636591447188342</stp>
        <tr r="Q16" s="2"/>
      </tp>
      <tp t="s">
        <v>#N/A N/A</v>
        <stp/>
        <stp>BDH|1459551682010567420</stp>
        <tr r="AN21" s="4"/>
      </tp>
      <tp t="s">
        <v>#N/A N/A</v>
        <stp/>
        <stp>BDH|3198253892885668543</stp>
        <tr r="AD14" s="4"/>
      </tp>
      <tp t="s">
        <v>#N/A N/A</v>
        <stp/>
        <stp>BDH|3772231892120796056</stp>
        <tr r="S24" s="4"/>
      </tp>
      <tp t="s">
        <v>#N/A N/A</v>
        <stp/>
        <stp>BDH|3471363456728906586</stp>
        <tr r="AD9" s="4"/>
      </tp>
      <tp t="s">
        <v>#N/A N/A</v>
        <stp/>
        <stp>BDH|8340470216836001374</stp>
        <tr r="N21" s="4"/>
      </tp>
      <tp t="s">
        <v>#N/A N/A</v>
        <stp/>
        <stp>BDH|1887065958179155522</stp>
        <tr r="AK7" s="4"/>
      </tp>
      <tp t="s">
        <v>#N/A N/A</v>
        <stp/>
        <stp>BDP|9958063204047992792</stp>
        <tr r="AH12" s="2"/>
      </tp>
      <tp t="s">
        <v>#N/A N/A</v>
        <stp/>
        <stp>BDH|8434527439126609126</stp>
        <tr r="AK24" s="4"/>
      </tp>
      <tp t="s">
        <v>#N/A N/A</v>
        <stp/>
        <stp>BDH|7194084485937022172</stp>
        <tr r="X26" s="4"/>
      </tp>
      <tp t="s">
        <v>#N/A N/A</v>
        <stp/>
        <stp>BDH|7826226169339980318</stp>
        <tr r="S20" s="3"/>
      </tp>
      <tp t="s">
        <v>#N/A N/A</v>
        <stp/>
        <stp>BDH|7426727994129185987</stp>
        <tr r="G10" s="4"/>
      </tp>
      <tp t="s">
        <v>#N/A N/A</v>
        <stp/>
        <stp>BDH|6247577390586734598</stp>
        <tr r="AF9" s="4"/>
      </tp>
      <tp t="s">
        <v>#N/A N/A</v>
        <stp/>
        <stp>BDP|3603578228424722961</stp>
        <tr r="AO9" s="2"/>
      </tp>
      <tp t="s">
        <v>#N/A N/A</v>
        <stp/>
        <stp>BDP|6593425049437012869</stp>
        <tr r="AG17" s="2"/>
      </tp>
      <tp t="s">
        <v>#N/A N/A</v>
        <stp/>
        <stp>BDP|2590117893385865679</stp>
        <tr r="AF10" s="2"/>
      </tp>
      <tp t="s">
        <v>#N/A N/A</v>
        <stp/>
        <stp>BDP|8904288308814928780</stp>
        <tr r="M17" s="2"/>
      </tp>
      <tp t="s">
        <v>#N/A N/A</v>
        <stp/>
        <stp>BDH|9854010421054833684</stp>
        <tr r="AD26" s="3"/>
      </tp>
      <tp t="s">
        <v>#N/A N/A</v>
        <stp/>
        <stp>BDH|9708045912527982600</stp>
        <tr r="AB6" s="3"/>
      </tp>
      <tp t="s">
        <v>#N/A N/A</v>
        <stp/>
        <stp>BDP|6600101885936259084</stp>
        <tr r="V9" s="2"/>
      </tp>
      <tp t="s">
        <v>#N/A N/A</v>
        <stp/>
        <stp>BDP|3766752489874117139</stp>
        <tr r="S17" s="2"/>
      </tp>
      <tp t="s">
        <v>#N/A N/A</v>
        <stp/>
        <stp>BDH|7621941449690113336</stp>
        <tr r="X21" s="3"/>
      </tp>
      <tp t="s">
        <v>#N/A N/A</v>
        <stp/>
        <stp>BDH|5185063438048635702</stp>
        <tr r="E8" s="4"/>
      </tp>
    </main>
    <main first="bofaddin.rtdserver">
      <tp t="s">
        <v>#N/A N/A</v>
        <stp/>
        <stp>BDP|1367899342396614206</stp>
        <tr r="F10" s="2"/>
      </tp>
      <tp t="s">
        <v>#N/A N/A</v>
        <stp/>
        <stp>BDH|9437933058554862893</stp>
        <tr r="C8" s="3"/>
      </tp>
      <tp t="s">
        <v>#N/A N/A</v>
        <stp/>
        <stp>BDH|6780212289043920686</stp>
        <tr r="C16" s="3"/>
      </tp>
      <tp t="s">
        <v>#N/A N/A</v>
        <stp/>
        <stp>BDH|2846655180030604541</stp>
        <tr r="AE24" s="3"/>
      </tp>
      <tp t="s">
        <v>#N/A N/A</v>
        <stp/>
        <stp>BDH|8025618831641413588</stp>
        <tr r="H13" s="3"/>
      </tp>
      <tp t="s">
        <v>#N/A N/A</v>
        <stp/>
        <stp>BDH|1330653760298298083</stp>
        <tr r="C19" s="4"/>
      </tp>
      <tp t="s">
        <v>#N/A N/A</v>
        <stp/>
        <stp>BDH|5104283706898564665</stp>
        <tr r="R21" s="4"/>
      </tp>
      <tp t="s">
        <v>#N/A N/A</v>
        <stp/>
        <stp>BDH|2943668144269572024</stp>
        <tr r="F22" s="3"/>
      </tp>
      <tp t="s">
        <v>#N/A N/A</v>
        <stp/>
        <stp>BDP|8441264672812382613</stp>
        <tr r="AE9" s="2"/>
      </tp>
      <tp t="s">
        <v>#N/A N/A</v>
        <stp/>
        <stp>BDP|6289824366238137945</stp>
        <tr r="AC12" s="2"/>
      </tp>
      <tp t="s">
        <v>#N/A N/A</v>
        <stp/>
        <stp>BDP|9724936272057399952</stp>
        <tr r="N9" s="2"/>
      </tp>
      <tp t="s">
        <v>#N/A N/A</v>
        <stp/>
        <stp>BDH|9919667628637361346</stp>
        <tr r="T9" s="4"/>
      </tp>
      <tp t="s">
        <v>#N/A N/A</v>
        <stp/>
        <stp>BDH|6818786455025153851</stp>
        <tr r="AE6" s="3"/>
      </tp>
      <tp t="s">
        <v>#N/A N/A</v>
        <stp/>
        <stp>BDH|5218227896161432630</stp>
        <tr r="Q7" s="3"/>
      </tp>
      <tp t="s">
        <v>#N/A N/A</v>
        <stp/>
        <stp>BDH|8825128250592825731</stp>
        <tr r="U13" s="4"/>
      </tp>
      <tp t="s">
        <v>#N/A N/A</v>
        <stp/>
        <stp>BDH|2845867938043041304</stp>
        <tr r="AP13" s="4"/>
      </tp>
      <tp t="s">
        <v>#N/A N/A</v>
        <stp/>
        <stp>BDH|5435072383471161574</stp>
        <tr r="Z9" s="3"/>
      </tp>
      <tp t="s">
        <v>#N/A N/A</v>
        <stp/>
        <stp>BDH|7029573330970103805</stp>
        <tr r="Y13" s="3"/>
      </tp>
      <tp t="s">
        <v>#N/A N/A</v>
        <stp/>
        <stp>BDP|1791465586666888289</stp>
        <tr r="R16" s="2"/>
      </tp>
      <tp t="s">
        <v>#N/A N/A</v>
        <stp/>
        <stp>BDP|4214244363710828992</stp>
        <tr r="AE10" s="2"/>
      </tp>
      <tp t="s">
        <v>#N/A N/A</v>
        <stp/>
        <stp>BDH|9289823262479305758</stp>
        <tr r="O21" s="4"/>
      </tp>
      <tp t="s">
        <v>#N/A N/A</v>
        <stp/>
        <stp>BDH|2307496007006815911</stp>
        <tr r="W16" s="4"/>
      </tp>
      <tp t="s">
        <v>#N/A N/A</v>
        <stp/>
        <stp>BDP|4323634045679559659</stp>
        <tr r="AI12" s="2"/>
      </tp>
      <tp t="s">
        <v>#N/A N/A</v>
        <stp/>
        <stp>BDH|9262832569556897853</stp>
        <tr r="H7" s="4"/>
      </tp>
      <tp t="s">
        <v>#N/A N/A</v>
        <stp/>
        <stp>BDH|1180644696433272444</stp>
        <tr r="AA24" s="3"/>
      </tp>
      <tp t="s">
        <v>#N/A N/A</v>
        <stp/>
        <stp>BDH|9180343456302275444</stp>
        <tr r="AB14" s="3"/>
      </tp>
      <tp t="s">
        <v>#N/A N/A</v>
        <stp/>
        <stp>BDH|1719154510642935917</stp>
        <tr r="O26" s="3"/>
      </tp>
      <tp t="s">
        <v>#N/A N/A</v>
        <stp/>
        <stp>BDH|7247836614305809179</stp>
        <tr r="P21" s="4"/>
      </tp>
      <tp t="s">
        <v>#N/A N/A</v>
        <stp/>
        <stp>BDH|2107940044941807435</stp>
        <tr r="H12" s="3"/>
      </tp>
      <tp t="s">
        <v>#N/A N/A</v>
        <stp/>
        <stp>BDP|3394802092891335998</stp>
        <tr r="E17" s="2"/>
      </tp>
      <tp t="s">
        <v>#N/A N/A</v>
        <stp/>
        <stp>BDH|2661127136789868311</stp>
        <tr r="AM18" s="4"/>
      </tp>
      <tp t="s">
        <v>#N/A N/A</v>
        <stp/>
        <stp>BDH|9216190119345168685</stp>
        <tr r="M20" s="4"/>
      </tp>
      <tp t="s">
        <v>#N/A N/A</v>
        <stp/>
        <stp>BDH|2967742701178192769</stp>
        <tr r="S18" s="3"/>
      </tp>
      <tp t="s">
        <v>#N/A N/A</v>
        <stp/>
        <stp>BDH|3150717608067249910</stp>
        <tr r="U8" s="4"/>
      </tp>
      <tp t="s">
        <v>#N/A N/A</v>
        <stp/>
        <stp>BDH|1277973660874866059</stp>
        <tr r="T12" s="3"/>
      </tp>
      <tp t="s">
        <v>#N/A N/A</v>
        <stp/>
        <stp>BDH|8490993547768198732</stp>
        <tr r="X24" s="4"/>
      </tp>
      <tp t="s">
        <v>#N/A N/A</v>
        <stp/>
        <stp>BDH|6972668260864224859</stp>
        <tr r="O7" s="3"/>
      </tp>
      <tp t="s">
        <v>#N/A N/A</v>
        <stp/>
        <stp>BDH|6325907759304233415</stp>
        <tr r="AI21" s="3"/>
      </tp>
      <tp t="s">
        <v>#N/A N/A</v>
        <stp/>
        <stp>BDH|8004926353699936719</stp>
        <tr r="G26" s="4"/>
      </tp>
      <tp t="s">
        <v>#N/A N/A</v>
        <stp/>
        <stp>BDH|4219081234125879884</stp>
        <tr r="AE25" s="4"/>
      </tp>
      <tp t="s">
        <v>#N/A N/A</v>
        <stp/>
        <stp>BDH|2432358252108892658</stp>
        <tr r="R19" s="4"/>
      </tp>
      <tp t="s">
        <v>#N/A N/A</v>
        <stp/>
        <stp>BDP|5595687588997831627</stp>
        <tr r="AK12" s="2"/>
      </tp>
      <tp t="s">
        <v>#N/A N/A</v>
        <stp/>
        <stp>BDP|2384473038498698780</stp>
        <tr r="I10" s="2"/>
      </tp>
      <tp t="s">
        <v>#N/A N/A</v>
        <stp/>
        <stp>BDH|5449305463643202972</stp>
        <tr r="AC10" s="3"/>
      </tp>
      <tp t="s">
        <v>#N/A N/A</v>
        <stp/>
        <stp>BDH|1888287044024103978</stp>
        <tr r="T17" s="3"/>
      </tp>
      <tp t="s">
        <v>#N/A N/A</v>
        <stp/>
        <stp>BDH|2803715869250369904</stp>
        <tr r="AB22" s="3"/>
      </tp>
      <tp t="s">
        <v>#N/A N/A</v>
        <stp/>
        <stp>BDH|8447047606262682001</stp>
        <tr r="F13" s="3"/>
      </tp>
      <tp t="s">
        <v>#N/A N/A</v>
        <stp/>
        <stp>BDH|3468097838872322867</stp>
        <tr r="AB26" s="3"/>
      </tp>
      <tp t="s">
        <v>#N/A N/A</v>
        <stp/>
        <stp>BDH|5716884864323394283</stp>
        <tr r="AP18" s="3"/>
      </tp>
      <tp t="s">
        <v>#N/A N/A</v>
        <stp/>
        <stp>BDP|3509653960980281933</stp>
        <tr r="C12" s="2"/>
      </tp>
      <tp t="s">
        <v>#N/A N/A</v>
        <stp/>
        <stp>BDH|7726429260527564819</stp>
        <tr r="AH10" s="4"/>
      </tp>
      <tp t="s">
        <v>#N/A N/A</v>
        <stp/>
        <stp>BDP|9171040451294784252</stp>
        <tr r="U12" s="2"/>
      </tp>
      <tp t="s">
        <v>#N/A N/A</v>
        <stp/>
        <stp>BDH|9902620979494277663</stp>
        <tr r="W18" s="4"/>
      </tp>
      <tp t="s">
        <v>#N/A N/A</v>
        <stp/>
        <stp>BDH|4130744034618559229</stp>
        <tr r="H28" s="3"/>
      </tp>
      <tp t="s">
        <v>#N/A N/A</v>
        <stp/>
        <stp>BDP|9395110139150930157</stp>
        <tr r="P16" s="2"/>
      </tp>
      <tp t="s">
        <v>#N/A N/A</v>
        <stp/>
        <stp>BDH|9144555104175716304</stp>
        <tr r="AC7" s="3"/>
      </tp>
      <tp t="s">
        <v>#N/A N/A</v>
        <stp/>
        <stp>BDH|1542311566399438710</stp>
        <tr r="AM14" s="4"/>
      </tp>
      <tp t="s">
        <v>#N/A N/A</v>
        <stp/>
        <stp>BDH|1577014261418443569</stp>
        <tr r="AH20" s="4"/>
      </tp>
      <tp t="s">
        <v>#N/A N/A</v>
        <stp/>
        <stp>BDH|1872537356792982933</stp>
        <tr r="I8" s="4"/>
      </tp>
      <tp t="s">
        <v>#N/A N/A</v>
        <stp/>
        <stp>BDH|4344978377824716405</stp>
        <tr r="F21" s="4"/>
      </tp>
      <tp t="s">
        <v>#N/A N/A</v>
        <stp/>
        <stp>BDH|9082007635357609774</stp>
        <tr r="T13" s="3"/>
      </tp>
      <tp t="s">
        <v>#N/A N/A</v>
        <stp/>
        <stp>BDH|3659985029256252402</stp>
        <tr r="E20" s="3"/>
      </tp>
      <tp t="s">
        <v>#N/A N/A</v>
        <stp/>
        <stp>BDH|9188907335890490958</stp>
        <tr r="N13" s="4"/>
      </tp>
      <tp t="s">
        <v>#N/A N/A</v>
        <stp/>
        <stp>BDH|9587110223492369217</stp>
        <tr r="AI26" s="4"/>
      </tp>
    </main>
    <main first="bofaddin.rtdserver">
      <tp t="s">
        <v>#N/A N/A</v>
        <stp/>
        <stp>BDP|8662858146046617995</stp>
        <tr r="Y12" s="2"/>
      </tp>
      <tp t="s">
        <v>#N/A N/A</v>
        <stp/>
        <stp>BDH|6526879318800083402</stp>
        <tr r="J24" s="3"/>
      </tp>
      <tp t="s">
        <v>#N/A N/A</v>
        <stp/>
        <stp>BDP|5538979039945096108</stp>
        <tr r="X16" s="2"/>
      </tp>
      <tp t="s">
        <v>#N/A N/A</v>
        <stp/>
        <stp>BDH|8031310150012935701</stp>
        <tr r="I20" s="4"/>
      </tp>
      <tp t="s">
        <v>#N/A N/A</v>
        <stp/>
        <stp>BDH|5933415425769401112</stp>
        <tr r="R26" s="4"/>
      </tp>
      <tp t="s">
        <v>#N/A N/A</v>
        <stp/>
        <stp>BDH|7451636319953118879</stp>
        <tr r="V17" s="4"/>
      </tp>
      <tp t="s">
        <v>#N/A N/A</v>
        <stp/>
        <stp>BDH|8028930098150620354</stp>
        <tr r="AC14" s="4"/>
      </tp>
      <tp t="s">
        <v>#N/A N/A</v>
        <stp/>
        <stp>BDH|1857727362593659871</stp>
        <tr r="J25" s="4"/>
      </tp>
      <tp t="s">
        <v>#N/A N/A</v>
        <stp/>
        <stp>BDH|4976296860409046293</stp>
        <tr r="AE17" s="4"/>
      </tp>
      <tp t="s">
        <v>#N/A N/A</v>
        <stp/>
        <stp>BDH|5184629159345369803</stp>
        <tr r="AH24" s="4"/>
      </tp>
      <tp t="s">
        <v>#N/A N/A</v>
        <stp/>
        <stp>BDH|7758991025124116348</stp>
        <tr r="AD17" s="3"/>
      </tp>
      <tp t="s">
        <v>#N/A N/A</v>
        <stp/>
        <stp>BDH|5211389454388184037</stp>
        <tr r="AP7" s="3"/>
      </tp>
      <tp t="s">
        <v>#N/A N/A</v>
        <stp/>
        <stp>BDH|2616231368308010518</stp>
        <tr r="K10" s="4"/>
      </tp>
      <tp t="s">
        <v>#N/A N/A</v>
        <stp/>
        <stp>BDH|5094155464748826157</stp>
        <tr r="AP10" s="3"/>
      </tp>
      <tp t="s">
        <v>#N/A N/A</v>
        <stp/>
        <stp>BDP|5416166359353417924</stp>
        <tr r="AH9" s="2"/>
      </tp>
      <tp t="s">
        <v>#N/A N/A</v>
        <stp/>
        <stp>BDH|8914023966080811586</stp>
        <tr r="I17" s="3"/>
      </tp>
      <tp t="s">
        <v>#N/A N/A</v>
        <stp/>
        <stp>BDH|6086237819667376941</stp>
        <tr r="W7" s="3"/>
      </tp>
      <tp t="s">
        <v>#N/A N/A</v>
        <stp/>
        <stp>BDH|9421959351557165938</stp>
        <tr r="O8" s="3"/>
      </tp>
      <tp t="s">
        <v>#N/A N/A</v>
        <stp/>
        <stp>BDH|6573650625208182165</stp>
        <tr r="AH16" s="4"/>
      </tp>
      <tp t="s">
        <v>#N/A N/A</v>
        <stp/>
        <stp>BDH|9014216137022099145</stp>
        <tr r="J20" s="4"/>
      </tp>
      <tp t="s">
        <v>#N/A N/A</v>
        <stp/>
        <stp>BDH|1798403202287319943</stp>
        <tr r="AL16" s="4"/>
      </tp>
      <tp t="s">
        <v>#N/A N/A</v>
        <stp/>
        <stp>BDH|5763924310060799605</stp>
        <tr r="AJ13" s="4"/>
      </tp>
      <tp t="s">
        <v>#N/A N/A</v>
        <stp/>
        <stp>BDP|1115827127864056473</stp>
        <tr r="N12" s="2"/>
      </tp>
      <tp t="s">
        <v>#N/A N/A</v>
        <stp/>
        <stp>BDH|1270825253735159211</stp>
        <tr r="I24" s="3"/>
      </tp>
      <tp t="s">
        <v>#N/A N/A</v>
        <stp/>
        <stp>BDH|1843123976104685897</stp>
        <tr r="AK9" s="3"/>
      </tp>
      <tp t="s">
        <v>#N/A N/A</v>
        <stp/>
        <stp>BDP|6066752285091139314</stp>
        <tr r="Z10" s="2"/>
      </tp>
      <tp t="s">
        <v>#N/A N/A</v>
        <stp/>
        <stp>BDP|2544443963058018325</stp>
        <tr r="F9" s="2"/>
      </tp>
      <tp t="s">
        <v>#N/A N/A</v>
        <stp/>
        <stp>BDH|8953335439174127720</stp>
        <tr r="O14" s="3"/>
      </tp>
      <tp t="s">
        <v>#N/A N/A</v>
        <stp/>
        <stp>BDH|8011444105255525247</stp>
        <tr r="AB20" s="4"/>
      </tp>
      <tp t="s">
        <v>#N/A N/A</v>
        <stp/>
        <stp>BDH|2535170668797265986</stp>
        <tr r="AF21" s="3"/>
      </tp>
      <tp t="s">
        <v>#N/A N/A</v>
        <stp/>
        <stp>BDH|1981259279179540609</stp>
        <tr r="Q9" s="4"/>
      </tp>
      <tp t="s">
        <v>#N/A N/A</v>
        <stp/>
        <stp>BDH|4043135486601620724</stp>
        <tr r="AN17" s="4"/>
      </tp>
      <tp t="s">
        <v>#N/A N/A</v>
        <stp/>
        <stp>BDH|7011963655334249400</stp>
        <tr r="U18" s="4"/>
      </tp>
      <tp t="s">
        <v>#N/A N/A</v>
        <stp/>
        <stp>BDH|9004587121535029085</stp>
        <tr r="F17" s="3"/>
      </tp>
      <tp t="s">
        <v>#N/A N/A</v>
        <stp/>
        <stp>BDH|7152021097524422163</stp>
        <tr r="J17" s="4"/>
      </tp>
      <tp t="s">
        <v>#N/A N/A</v>
        <stp/>
        <stp>BDH|8527120706323026170</stp>
        <tr r="U25" s="4"/>
      </tp>
      <tp t="s">
        <v>#N/A N/A</v>
        <stp/>
        <stp>BDH|2015686539449112567</stp>
        <tr r="AC21" s="3"/>
      </tp>
      <tp t="s">
        <v>#N/A N/A</v>
        <stp/>
        <stp>BDH|1671392549945542851</stp>
        <tr r="R14" s="4"/>
      </tp>
      <tp t="s">
        <v>#N/A N/A</v>
        <stp/>
        <stp>BDP|7328078277549057246</stp>
        <tr r="M16" s="2"/>
      </tp>
      <tp t="s">
        <v>#N/A N/A</v>
        <stp/>
        <stp>BDH|5402403481864650643</stp>
        <tr r="X9" s="4"/>
      </tp>
      <tp t="s">
        <v>#N/A N/A</v>
        <stp/>
        <stp>BDP|1399241015571650806</stp>
        <tr r="Z12" s="2"/>
      </tp>
      <tp t="s">
        <v>#N/A N/A</v>
        <stp/>
        <stp>BDH|1297634671632413902</stp>
        <tr r="Z26" s="4"/>
      </tp>
      <tp t="s">
        <v>#N/A N/A</v>
        <stp/>
        <stp>BDP|3763854311481038067</stp>
        <tr r="AM13" s="2"/>
      </tp>
      <tp t="s">
        <v>#N/A N/A</v>
        <stp/>
        <stp>BDH|3230670571129808099</stp>
        <tr r="O9" s="3"/>
      </tp>
      <tp t="s">
        <v>#N/A N/A</v>
        <stp/>
        <stp>BDH|6920990612861620412</stp>
        <tr r="Y26" s="3"/>
      </tp>
      <tp t="s">
        <v>#N/A N/A</v>
        <stp/>
        <stp>BDP|5540909919988784110</stp>
        <tr r="AF16" s="2"/>
      </tp>
      <tp t="s">
        <v>#N/A N/A</v>
        <stp/>
        <stp>BDH|9984328314478012755</stp>
        <tr r="V7" s="4"/>
      </tp>
      <tp t="s">
        <v>#N/A N/A</v>
        <stp/>
        <stp>BDH|3013094823153022604</stp>
        <tr r="AD20" s="3"/>
      </tp>
      <tp t="s">
        <v>#N/A N/A</v>
        <stp/>
        <stp>BDH|6707150429257139607</stp>
        <tr r="O20" s="3"/>
      </tp>
      <tp t="s">
        <v>#N/A N/A</v>
        <stp/>
        <stp>BDH|2631579049815017228</stp>
        <tr r="AF17" s="3"/>
      </tp>
      <tp t="s">
        <v>#N/A N/A</v>
        <stp/>
        <stp>BDH|8879950350360792006</stp>
        <tr r="AP25" s="3"/>
      </tp>
      <tp t="s">
        <v>#N/A N/A</v>
        <stp/>
        <stp>BDH|5302257144780957719</stp>
        <tr r="D19" s="4"/>
      </tp>
      <tp t="s">
        <v>#N/A N/A</v>
        <stp/>
        <stp>BDH|7091477933017791384</stp>
        <tr r="AG24" s="3"/>
      </tp>
      <tp t="s">
        <v>#N/A N/A</v>
        <stp/>
        <stp>BDP|7761531561283995340</stp>
        <tr r="R9" s="2"/>
      </tp>
      <tp t="s">
        <v>#N/A N/A</v>
        <stp/>
        <stp>BDH|9371952550521778097</stp>
        <tr r="X26" s="3"/>
      </tp>
      <tp t="s">
        <v>#N/A N/A</v>
        <stp/>
        <stp>BDH|7574533666201118197</stp>
        <tr r="Y17" s="3"/>
      </tp>
      <tp t="s">
        <v>#N/A N/A</v>
        <stp/>
        <stp>BDH|9420966658941009024</stp>
        <tr r="R16" s="3"/>
      </tp>
      <tp t="s">
        <v>#N/A N/A</v>
        <stp/>
        <stp>BDH|4764260148935011314</stp>
        <tr r="I10" s="3"/>
      </tp>
      <tp t="s">
        <v>#N/A N/A</v>
        <stp/>
        <stp>BDP|1847079602355459001</stp>
        <tr r="AO10" s="2"/>
      </tp>
      <tp t="s">
        <v>#N/A N/A</v>
        <stp/>
        <stp>BDP|6586722638033769510</stp>
        <tr r="E10" s="2"/>
      </tp>
      <tp t="s">
        <v>#N/A N/A</v>
        <stp/>
        <stp>BDH|8662487886164068412</stp>
        <tr r="G21" s="3"/>
      </tp>
      <tp t="s">
        <v>#N/A N/A</v>
        <stp/>
        <stp>BDH|2070168511052887460</stp>
        <tr r="J28" s="3"/>
      </tp>
      <tp t="s">
        <v>#N/A N/A</v>
        <stp/>
        <stp>BDH|3414563997203575891</stp>
        <tr r="L16" s="4"/>
      </tp>
      <tp t="s">
        <v>#N/A N/A</v>
        <stp/>
        <stp>BDH|2887415130639733870</stp>
        <tr r="O20" s="4"/>
      </tp>
      <tp t="s">
        <v>#N/A N/A</v>
        <stp/>
        <stp>BDP|7733532072624875506</stp>
        <tr r="AA16" s="2"/>
      </tp>
      <tp t="s">
        <v>#N/A N/A</v>
        <stp/>
        <stp>BDH|6064384321914059772</stp>
        <tr r="AA12" s="3"/>
      </tp>
      <tp t="s">
        <v>#N/A N/A</v>
        <stp/>
        <stp>BDH|7003177758482149516</stp>
        <tr r="T8" s="3"/>
      </tp>
      <tp t="s">
        <v>#N/A N/A</v>
        <stp/>
        <stp>BDH|1872458611939727943</stp>
        <tr r="Q16" s="3"/>
      </tp>
      <tp t="s">
        <v>#N/A N/A</v>
        <stp/>
        <stp>BDH|4816663588566189882</stp>
        <tr r="AK28" s="3"/>
      </tp>
      <tp t="s">
        <v>#N/A N/A</v>
        <stp/>
        <stp>BDP|7113482833901474527</stp>
        <tr r="Y9" s="2"/>
      </tp>
      <tp t="s">
        <v>#N/A N/A</v>
        <stp/>
        <stp>BDH|2038566561185364081</stp>
        <tr r="AJ18" s="4"/>
      </tp>
      <tp t="s">
        <v>#N/A N/A</v>
        <stp/>
        <stp>BDH|2947891982285975374</stp>
        <tr r="G25" s="4"/>
      </tp>
      <tp t="s">
        <v>#N/A N/A</v>
        <stp/>
        <stp>BDH|6413507754283586195</stp>
        <tr r="Q13" s="4"/>
      </tp>
      <tp t="s">
        <v>#N/A N/A</v>
        <stp/>
        <stp>BDH|7085049208801845280</stp>
        <tr r="AE13" s="4"/>
      </tp>
      <tp t="s">
        <v>#N/A N/A</v>
        <stp/>
        <stp>BDH|9635439598742368225</stp>
        <tr r="AF24" s="4"/>
      </tp>
      <tp t="s">
        <v>#N/A N/A</v>
        <stp/>
        <stp>BDH|3381792064142383403</stp>
        <tr r="AC17" s="3"/>
      </tp>
      <tp t="s">
        <v>#N/A N/A</v>
        <stp/>
        <stp>BDP|7662390172454870373</stp>
        <tr r="C13" s="2"/>
      </tp>
      <tp t="s">
        <v>#N/A N/A</v>
        <stp/>
        <stp>BDH|2253939895442110479</stp>
        <tr r="AP13" s="3"/>
      </tp>
      <tp t="s">
        <v>#N/A N/A</v>
        <stp/>
        <stp>BDH|6548385650234977067</stp>
        <tr r="S25" s="4"/>
      </tp>
      <tp t="s">
        <v>#N/A N/A</v>
        <stp/>
        <stp>BDH|5740600893229455728</stp>
        <tr r="AN22" s="3"/>
      </tp>
      <tp t="s">
        <v>#N/A N/A</v>
        <stp/>
        <stp>BDH|6955683712386046302</stp>
        <tr r="AD10" s="3"/>
      </tp>
      <tp t="s">
        <v>#N/A N/A</v>
        <stp/>
        <stp>BDH|5427797974298225981</stp>
        <tr r="V26" s="4"/>
      </tp>
      <tp t="s">
        <v>#N/A N/A</v>
        <stp/>
        <stp>BDH|6970379296498956024</stp>
        <tr r="Z20" s="4"/>
      </tp>
      <tp t="s">
        <v>#N/A N/A</v>
        <stp/>
        <stp>BDH|5145904845319643527</stp>
        <tr r="AH28" s="3"/>
      </tp>
      <tp t="s">
        <v>#N/A N/A</v>
        <stp/>
        <stp>BDH|2005139013424508256</stp>
        <tr r="AH17" s="3"/>
      </tp>
      <tp t="s">
        <v>#N/A N/A</v>
        <stp/>
        <stp>BDH|9518832760484083762</stp>
        <tr r="U16" s="3"/>
      </tp>
      <tp t="s">
        <v>#N/A N/A</v>
        <stp/>
        <stp>BDH|8515002595253351638</stp>
        <tr r="AN14" s="3"/>
      </tp>
      <tp t="s">
        <v>#N/A N/A</v>
        <stp/>
        <stp>BDH|2511129824325023036</stp>
        <tr r="G20" s="4"/>
      </tp>
      <tp t="s">
        <v>#N/A N/A</v>
        <stp/>
        <stp>BDH|5027420074266384456</stp>
        <tr r="AG13" s="3"/>
      </tp>
      <tp t="s">
        <v>#N/A N/A</v>
        <stp/>
        <stp>BDH|1017022741022654345</stp>
        <tr r="N14" s="4"/>
      </tp>
      <tp t="s">
        <v>#N/A N/A</v>
        <stp/>
        <stp>BDH|4678662072181762046</stp>
        <tr r="AB7" s="3"/>
      </tp>
      <tp t="s">
        <v>#N/A N/A</v>
        <stp/>
        <stp>BDH|7761022751562038458</stp>
        <tr r="J18" s="3"/>
      </tp>
      <tp t="s">
        <v>#N/A N/A</v>
        <stp/>
        <stp>BDH|6647028657777780020</stp>
        <tr r="W18" s="3"/>
      </tp>
      <tp t="s">
        <v>#N/A N/A</v>
        <stp/>
        <stp>BDH|9794487088637438659</stp>
        <tr r="M16" s="4"/>
      </tp>
      <tp t="s">
        <v>#N/A N/A</v>
        <stp/>
        <stp>BDH|5338317760243520706</stp>
        <tr r="G8" s="3"/>
      </tp>
      <tp t="s">
        <v>#N/A N/A</v>
        <stp/>
        <stp>BDH|5653657812150512637</stp>
        <tr r="F18" s="3"/>
      </tp>
      <tp t="s">
        <v>#N/A N/A</v>
        <stp/>
        <stp>BDH|2715008806705535338</stp>
        <tr r="AF18" s="4"/>
      </tp>
      <tp t="s">
        <v>#N/A N/A</v>
        <stp/>
        <stp>BDH|4758851345158785478</stp>
        <tr r="AN10" s="3"/>
      </tp>
      <tp t="s">
        <v>#N/A N/A</v>
        <stp/>
        <stp>BDP|9254174193675214000</stp>
        <tr r="AP17" s="2"/>
      </tp>
      <tp t="s">
        <v>#N/A N/A</v>
        <stp/>
        <stp>BDP|3606633775234655222</stp>
        <tr r="M10" s="2"/>
      </tp>
      <tp t="s">
        <v>#N/A N/A</v>
        <stp/>
        <stp>BDH|4937432963691470391</stp>
        <tr r="M22" s="3"/>
      </tp>
      <tp t="s">
        <v>#N/A N/A</v>
        <stp/>
        <stp>BDH|7451400450404063604</stp>
        <tr r="AN13" s="4"/>
      </tp>
      <tp t="s">
        <v>#N/A N/A</v>
        <stp/>
        <stp>BDH|2561453410230434308</stp>
        <tr r="U25" s="3"/>
      </tp>
      <tp t="s">
        <v>#N/A N/A</v>
        <stp/>
        <stp>BDP|3905357718807654279</stp>
        <tr r="E12" s="2"/>
      </tp>
      <tp t="s">
        <v>#N/A N/A</v>
        <stp/>
        <stp>BDH|2641218158437335699</stp>
        <tr r="T17" s="4"/>
      </tp>
      <tp t="s">
        <v>#N/A N/A</v>
        <stp/>
        <stp>BDH|2279801800708152661</stp>
        <tr r="AC9" s="3"/>
      </tp>
      <tp t="s">
        <v>#N/A N/A</v>
        <stp/>
        <stp>BDH|4952448262000883222</stp>
        <tr r="N17" s="4"/>
      </tp>
      <tp t="s">
        <v>#N/A N/A</v>
        <stp/>
        <stp>BDH|3987489546915377217</stp>
        <tr r="T7" s="4"/>
      </tp>
      <tp t="s">
        <v>#N/A N/A</v>
        <stp/>
        <stp>BDP|4410018763637478080</stp>
        <tr r="AP9" s="2"/>
      </tp>
      <tp t="s">
        <v>#N/A N/A</v>
        <stp/>
        <stp>BDH|3875589615946947461</stp>
        <tr r="W17" s="3"/>
      </tp>
      <tp t="s">
        <v>#N/A N/A</v>
        <stp/>
        <stp>BDH|4843583002291174595</stp>
        <tr r="AI12" s="3"/>
      </tp>
      <tp t="s">
        <v>#N/A N/A</v>
        <stp/>
        <stp>BDH|4508321934589158889</stp>
        <tr r="G14" s="4"/>
      </tp>
      <tp t="s">
        <v>#N/A N/A</v>
        <stp/>
        <stp>BDH|3361256519986221369</stp>
        <tr r="H22" s="3"/>
      </tp>
      <tp t="s">
        <v>#N/A N/A</v>
        <stp/>
        <stp>BDH|3344462661241713588</stp>
        <tr r="AD20" s="4"/>
      </tp>
      <tp t="s">
        <v>#N/A N/A</v>
        <stp/>
        <stp>BDP|5093902694275820548</stp>
        <tr r="K17" s="2"/>
      </tp>
      <tp t="s">
        <v>#N/A N/A</v>
        <stp/>
        <stp>BDH|8240773695317985418</stp>
        <tr r="AM13" s="3"/>
      </tp>
      <tp t="s">
        <v>#N/A N/A</v>
        <stp/>
        <stp>BDP|5184778605100465795</stp>
        <tr r="AD17" s="2"/>
      </tp>
      <tp t="s">
        <v>#N/A N/A</v>
        <stp/>
        <stp>BDH|1448675608877491513</stp>
        <tr r="Q9" s="3"/>
      </tp>
      <tp t="s">
        <v>#N/A N/A</v>
        <stp/>
        <stp>BDH|1445880090384618143</stp>
        <tr r="E10" s="3"/>
      </tp>
      <tp t="s">
        <v>#N/A N/A</v>
        <stp/>
        <stp>BDH|4452493810003195728</stp>
        <tr r="AE26" s="4"/>
      </tp>
      <tp t="s">
        <v>#N/A N/A</v>
        <stp/>
        <stp>BDH|2266858591556962014</stp>
        <tr r="K25" s="3"/>
      </tp>
      <tp t="s">
        <v>#N/A N/A</v>
        <stp/>
        <stp>BDH|6054004475746932231</stp>
        <tr r="K6" s="3"/>
      </tp>
      <tp t="s">
        <v>#N/A N/A</v>
        <stp/>
        <stp>BDH|1863552401808189920</stp>
        <tr r="V14" s="4"/>
      </tp>
      <tp t="s">
        <v>#N/A N/A</v>
        <stp/>
        <stp>BDH|2201586742752672419</stp>
        <tr r="W26" s="4"/>
      </tp>
      <tp t="s">
        <v>#N/A N/A</v>
        <stp/>
        <stp>BDP|9464758961249430489</stp>
        <tr r="N17" s="2"/>
      </tp>
      <tp t="s">
        <v>#N/A N/A</v>
        <stp/>
        <stp>BDH|1185852999446008317</stp>
        <tr r="L17" s="4"/>
      </tp>
      <tp t="s">
        <v>#N/A N/A</v>
        <stp/>
        <stp>BDH|1806077395529218453</stp>
        <tr r="AO17" s="4"/>
      </tp>
      <tp t="s">
        <v>#N/A N/A</v>
        <stp/>
        <stp>BDH|3352386735587669152</stp>
        <tr r="F25" s="3"/>
      </tp>
      <tp t="s">
        <v>#N/A N/A</v>
        <stp/>
        <stp>BDH|5400249779780607523</stp>
        <tr r="U21" s="3"/>
      </tp>
      <tp t="s">
        <v>#N/A N/A</v>
        <stp/>
        <stp>BDH|5969192653762806690</stp>
        <tr r="N24" s="3"/>
      </tp>
      <tp t="s">
        <v>#N/A N/A</v>
        <stp/>
        <stp>BDH|1520174040533306239</stp>
        <tr r="AK21" s="3"/>
      </tp>
      <tp t="s">
        <v>#N/A N/A</v>
        <stp/>
        <stp>BDH|9453849705515657111</stp>
        <tr r="AH8" s="4"/>
      </tp>
      <tp t="s">
        <v>#N/A N/A</v>
        <stp/>
        <stp>BDH|8836272962870852973</stp>
        <tr r="L18" s="4"/>
      </tp>
      <tp t="s">
        <v>#N/A N/A</v>
        <stp/>
        <stp>BDP|1390761157875488353</stp>
        <tr r="J16" s="2"/>
      </tp>
      <tp t="s">
        <v>#N/A N/A</v>
        <stp/>
        <stp>BDP|8126432441965446840</stp>
        <tr r="G12" s="2"/>
      </tp>
      <tp t="s">
        <v>#N/A N/A</v>
        <stp/>
        <stp>BDH|6027465280196763923</stp>
        <tr r="AO25" s="3"/>
      </tp>
      <tp t="s">
        <v>#N/A N/A</v>
        <stp/>
        <stp>BDH|5676502641968609927</stp>
        <tr r="D6" s="3"/>
      </tp>
      <tp t="s">
        <v>#N/A N/A</v>
        <stp/>
        <stp>BDH|6828351309000772008</stp>
        <tr r="AJ9" s="3"/>
      </tp>
      <tp t="s">
        <v>#N/A N/A</v>
        <stp/>
        <stp>BDH|2159683008967642644</stp>
        <tr r="T24" s="4"/>
      </tp>
      <tp t="s">
        <v>#N/A N/A</v>
        <stp/>
        <stp>BDP|1072554372601165768</stp>
        <tr r="I16" s="2"/>
      </tp>
      <tp t="s">
        <v>#N/A N/A</v>
        <stp/>
        <stp>BDP|7490414805457792170</stp>
        <tr r="T17" s="2"/>
      </tp>
      <tp t="s">
        <v>#N/A N/A</v>
        <stp/>
        <stp>BDH|1502147261784633766</stp>
        <tr r="J10" s="3"/>
      </tp>
      <tp t="s">
        <v>#N/A N/A</v>
        <stp/>
        <stp>BDH|3383133344477630424</stp>
        <tr r="U8" s="3"/>
      </tp>
      <tp t="s">
        <v>#N/A N/A</v>
        <stp/>
        <stp>BDH|5326574707087282215</stp>
        <tr r="L14" s="4"/>
      </tp>
      <tp t="s">
        <v>#N/A N/A</v>
        <stp/>
        <stp>BDH|2548170764117009772</stp>
        <tr r="AN6" s="3"/>
      </tp>
      <tp t="s">
        <v>#N/A N/A</v>
        <stp/>
        <stp>BDH|4652431769543988046</stp>
        <tr r="P24" s="3"/>
      </tp>
      <tp t="s">
        <v>#N/A N/A</v>
        <stp/>
        <stp>BDH|7459456042630243274</stp>
        <tr r="M25" s="4"/>
      </tp>
      <tp t="s">
        <v>#N/A N/A</v>
        <stp/>
        <stp>BDH|1890999061742108966</stp>
        <tr r="O10" s="4"/>
      </tp>
      <tp t="s">
        <v>#N/A N/A</v>
        <stp/>
        <stp>BDH|1684685301655977717</stp>
        <tr r="U7" s="4"/>
      </tp>
      <tp t="s">
        <v>#N/A N/A</v>
        <stp/>
        <stp>BDH|9961733696367896534</stp>
        <tr r="I13" s="4"/>
      </tp>
      <tp t="s">
        <v>#N/A N/A</v>
        <stp/>
        <stp>BDH|4467872300361682825</stp>
        <tr r="AK25" s="4"/>
      </tp>
      <tp t="s">
        <v>#N/A N/A</v>
        <stp/>
        <stp>BDH|6903497245827921488</stp>
        <tr r="AM26" s="3"/>
      </tp>
      <tp t="s">
        <v>#N/A N/A</v>
        <stp/>
        <stp>BDH|5461933316089435113</stp>
        <tr r="AI10" s="4"/>
      </tp>
      <tp t="s">
        <v>#N/A N/A</v>
        <stp/>
        <stp>BDH|1230695776360804511</stp>
        <tr r="AH21" s="3"/>
      </tp>
      <tp t="s">
        <v>#N/A N/A</v>
        <stp/>
        <stp>BDH|2857542250305863205</stp>
        <tr r="U28" s="3"/>
      </tp>
      <tp t="s">
        <v>#N/A N/A</v>
        <stp/>
        <stp>BDH|2229831024995258836</stp>
        <tr r="K21" s="3"/>
      </tp>
      <tp t="s">
        <v>#N/A N/A</v>
        <stp/>
        <stp>BDH|2348069147075217658</stp>
        <tr r="L22" s="3"/>
      </tp>
      <tp t="s">
        <v>#N/A N/A</v>
        <stp/>
        <stp>BDH|76948102492392321</stp>
        <tr r="T13" s="4"/>
      </tp>
      <tp t="s">
        <v>#N/A N/A</v>
        <stp/>
        <stp>BDP|7095484663237378421</stp>
        <tr r="AF13" s="2"/>
      </tp>
      <tp t="s">
        <v>#N/A N/A</v>
        <stp/>
        <stp>BDP|3054876680523834657</stp>
        <tr r="H12" s="2"/>
      </tp>
      <tp t="s">
        <v>#N/A N/A</v>
        <stp/>
        <stp>BDH|3643474474453639596</stp>
        <tr r="AI8" s="4"/>
      </tp>
      <tp t="s">
        <v>#N/A N/A</v>
        <stp/>
        <stp>BDH|3774830085762325787</stp>
        <tr r="AK10" s="3"/>
      </tp>
      <tp t="s">
        <v>#N/A N/A</v>
        <stp/>
        <stp>BDH|1110149413723939458</stp>
        <tr r="F7" s="4"/>
      </tp>
      <tp t="s">
        <v>#N/A N/A</v>
        <stp/>
        <stp>BDH|1467578140601195793</stp>
        <tr r="AO13" s="3"/>
      </tp>
      <tp t="s">
        <v>#N/A N/A</v>
        <stp/>
        <stp>BDP|3399902394195779088</stp>
        <tr r="V13" s="2"/>
      </tp>
      <tp t="s">
        <v>#N/A N/A</v>
        <stp/>
        <stp>BDH|8955719785269596807</stp>
        <tr r="S21" s="4"/>
      </tp>
      <tp t="s">
        <v>#N/A N/A</v>
        <stp/>
        <stp>BDH|6745022776055233297</stp>
        <tr r="AF25" s="3"/>
      </tp>
      <tp t="s">
        <v>#N/A N/A</v>
        <stp/>
        <stp>BDH|6783038121511962344</stp>
        <tr r="X19" s="4"/>
      </tp>
      <tp t="s">
        <v>#N/A N/A</v>
        <stp/>
        <stp>BDH|9977525146089213774</stp>
        <tr r="D25" s="3"/>
      </tp>
      <tp t="s">
        <v>#N/A N/A</v>
        <stp/>
        <stp>BDH|4594524705732262584</stp>
        <tr r="W14" s="4"/>
      </tp>
      <tp t="s">
        <v>#N/A N/A</v>
        <stp/>
        <stp>BDH|1842410339897835707</stp>
        <tr r="AK18" s="4"/>
      </tp>
      <tp t="s">
        <v>#N/A N/A</v>
        <stp/>
        <stp>BDH|5695398876101499649</stp>
        <tr r="W22" s="3"/>
      </tp>
      <tp t="s">
        <v>#N/A N/A</v>
        <stp/>
        <stp>BDH|5480318573993997410</stp>
        <tr r="AA8" s="4"/>
      </tp>
      <tp t="s">
        <v>#N/A N/A</v>
        <stp/>
        <stp>BDH|3519135329256681078</stp>
        <tr r="G22" s="3"/>
      </tp>
      <tp t="s">
        <v>#N/A N/A</v>
        <stp/>
        <stp>BDP|2175444887130533889</stp>
        <tr r="F12" s="2"/>
      </tp>
      <tp t="s">
        <v>#N/A N/A</v>
        <stp/>
        <stp>BDH|6557989691596302609</stp>
        <tr r="AI9" s="3"/>
      </tp>
      <tp t="s">
        <v>#N/A N/A</v>
        <stp/>
        <stp>BDH|8478409684066899472</stp>
        <tr r="F20" s="3"/>
      </tp>
      <tp t="s">
        <v>#N/A N/A</v>
        <stp/>
        <stp>BDH|9821256602335360839</stp>
        <tr r="AB17" s="3"/>
      </tp>
      <tp t="s">
        <v>#N/A N/A</v>
        <stp/>
        <stp>BDH|3782017342301344083</stp>
        <tr r="K20" s="4"/>
      </tp>
      <tp t="s">
        <v>#N/A N/A</v>
        <stp/>
        <stp>BDP|4923270830191070220</stp>
        <tr r="AL17" s="2"/>
      </tp>
      <tp t="s">
        <v>#N/A N/A</v>
        <stp/>
        <stp>BDH|6810075607439095945</stp>
        <tr r="H7" s="3"/>
      </tp>
      <tp t="s">
        <v>#N/A N/A</v>
        <stp/>
        <stp>BDH|1562380470074414758</stp>
        <tr r="AG6" s="3"/>
      </tp>
      <tp t="s">
        <v>#N/A N/A</v>
        <stp/>
        <stp>BDH|1433528339926407763</stp>
        <tr r="E25" s="4"/>
      </tp>
      <tp t="s">
        <v>#N/A N/A</v>
        <stp/>
        <stp>BDH|3079675335611684199</stp>
        <tr r="G24" s="4"/>
      </tp>
      <tp t="s">
        <v>#N/A N/A</v>
        <stp/>
        <stp>BDH|9378653799361516172</stp>
        <tr r="R8" s="4"/>
      </tp>
      <tp t="s">
        <v>#N/A N/A</v>
        <stp/>
        <stp>BDH|7765033300233989203</stp>
        <tr r="Z22" s="3"/>
      </tp>
      <tp t="s">
        <v>#N/A N/A</v>
        <stp/>
        <stp>BDH|4644843912893790855</stp>
        <tr r="AC12" s="3"/>
      </tp>
      <tp t="s">
        <v>#N/A N/A</v>
        <stp/>
        <stp>BDH|1668267941560329105</stp>
        <tr r="K9" s="3"/>
      </tp>
      <tp t="s">
        <v>#N/A N/A</v>
        <stp/>
        <stp>BDH|3647317135807474245</stp>
        <tr r="V24" s="3"/>
      </tp>
      <tp t="s">
        <v>#N/A N/A</v>
        <stp/>
        <stp>BDH|7077448178814934678</stp>
        <tr r="R20" s="4"/>
      </tp>
      <tp t="s">
        <v>#N/A N/A</v>
        <stp/>
        <stp>BDH|2427718125351020025</stp>
        <tr r="E13" s="4"/>
      </tp>
      <tp t="s">
        <v>#N/A N/A</v>
        <stp/>
        <stp>BDH|9070805337135725136</stp>
        <tr r="Z18" s="4"/>
      </tp>
      <tp t="s">
        <v>#N/A N/A</v>
        <stp/>
        <stp>BDH|2234405734412645107</stp>
        <tr r="AI25" s="4"/>
      </tp>
      <tp t="s">
        <v>#N/A N/A</v>
        <stp/>
        <stp>BDH|6904878845979316583</stp>
        <tr r="O10" s="3"/>
      </tp>
      <tp t="s">
        <v>#N/A N/A</v>
        <stp/>
        <stp>BDH|4976525369508740951</stp>
        <tr r="AM17" s="4"/>
      </tp>
      <tp t="s">
        <v>#N/A N/A</v>
        <stp/>
        <stp>BDH|1329162935885891087</stp>
        <tr r="H8" s="3"/>
      </tp>
      <tp t="s">
        <v>#N/A N/A</v>
        <stp/>
        <stp>BDH|5901025700940946325</stp>
        <tr r="C10" s="3"/>
      </tp>
      <tp t="s">
        <v>#N/A N/A</v>
        <stp/>
        <stp>BDH|6968260895112281980</stp>
        <tr r="AF10" s="4"/>
      </tp>
      <tp t="s">
        <v>#N/A N/A</v>
        <stp/>
        <stp>BDH|2930396659535901712</stp>
        <tr r="E18" s="4"/>
      </tp>
      <tp t="s">
        <v>#N/A N/A</v>
        <stp/>
        <stp>BDH|5211050992049717339</stp>
        <tr r="P14" s="4"/>
      </tp>
      <tp t="s">
        <v>#N/A N/A</v>
        <stp/>
        <stp>BDH|3968649451464277285</stp>
        <tr r="AI7" s="4"/>
      </tp>
      <tp t="s">
        <v>#N/A N/A</v>
        <stp/>
        <stp>BDH|7462520245472299271</stp>
        <tr r="N25" s="3"/>
      </tp>
      <tp t="s">
        <v>#N/A N/A</v>
        <stp/>
        <stp>BDH|1657518291828804389</stp>
        <tr r="AJ17" s="4"/>
      </tp>
      <tp t="s">
        <v>#N/A N/A</v>
        <stp/>
        <stp>BDP|1840052110744378295</stp>
        <tr r="N10" s="2"/>
      </tp>
      <tp t="s">
        <v>#N/A N/A</v>
        <stp/>
        <stp>BDH|8505375545999131014</stp>
        <tr r="O6" s="3"/>
      </tp>
      <tp t="s">
        <v>#N/A N/A</v>
        <stp/>
        <stp>BDH|1874683815535968586</stp>
        <tr r="H16" s="3"/>
      </tp>
      <tp t="s">
        <v>#N/A N/A</v>
        <stp/>
        <stp>BDP|9945659592943391381</stp>
        <tr r="C16" s="2"/>
      </tp>
      <tp t="s">
        <v>#N/A N/A</v>
        <stp/>
        <stp>BDH|6043414572344101770</stp>
        <tr r="AL20" s="3"/>
      </tp>
      <tp t="s">
        <v>#N/A N/A</v>
        <stp/>
        <stp>BDH|6705929592830186036</stp>
        <tr r="Y17" s="4"/>
      </tp>
      <tp t="s">
        <v>#N/A N/A</v>
        <stp/>
        <stp>BDH|3550824407915067851</stp>
        <tr r="AM10" s="4"/>
      </tp>
      <tp t="s">
        <v>#N/A N/A</v>
        <stp/>
        <stp>BDH|93341254989376446</stp>
        <tr r="C9" s="4"/>
      </tp>
      <tp t="s">
        <v>#N/A N/A</v>
        <stp/>
        <stp>BDP|3867167452619470928</stp>
        <tr r="N13" s="2"/>
      </tp>
      <tp t="s">
        <v>#N/A N/A</v>
        <stp/>
        <stp>BDH|9057826401200177682</stp>
        <tr r="N20" s="4"/>
      </tp>
      <tp t="s">
        <v>#N/A N/A</v>
        <stp/>
        <stp>BDH|2683496745097468257</stp>
        <tr r="AF20" s="4"/>
      </tp>
      <tp t="s">
        <v>#N/A N/A</v>
        <stp/>
        <stp>BDH|9317612033318041393</stp>
        <tr r="AD10" s="4"/>
      </tp>
      <tp t="s">
        <v>#N/A N/A</v>
        <stp/>
        <stp>BDH|7743445037784538384</stp>
        <tr r="Q26" s="4"/>
      </tp>
      <tp t="s">
        <v>#N/A N/A</v>
        <stp/>
        <stp>BDH|5312533979508717874</stp>
        <tr r="AC24" s="3"/>
      </tp>
      <tp t="s">
        <v>#N/A N/A</v>
        <stp/>
        <stp>BDH|1203099882899425744</stp>
        <tr r="AM9" s="3"/>
      </tp>
      <tp t="s">
        <v>#N/A N/A</v>
        <stp/>
        <stp>BDH|7238000288200637854</stp>
        <tr r="U26" s="4"/>
      </tp>
      <tp t="s">
        <v>#N/A N/A</v>
        <stp/>
        <stp>BDH|5524026975155383080</stp>
        <tr r="W10" s="3"/>
      </tp>
    </main>
    <main first="bofaddin.rtdserver">
      <tp t="s">
        <v>#N/A N/A</v>
        <stp/>
        <stp>BDH|5578164407874980732</stp>
        <tr r="AA26" s="3"/>
      </tp>
      <tp t="s">
        <v>#N/A N/A</v>
        <stp/>
        <stp>BDH|7513367164836120385</stp>
        <tr r="E9" s="4"/>
      </tp>
      <tp t="s">
        <v>#N/A N/A</v>
        <stp/>
        <stp>BDH|7297218419343357064</stp>
        <tr r="AA18" s="3"/>
      </tp>
      <tp t="s">
        <v>#N/A N/A</v>
        <stp/>
        <stp>BDH|8289287084366789363</stp>
        <tr r="H6" s="3"/>
      </tp>
      <tp t="s">
        <v>#N/A N/A</v>
        <stp/>
        <stp>BDH|9132215087956979213</stp>
        <tr r="AM12" s="3"/>
      </tp>
      <tp t="s">
        <v>#N/A N/A</v>
        <stp/>
        <stp>BDH|4081470838082311635</stp>
        <tr r="J26" s="3"/>
      </tp>
      <tp t="s">
        <v>#N/A N/A</v>
        <stp/>
        <stp>BDH|9949826577808702944</stp>
        <tr r="AM19" s="4"/>
      </tp>
      <tp t="s">
        <v>#N/A N/A</v>
        <stp/>
        <stp>BDH|8514092323334556967</stp>
        <tr r="F8" s="3"/>
      </tp>
      <tp t="s">
        <v>#N/A N/A</v>
        <stp/>
        <stp>BDH|1088191339463598799</stp>
        <tr r="U24" s="4"/>
      </tp>
      <tp t="s">
        <v>#N/A N/A</v>
        <stp/>
        <stp>BDH|5392595960680132176</stp>
        <tr r="AE20" s="3"/>
      </tp>
      <tp t="s">
        <v>#N/A N/A</v>
        <stp/>
        <stp>BDH|4407771762040452286</stp>
        <tr r="Z21" s="4"/>
      </tp>
      <tp t="s">
        <v>#N/A N/A</v>
        <stp/>
        <stp>BDP|6995095278232810422</stp>
        <tr r="W16" s="2"/>
      </tp>
      <tp t="s">
        <v>#N/A N/A</v>
        <stp/>
        <stp>BDH|5558509260800507127</stp>
        <tr r="S17" s="3"/>
      </tp>
      <tp t="s">
        <v>#N/A N/A</v>
        <stp/>
        <stp>BDH|1004193607054817340</stp>
        <tr r="AP7" s="4"/>
      </tp>
      <tp t="s">
        <v>#N/A N/A</v>
        <stp/>
        <stp>BDH|5720456624766796231</stp>
        <tr r="AA13" s="3"/>
      </tp>
      <tp t="s">
        <v>#N/A N/A</v>
        <stp/>
        <stp>BDP|6054012215286120664</stp>
        <tr r="D17" s="2"/>
      </tp>
      <tp t="s">
        <v>#N/A N/A</v>
        <stp/>
        <stp>BDP|7686758004311668621</stp>
        <tr r="S13" s="2"/>
      </tp>
      <tp t="s">
        <v>#N/A N/A</v>
        <stp/>
        <stp>BDH|2326928860848724251</stp>
        <tr r="X21" s="4"/>
      </tp>
      <tp t="s">
        <v>#N/A N/A</v>
        <stp/>
        <stp>BDH|3781032340476024678</stp>
        <tr r="N9" s="3"/>
      </tp>
      <tp t="s">
        <v>#N/A N/A</v>
        <stp/>
        <stp>BDH|2629798576517807229</stp>
        <tr r="E14" s="4"/>
      </tp>
      <tp t="s">
        <v>#N/A N/A</v>
        <stp/>
        <stp>BDH|8433347164959346342</stp>
        <tr r="AH26" s="4"/>
      </tp>
      <tp t="s">
        <v>#N/A N/A</v>
        <stp/>
        <stp>BDH|6282354926400428061</stp>
        <tr r="C14" s="3"/>
      </tp>
      <tp t="s">
        <v>#N/A N/A</v>
        <stp/>
        <stp>BDH|4758609054354791478</stp>
        <tr r="Y6" s="3"/>
      </tp>
      <tp t="s">
        <v>#N/A N/A</v>
        <stp/>
        <stp>BDP|2326337956780329355</stp>
        <tr r="H9" s="2"/>
      </tp>
      <tp t="s">
        <v>#N/A N/A</v>
        <stp/>
        <stp>BDP|3444114163246037566</stp>
        <tr r="K16" s="2"/>
      </tp>
      <tp t="s">
        <v>#N/A N/A</v>
        <stp/>
        <stp>BDH|4826927751488904721</stp>
        <tr r="E13" s="3"/>
      </tp>
      <tp t="s">
        <v>#N/A N/A</v>
        <stp/>
        <stp>BDH|7450290942261632796</stp>
        <tr r="AD13" s="4"/>
      </tp>
      <tp t="s">
        <v>#N/A N/A</v>
        <stp/>
        <stp>BDH|4405399838235517608</stp>
        <tr r="V13" s="4"/>
      </tp>
      <tp t="s">
        <v>#N/A N/A</v>
        <stp/>
        <stp>BDH|7992781464072414315</stp>
        <tr r="AJ20" s="3"/>
      </tp>
      <tp t="s">
        <v>#N/A N/A</v>
        <stp/>
        <stp>BDP|1605097216365819201</stp>
        <tr r="AB9" s="2"/>
      </tp>
      <tp t="s">
        <v>#N/A N/A</v>
        <stp/>
        <stp>BDH|4211143556447660070</stp>
        <tr r="AL12" s="3"/>
      </tp>
      <tp t="s">
        <v>#N/A N/A</v>
        <stp/>
        <stp>BDH|6106776640474030672</stp>
        <tr r="G20" s="3"/>
      </tp>
      <tp t="s">
        <v>#N/A N/A</v>
        <stp/>
        <stp>BDH|8225722586084497430</stp>
        <tr r="AG24" s="4"/>
      </tp>
      <tp t="s">
        <v>#N/A N/A</v>
        <stp/>
        <stp>BDH|3667261703906235006</stp>
        <tr r="AJ28" s="3"/>
      </tp>
      <tp t="s">
        <v>#N/A N/A</v>
        <stp/>
        <stp>BDH|7555020746526641269</stp>
        <tr r="U16" s="4"/>
      </tp>
      <tp t="s">
        <v>#N/A N/A</v>
        <stp/>
        <stp>BDP|2349309703430718614</stp>
        <tr r="W10" s="2"/>
      </tp>
      <tp t="s">
        <v>#N/A N/A</v>
        <stp/>
        <stp>BDH|1545022545312449000</stp>
        <tr r="AA20" s="4"/>
      </tp>
      <tp t="s">
        <v>#N/A N/A</v>
        <stp/>
        <stp>BDH|1818082105700719648</stp>
        <tr r="AL14" s="4"/>
      </tp>
      <tp t="s">
        <v>#N/A N/A</v>
        <stp/>
        <stp>BDH|9907470841968000696</stp>
        <tr r="G9" s="4"/>
      </tp>
      <tp t="s">
        <v>#N/A N/A</v>
        <stp/>
        <stp>BDH|4903159657272503598</stp>
        <tr r="L28" s="3"/>
      </tp>
      <tp t="s">
        <v>#N/A N/A</v>
        <stp/>
        <stp>BDH|9506141957552577848</stp>
        <tr r="V9" s="3"/>
      </tp>
      <tp t="s">
        <v>#N/A N/A</v>
        <stp/>
        <stp>BDP|6209101039940957369</stp>
        <tr r="L9" s="2"/>
      </tp>
      <tp t="s">
        <v>#N/A N/A</v>
        <stp/>
        <stp>BDP|3312601335918790957</stp>
        <tr r="AK13" s="2"/>
      </tp>
      <tp t="s">
        <v>#N/A N/A</v>
        <stp/>
        <stp>BDH|7689512150787663744</stp>
        <tr r="F10" s="3"/>
      </tp>
      <tp t="s">
        <v>#N/A N/A</v>
        <stp/>
        <stp>BDH|8400336622618494647</stp>
        <tr r="E22" s="3"/>
      </tp>
      <tp t="s">
        <v>#N/A N/A</v>
        <stp/>
        <stp>BDP|5357701449717578152</stp>
        <tr r="U16" s="2"/>
      </tp>
      <tp t="s">
        <v>#N/A N/A</v>
        <stp/>
        <stp>BDH|2004349384521967838</stp>
        <tr r="AK17" s="3"/>
      </tp>
      <tp t="s">
        <v>#N/A N/A</v>
        <stp/>
        <stp>BDH|2456415026216034282</stp>
        <tr r="X17" s="3"/>
      </tp>
      <tp t="s">
        <v>#N/A N/A</v>
        <stp/>
        <stp>BDH|8067094407240532801</stp>
        <tr r="AA22" s="3"/>
      </tp>
      <tp t="s">
        <v>#N/A N/A</v>
        <stp/>
        <stp>BDH|9925597174923783883</stp>
        <tr r="M24" s="3"/>
      </tp>
      <tp t="s">
        <v>#N/A N/A</v>
        <stp/>
        <stp>BDH|5330355170941456096</stp>
        <tr r="Y26" s="4"/>
      </tp>
      <tp t="s">
        <v>#N/A N/A</v>
        <stp/>
        <stp>BDP|6776822782353744588</stp>
        <tr r="X13" s="2"/>
      </tp>
      <tp t="s">
        <v>#N/A N/A</v>
        <stp/>
        <stp>BDH|1001531323521842703</stp>
        <tr r="R17" s="3"/>
      </tp>
      <tp t="s">
        <v>#N/A N/A</v>
        <stp/>
        <stp>BDH|9468567642151817903</stp>
        <tr r="I26" s="3"/>
      </tp>
      <tp t="s">
        <v>#N/A N/A</v>
        <stp/>
        <stp>BDH|7976953894385176216</stp>
        <tr r="N22" s="3"/>
      </tp>
      <tp t="s">
        <v>#N/A N/A</v>
        <stp/>
        <stp>BDH|8104387144799457618</stp>
        <tr r="W21" s="4"/>
      </tp>
      <tp t="s">
        <v>#N/A N/A</v>
        <stp/>
        <stp>BDH|3869234775071227759</stp>
        <tr r="AN28" s="3"/>
      </tp>
      <tp t="s">
        <v>#N/A N/A</v>
        <stp/>
        <stp>BDH|5503288715765849393</stp>
        <tr r="T21" s="3"/>
      </tp>
      <tp t="s">
        <v>#N/A N/A</v>
        <stp/>
        <stp>BDH|4375459007286034683</stp>
        <tr r="T16" s="3"/>
      </tp>
      <tp t="s">
        <v>#N/A N/A</v>
        <stp/>
        <stp>BDH|2095640934300828761</stp>
        <tr r="I28" s="3"/>
      </tp>
      <tp t="s">
        <v>#N/A N/A</v>
        <stp/>
        <stp>BDH|5585321668840351034</stp>
        <tr r="AB9" s="3"/>
      </tp>
      <tp t="s">
        <v>#N/A N/A</v>
        <stp/>
        <stp>BDH|7039566038160989184</stp>
        <tr r="Y19" s="4"/>
      </tp>
      <tp t="s">
        <v>#N/A N/A</v>
        <stp/>
        <stp>BDP|7660070468358256972</stp>
        <tr r="H13" s="2"/>
      </tp>
      <tp t="s">
        <v>#N/A N/A</v>
        <stp/>
        <stp>BDP|7733847649302051964</stp>
        <tr r="Z13" s="2"/>
      </tp>
      <tp t="s">
        <v>#N/A N/A</v>
        <stp/>
        <stp>BDH|7258144544136848464</stp>
        <tr r="Z16" s="3"/>
      </tp>
      <tp t="s">
        <v>#N/A N/A</v>
        <stp/>
        <stp>BDH|7949798514122090384</stp>
        <tr r="AA10" s="4"/>
      </tp>
      <tp t="s">
        <v>#N/A N/A</v>
        <stp/>
        <stp>BDH|4843774830736396603</stp>
        <tr r="Q24" s="3"/>
      </tp>
      <tp t="s">
        <v>#N/A N/A</v>
        <stp/>
        <stp>BDH|3883677256424395479</stp>
        <tr r="W14" s="3"/>
      </tp>
      <tp t="s">
        <v>#N/A N/A</v>
        <stp/>
        <stp>BDH|3424790385018244479</stp>
        <tr r="S13" s="3"/>
      </tp>
      <tp t="s">
        <v>#N/A N/A</v>
        <stp/>
        <stp>BDH|7174903757469555214</stp>
        <tr r="AG16" s="4"/>
      </tp>
      <tp t="s">
        <v>#N/A N/A</v>
        <stp/>
        <stp>BDH|2116166437687357716</stp>
        <tr r="AF13" s="3"/>
      </tp>
      <tp t="s">
        <v>#N/A N/A</v>
        <stp/>
        <stp>BDH|3264274604859041837</stp>
        <tr r="AJ7" s="4"/>
      </tp>
      <tp t="s">
        <v>#N/A N/A</v>
        <stp/>
        <stp>BDP|3004409920776226314</stp>
        <tr r="V12" s="2"/>
      </tp>
      <tp t="s">
        <v>#N/A N/A</v>
        <stp/>
        <stp>BDH|5876008806806446392</stp>
        <tr r="AE12" s="3"/>
      </tp>
      <tp t="s">
        <v>#N/A N/A</v>
        <stp/>
        <stp>BDH|4906127437776658090</stp>
        <tr r="N14" s="3"/>
      </tp>
      <tp t="s">
        <v>#N/A N/A</v>
        <stp/>
        <stp>BDH|6483318826071557650</stp>
        <tr r="AI26" s="3"/>
      </tp>
      <tp t="s">
        <v>#N/A N/A</v>
        <stp/>
        <stp>BDH|7746051102461405678</stp>
        <tr r="I8" s="3"/>
      </tp>
      <tp t="s">
        <v>#N/A N/A</v>
        <stp/>
        <stp>BDH|6890292921111652755</stp>
        <tr r="AN9" s="4"/>
      </tp>
      <tp t="s">
        <v>#N/A N/A</v>
        <stp/>
        <stp>BDH|2265268071127249044</stp>
        <tr r="AN19" s="4"/>
      </tp>
      <tp t="s">
        <v>#N/A N/A</v>
        <stp/>
        <stp>BDH|5967380971814099539</stp>
        <tr r="AL9" s="3"/>
      </tp>
      <tp t="s">
        <v>#N/A N/A</v>
        <stp/>
        <stp>BDH|8601120634268346232</stp>
        <tr r="AE14" s="4"/>
      </tp>
      <tp t="s">
        <v>#N/A N/A</v>
        <stp/>
        <stp>BDH|3838660374155944730</stp>
        <tr r="F6" s="3"/>
      </tp>
      <tp t="s">
        <v>#N/A N/A</v>
        <stp/>
        <stp>BDH|4424639591648452327</stp>
        <tr r="N16" s="3"/>
      </tp>
      <tp t="s">
        <v>#N/A N/A</v>
        <stp/>
        <stp>BDH|3586632623121432616</stp>
        <tr r="AB21" s="3"/>
      </tp>
      <tp t="s">
        <v>#N/A N/A</v>
        <stp/>
        <stp>BDH|3018054716861568379</stp>
        <tr r="Q18" s="3"/>
      </tp>
      <tp t="s">
        <v>#N/A N/A</v>
        <stp/>
        <stp>BDH|9104350469284853841</stp>
        <tr r="T9" s="3"/>
      </tp>
      <tp t="s">
        <v>#N/A N/A</v>
        <stp/>
        <stp>BDH|1299156557201469451</stp>
        <tr r="AO24" s="3"/>
      </tp>
      <tp t="s">
        <v>#N/A N/A</v>
        <stp/>
        <stp>BDH|4753118015916212209</stp>
        <tr r="X24" s="3"/>
      </tp>
      <tp t="s">
        <v>#N/A N/A</v>
        <stp/>
        <stp>BDH|2386788189658559516</stp>
        <tr r="Z8" s="3"/>
      </tp>
      <tp t="s">
        <v>#N/A N/A</v>
        <stp/>
        <stp>BDH|3841416149663391059</stp>
        <tr r="T24" s="3"/>
      </tp>
      <tp t="s">
        <v>#N/A N/A</v>
        <stp/>
        <stp>BDH|9392842855127148354</stp>
        <tr r="Z25" s="4"/>
      </tp>
      <tp t="s">
        <v>#N/A N/A</v>
        <stp/>
        <stp>BDH|5813160677430988362</stp>
        <tr r="L10" s="4"/>
      </tp>
      <tp t="s">
        <v>#N/A N/A</v>
        <stp/>
        <stp>BDH|9238775096357015045</stp>
        <tr r="AO16" s="4"/>
      </tp>
      <tp t="s">
        <v>#N/A N/A</v>
        <stp/>
        <stp>BDH|6110100775397138721</stp>
        <tr r="AB13" s="4"/>
      </tp>
      <tp t="s">
        <v>#N/A N/A</v>
        <stp/>
        <stp>BDH|6952205428450660601</stp>
        <tr r="J13" s="3"/>
      </tp>
      <tp t="s">
        <v>#N/A N/A</v>
        <stp/>
        <stp>BDH|6523406116746327577</stp>
        <tr r="W20" s="3"/>
      </tp>
      <tp t="s">
        <v>#N/A N/A</v>
        <stp/>
        <stp>BDH|1197522007827494374</stp>
        <tr r="R9" s="4"/>
      </tp>
      <tp t="s">
        <v>#N/A N/A</v>
        <stp/>
        <stp>BDH|5104527127391069303</stp>
        <tr r="W24" s="3"/>
      </tp>
      <tp t="s">
        <v>#N/A N/A</v>
        <stp/>
        <stp>BDH|3802521636485867000</stp>
        <tr r="AJ22" s="3"/>
      </tp>
      <tp t="s">
        <v>#N/A N/A</v>
        <stp/>
        <stp>BDH|3206606275410052232</stp>
        <tr r="P20" s="4"/>
      </tp>
      <tp t="s">
        <v>#N/A N/A</v>
        <stp/>
        <stp>BDH|6349828407417467968</stp>
        <tr r="O14" s="4"/>
      </tp>
      <tp t="s">
        <v>#N/A N/A</v>
        <stp/>
        <stp>BDH|3892378898251596864</stp>
        <tr r="AG18" s="4"/>
      </tp>
      <tp t="s">
        <v>#N/A N/A</v>
        <stp/>
        <stp>BDH|6967927658752740813</stp>
        <tr r="E17" s="3"/>
      </tp>
      <tp t="s">
        <v>#N/A N/A</v>
        <stp/>
        <stp>BDH|7482470501156173569</stp>
        <tr r="Q28" s="3"/>
      </tp>
    </main>
    <main first="bofaddin.rtdserver">
      <tp t="s">
        <v>#N/A N/A</v>
        <stp/>
        <stp>BDH|91817776046922481</stp>
        <tr r="AL18" s="3"/>
      </tp>
      <tp t="s">
        <v>#N/A N/A</v>
        <stp/>
        <stp>BDH|6375757462925856365</stp>
        <tr r="O17" s="4"/>
      </tp>
      <tp t="s">
        <v>#N/A N/A</v>
        <stp/>
        <stp>BDP|8645778688363585577</stp>
        <tr r="AM10" s="2"/>
      </tp>
      <tp t="s">
        <v>#N/A N/A</v>
        <stp/>
        <stp>BDP|9176313860154945927</stp>
        <tr r="AP12" s="2"/>
      </tp>
      <tp t="s">
        <v>#N/A N/A</v>
        <stp/>
        <stp>BDH|1824319425868425937</stp>
        <tr r="AF25" s="4"/>
      </tp>
      <tp t="s">
        <v>#N/A N/A</v>
        <stp/>
        <stp>BDH|7790895026294038808</stp>
        <tr r="T20" s="3"/>
      </tp>
      <tp t="s">
        <v>#N/A N/A</v>
        <stp/>
        <stp>BDH|6832586143692930425</stp>
        <tr r="K14" s="4"/>
      </tp>
      <tp t="s">
        <v>#N/A N/A</v>
        <stp/>
        <stp>BDH|3222364567160327781</stp>
        <tr r="AI10" s="3"/>
      </tp>
      <tp t="s">
        <v>#N/A N/A</v>
        <stp/>
        <stp>BDH|5441473573034012388</stp>
        <tr r="O12" s="3"/>
      </tp>
      <tp t="s">
        <v>#N/A N/A</v>
        <stp/>
        <stp>BDH|8909752245383075905</stp>
        <tr r="AO20" s="3"/>
      </tp>
      <tp t="s">
        <v>#N/A N/A</v>
        <stp/>
        <stp>BDH|8127183641408678474</stp>
        <tr r="C20" s="3"/>
      </tp>
      <tp t="s">
        <v>#N/A N/A</v>
        <stp/>
        <stp>BDH|5146155551377835748</stp>
        <tr r="M6" s="3"/>
      </tp>
      <tp t="s">
        <v>#N/A N/A</v>
        <stp/>
        <stp>BDH|2962378737761622261</stp>
        <tr r="T20" s="4"/>
      </tp>
      <tp t="s">
        <v>#N/A N/A</v>
        <stp/>
        <stp>BDH|3295681102483835795</stp>
        <tr r="AJ18" s="3"/>
      </tp>
      <tp t="s">
        <v>#N/A N/A</v>
        <stp/>
        <stp>BDP|2362845422770383983</stp>
        <tr r="M13" s="2"/>
      </tp>
      <tp t="s">
        <v>#N/A N/A</v>
        <stp/>
        <stp>BDH|4592741049337218149</stp>
        <tr r="AG28" s="3"/>
      </tp>
      <tp t="s">
        <v>#N/A N/A</v>
        <stp/>
        <stp>BDH|1267473556166430795</stp>
        <tr r="T18" s="4"/>
      </tp>
      <tp t="s">
        <v>#N/A N/A</v>
        <stp/>
        <stp>BDH|9905926460040399769</stp>
        <tr r="T18" s="3"/>
      </tp>
      <tp t="s">
        <v>#N/A N/A</v>
        <stp/>
        <stp>BDH|4602395707736529039</stp>
        <tr r="AM26" s="4"/>
      </tp>
      <tp t="s">
        <v>#N/A N/A</v>
        <stp/>
        <stp>BDP|3145565909274024319</stp>
        <tr r="AD16" s="2"/>
      </tp>
      <tp t="s">
        <v>#N/A N/A</v>
        <stp/>
        <stp>BDH|3459288074865056271</stp>
        <tr r="P10" s="3"/>
      </tp>
      <tp t="s">
        <v>#N/A N/A</v>
        <stp/>
        <stp>BDH|1848774035891264575</stp>
        <tr r="AN17" s="3"/>
      </tp>
      <tp t="s">
        <v>#N/A N/A</v>
        <stp/>
        <stp>BDH|4680233971795303582</stp>
        <tr r="AM25" s="3"/>
      </tp>
      <tp t="s">
        <v>#N/A N/A</v>
        <stp/>
        <stp>BDH|7509782252092001633</stp>
        <tr r="Q13" s="3"/>
      </tp>
      <tp t="s">
        <v>#N/A N/A</v>
        <stp/>
        <stp>BDH|6287160799857616872</stp>
        <tr r="AB24" s="3"/>
      </tp>
      <tp t="s">
        <v>#N/A N/A</v>
        <stp/>
        <stp>BDH|4389201638252424632</stp>
        <tr r="D7" s="3"/>
      </tp>
      <tp t="s">
        <v>#N/A N/A</v>
        <stp/>
        <stp>BDH|8203855011616254697</stp>
        <tr r="G17" s="4"/>
      </tp>
      <tp t="s">
        <v>#N/A N/A</v>
        <stp/>
        <stp>BDH|3472775359740487035</stp>
        <tr r="AP24" s="4"/>
      </tp>
      <tp t="s">
        <v>#N/A N/A</v>
        <stp/>
        <stp>BDH|9357921359294696033</stp>
        <tr r="W6" s="3"/>
      </tp>
      <tp t="s">
        <v>#N/A N/A</v>
        <stp/>
        <stp>BDH|1466987876867888902</stp>
        <tr r="H10" s="3"/>
      </tp>
      <tp t="s">
        <v>#N/A N/A</v>
        <stp/>
        <stp>BDH|6291117269630902016</stp>
        <tr r="AF28" s="3"/>
      </tp>
    </main>
    <main first="bofaddin.rtdserver">
      <tp t="s">
        <v>#N/A N/A</v>
        <stp/>
        <stp>BDH|9332147327542226912</stp>
        <tr r="Y24" s="3"/>
      </tp>
      <tp t="s">
        <v>#N/A N/A</v>
        <stp/>
        <stp>BDH|6003647236874005618</stp>
        <tr r="C17" s="4"/>
      </tp>
      <tp t="s">
        <v>#N/A N/A</v>
        <stp/>
        <stp>BDH|3582295826844856617</stp>
        <tr r="AD22" s="3"/>
      </tp>
      <tp t="s">
        <v>#N/A N/A</v>
        <stp/>
        <stp>BDH|2313570546442465055</stp>
        <tr r="R9" s="3"/>
      </tp>
      <tp t="s">
        <v>#N/A N/A</v>
        <stp/>
        <stp>BDH|5627625226302189204</stp>
        <tr r="Y18" s="4"/>
      </tp>
      <tp t="s">
        <v>#N/A N/A</v>
        <stp/>
        <stp>BDH|2837226009304301505</stp>
        <tr r="R8" s="3"/>
      </tp>
      <tp t="s">
        <v>#N/A N/A</v>
        <stp/>
        <stp>BDH|3016906390524504656</stp>
        <tr r="R22" s="3"/>
      </tp>
      <tp t="s">
        <v>#N/A N/A</v>
        <stp/>
        <stp>BDH|3503352755230460411</stp>
        <tr r="Z14" s="3"/>
      </tp>
      <tp t="s">
        <v>#N/A N/A</v>
        <stp/>
        <stp>BDH|4212333286079179777</stp>
        <tr r="AB13" s="3"/>
      </tp>
      <tp t="s">
        <v>#N/A N/A</v>
        <stp/>
        <stp>BDH|7043212158487008688</stp>
        <tr r="AH12" s="3"/>
      </tp>
      <tp t="s">
        <v>#N/A N/A</v>
        <stp/>
        <stp>BDH|5306328854635311708</stp>
        <tr r="Y10" s="4"/>
      </tp>
      <tp t="s">
        <v>#N/A N/A</v>
        <stp/>
        <stp>BDH|4690702086889102375</stp>
        <tr r="V10" s="3"/>
      </tp>
      <tp t="s">
        <v>#N/A N/A</v>
        <stp/>
        <stp>BDH|4245523112746595716</stp>
        <tr r="AM10" s="3"/>
      </tp>
      <tp t="s">
        <v>#N/A N/A</v>
        <stp/>
        <stp>BDH|8170937960425687322</stp>
        <tr r="S18" s="4"/>
      </tp>
      <tp t="s">
        <v>#N/A N/A</v>
        <stp/>
        <stp>BDP|8650114380310877084</stp>
        <tr r="G10" s="2"/>
      </tp>
      <tp t="s">
        <v>#N/A N/A</v>
        <stp/>
        <stp>BDP|5589338995826503819</stp>
        <tr r="U17" s="2"/>
      </tp>
      <tp t="s">
        <v>#N/A N/A</v>
        <stp/>
        <stp>BDH|2826293590480410825</stp>
        <tr r="D14" s="4"/>
      </tp>
      <tp t="s">
        <v>#N/A N/A</v>
        <stp/>
        <stp>BDH|2091784665937270586</stp>
        <tr r="AL22" s="3"/>
      </tp>
      <tp t="s">
        <v>#N/A N/A</v>
        <stp/>
        <stp>BDP|9237713837245828984</stp>
        <tr r="T12" s="2"/>
      </tp>
      <tp t="s">
        <v>#N/A N/A</v>
        <stp/>
        <stp>BDH|1140838494345339419</stp>
        <tr r="Q10" s="4"/>
      </tp>
      <tp t="s">
        <v>#N/A N/A</v>
        <stp/>
        <stp>BDP|1255436345854293432</stp>
        <tr r="R10" s="2"/>
      </tp>
      <tp t="s">
        <v>#N/A N/A</v>
        <stp/>
        <stp>BDH|8562546848929906159</stp>
        <tr r="T26" s="3"/>
      </tp>
      <tp t="s">
        <v>#N/A N/A</v>
        <stp/>
        <stp>BDH|2970985937438137122</stp>
        <tr r="AF14" s="4"/>
      </tp>
      <tp t="s">
        <v>#N/A N/A</v>
        <stp/>
        <stp>BDH|5986608077192925724</stp>
        <tr r="AL9" s="4"/>
      </tp>
    </main>
    <main first="bofaddin.rtdserver">
      <tp t="s">
        <v>#N/A N/A</v>
        <stp/>
        <stp>BDH|89962776847668568</stp>
        <tr r="AC20" s="4"/>
      </tp>
      <tp t="s">
        <v>#N/A N/A</v>
        <stp/>
        <stp>BDP|9455951674823904663</stp>
        <tr r="AB16" s="2"/>
      </tp>
      <tp t="s">
        <v>#N/A N/A</v>
        <stp/>
        <stp>BDH|4225136967019872843</stp>
        <tr r="N9" s="4"/>
      </tp>
      <tp t="s">
        <v>#N/A N/A</v>
        <stp/>
        <stp>BDH|5815740854226436368</stp>
        <tr r="AH21" s="4"/>
      </tp>
      <tp t="s">
        <v>#N/A N/A</v>
        <stp/>
        <stp>BDH|8697187380985143658</stp>
        <tr r="L10" s="3"/>
      </tp>
      <tp t="s">
        <v>#N/A N/A</v>
        <stp/>
        <stp>BDH|4107142828880267551</stp>
        <tr r="C26" s="4"/>
      </tp>
      <tp t="s">
        <v>#N/A N/A</v>
        <stp/>
        <stp>BDH|9775356623659882333</stp>
        <tr r="U10" s="4"/>
      </tp>
      <tp t="s">
        <v>#N/A N/A</v>
        <stp/>
        <stp>BDH|8360399794455039546</stp>
        <tr r="Z28" s="3"/>
      </tp>
      <tp t="s">
        <v>#N/A N/A</v>
        <stp/>
        <stp>BDH|9810743398601879471</stp>
        <tr r="AB12" s="3"/>
      </tp>
      <tp t="s">
        <v>#N/A N/A</v>
        <stp/>
        <stp>BDH|4029039008494005207</stp>
        <tr r="E21" s="4"/>
      </tp>
      <tp t="s">
        <v>#N/A N/A</v>
        <stp/>
        <stp>BDH|8276992269850020592</stp>
        <tr r="R14" s="3"/>
      </tp>
      <tp t="s">
        <v>#N/A N/A</v>
        <stp/>
        <stp>BDH|4997108311260219623</stp>
        <tr r="L14" s="3"/>
      </tp>
      <tp t="s">
        <v>#N/A N/A</v>
        <stp/>
        <stp>BDP|5364060003766966168</stp>
        <tr r="AE12" s="2"/>
      </tp>
      <tp t="s">
        <v>#N/A N/A</v>
        <stp/>
        <stp>BDP|5231387643878610862</stp>
        <tr r="V16" s="2"/>
      </tp>
      <tp t="s">
        <v>#N/A N/A</v>
        <stp/>
        <stp>BDP|1712550108883376508</stp>
        <tr r="E16" s="2"/>
      </tp>
      <tp t="s">
        <v>#N/A N/A</v>
        <stp/>
        <stp>BDH|8259625894917454298</stp>
        <tr r="W26" s="3"/>
      </tp>
      <tp t="s">
        <v>#N/A N/A</v>
        <stp/>
        <stp>BDP|6562763421809424882</stp>
        <tr r="O9" s="2"/>
      </tp>
      <tp t="s">
        <v>#N/A N/A</v>
        <stp/>
        <stp>BDH|9322513407259221791</stp>
        <tr r="Y8" s="4"/>
      </tp>
      <tp t="s">
        <v>#N/A N/A</v>
        <stp/>
        <stp>BDH|4932132805221481658</stp>
        <tr r="AP12" s="3"/>
      </tp>
      <tp t="s">
        <v>#N/A N/A</v>
        <stp/>
        <stp>BDH|1375580777691773050</stp>
        <tr r="AC16" s="3"/>
      </tp>
      <tp t="s">
        <v>#N/A N/A</v>
        <stp/>
        <stp>BDH|5082662145541980449</stp>
        <tr r="U22" s="3"/>
      </tp>
      <tp t="s">
        <v>#N/A N/A</v>
        <stp/>
        <stp>BDH|5807242574164506623</stp>
        <tr r="AM22" s="3"/>
      </tp>
      <tp t="s">
        <v>#N/A N/A</v>
        <stp/>
        <stp>BDH|8726824537037833652</stp>
        <tr r="V8" s="4"/>
      </tp>
      <tp t="s">
        <v>#N/A N/A</v>
        <stp/>
        <stp>BDH|5516923889623954586</stp>
        <tr r="AE26" s="3"/>
      </tp>
      <tp t="s">
        <v>#N/A N/A</v>
        <stp/>
        <stp>BDP|5694560324900064089</stp>
        <tr r="Y17" s="2"/>
      </tp>
      <tp t="s">
        <v>#N/A N/A</v>
        <stp/>
        <stp>BDH|8061989401807600431</stp>
        <tr r="T14" s="3"/>
      </tp>
      <tp t="s">
        <v>#N/A N/A</v>
        <stp/>
        <stp>BDP|9716487316349572717</stp>
        <tr r="X17" s="2"/>
      </tp>
      <tp t="s">
        <v>#N/A N/A</v>
        <stp/>
        <stp>BDH|6627409658454565162</stp>
        <tr r="O17" s="3"/>
      </tp>
      <tp t="s">
        <v>#N/A N/A</v>
        <stp/>
        <stp>BDH|5025577605844884678</stp>
        <tr r="T28" s="3"/>
      </tp>
      <tp t="s">
        <v>#N/A N/A</v>
        <stp/>
        <stp>BDH|2974060600806146635</stp>
        <tr r="P17" s="3"/>
      </tp>
      <tp t="s">
        <v>#N/A N/A</v>
        <stp/>
        <stp>BDH|5275928499947881038</stp>
        <tr r="AD14" s="3"/>
      </tp>
      <tp t="s">
        <v>#N/A N/A</v>
        <stp/>
        <stp>BDH|8038141882556690525</stp>
        <tr r="AM14" s="3"/>
      </tp>
      <tp t="s">
        <v>#N/A N/A</v>
        <stp/>
        <stp>BDH|5156156025672280611</stp>
        <tr r="AO14" s="4"/>
      </tp>
      <tp t="s">
        <v>#N/A N/A</v>
        <stp/>
        <stp>BDP|3252091379817520143</stp>
        <tr r="J17" s="2"/>
      </tp>
      <tp t="s">
        <v>#N/A N/A</v>
        <stp/>
        <stp>BDH|9639266202411666873</stp>
        <tr r="AK25" s="3"/>
      </tp>
      <tp t="s">
        <v>#N/A N/A</v>
        <stp/>
        <stp>BDH|6680664409136819420</stp>
        <tr r="F24" s="3"/>
      </tp>
      <tp t="s">
        <v>#N/A N/A</v>
        <stp/>
        <stp>BDH|6124596536126982443</stp>
        <tr r="AC28" s="3"/>
      </tp>
      <tp t="s">
        <v>#N/A N/A</v>
        <stp/>
        <stp>BDH|4615743254854397058</stp>
        <tr r="AO7" s="3"/>
      </tp>
      <tp t="s">
        <v>#N/A N/A</v>
        <stp/>
        <stp>BDH|8351684576978864355</stp>
        <tr r="Z8" s="4"/>
      </tp>
      <tp t="s">
        <v>#N/A N/A</v>
        <stp/>
        <stp>BDH|6852255176522908335</stp>
        <tr r="AJ12" s="3"/>
      </tp>
      <tp t="s">
        <v>#N/A N/A</v>
        <stp/>
        <stp>BDH|7347417618839363986</stp>
        <tr r="U20" s="4"/>
      </tp>
      <tp t="s">
        <v>#N/A N/A</v>
        <stp/>
        <stp>BDH|6732732312602084075</stp>
        <tr r="G6" s="3"/>
      </tp>
      <tp t="s">
        <v>#N/A N/A</v>
        <stp/>
        <stp>BDH|4406706301072150359</stp>
        <tr r="Y8" s="3"/>
      </tp>
      <tp t="s">
        <v>#N/A N/A</v>
        <stp/>
        <stp>BDH|6722722455964874290</stp>
        <tr r="K8" s="4"/>
      </tp>
      <tp t="s">
        <v>#N/A N/A</v>
        <stp/>
        <stp>BDH|4730988478929590142</stp>
        <tr r="AC22" s="3"/>
      </tp>
      <tp t="s">
        <v>#N/A N/A</v>
        <stp/>
        <stp>BDH|4227219694939776475</stp>
        <tr r="J9" s="4"/>
      </tp>
      <tp t="s">
        <v>#N/A N/A</v>
        <stp/>
        <stp>BDH|4193723019302592286</stp>
        <tr r="L7" s="4"/>
      </tp>
      <tp t="s">
        <v>#N/A N/A</v>
        <stp/>
        <stp>BDH|3363875495885445527</stp>
        <tr r="P16" s="4"/>
      </tp>
      <tp t="s">
        <v>#N/A N/A</v>
        <stp/>
        <stp>BDH|7139161555500086152</stp>
        <tr r="E25" s="3"/>
      </tp>
      <tp t="s">
        <v>#N/A N/A</v>
        <stp/>
        <stp>BDP|7178410551823065751</stp>
        <tr r="O17" s="2"/>
      </tp>
      <tp t="s">
        <v>#N/A N/A</v>
        <stp/>
        <stp>BDH|5339785844570328481</stp>
        <tr r="O18" s="3"/>
      </tp>
      <tp t="s">
        <v>#N/A N/A</v>
        <stp/>
        <stp>BDH|5767206742814027505</stp>
        <tr r="C20" s="4"/>
      </tp>
      <tp t="s">
        <v>#N/A N/A</v>
        <stp/>
        <stp>BDH|7642502655922151775</stp>
        <tr r="K18" s="4"/>
      </tp>
      <tp t="s">
        <v>#N/A N/A</v>
        <stp/>
        <stp>BDH|40151516617291866</stp>
        <tr r="D9" s="4"/>
      </tp>
      <tp t="s">
        <v>#N/A N/A</v>
        <stp/>
        <stp>BDH|2787211533889804970</stp>
        <tr r="E19" s="4"/>
      </tp>
      <tp t="s">
        <v>#N/A N/A</v>
        <stp/>
        <stp>BDH|6746405364224086395</stp>
        <tr r="N16" s="4"/>
      </tp>
      <tp t="s">
        <v>#N/A N/A</v>
        <stp/>
        <stp>BDH|8970456280642002573</stp>
        <tr r="J13" s="4"/>
      </tp>
      <tp t="s">
        <v>#N/A N/A</v>
        <stp/>
        <stp>BDP|7914082277441943278</stp>
        <tr r="H17" s="2"/>
      </tp>
      <tp t="s">
        <v>#N/A N/A</v>
        <stp/>
        <stp>BDH|4798292986449252428</stp>
        <tr r="AC6" s="3"/>
      </tp>
      <tp t="s">
        <v>#N/A N/A</v>
        <stp/>
        <stp>BDH|8355098880891142234</stp>
        <tr r="P25" s="3"/>
      </tp>
      <tp t="s">
        <v>#N/A N/A</v>
        <stp/>
        <stp>BDH|1086249053624698198</stp>
        <tr r="C22" s="3"/>
      </tp>
      <tp t="s">
        <v>#N/A N/A</v>
        <stp/>
        <stp>BDH|2111669718771012777</stp>
        <tr r="AO26" s="3"/>
      </tp>
      <tp t="s">
        <v>#N/A N/A</v>
        <stp/>
        <stp>BDH|7919636632921072007</stp>
        <tr r="AP8" s="4"/>
      </tp>
      <tp t="s">
        <v>#N/A N/A</v>
        <stp/>
        <stp>BDP|3790838269768536611</stp>
        <tr r="AI16" s="2"/>
      </tp>
      <tp t="s">
        <v>#N/A N/A</v>
        <stp/>
        <stp>BDH|7571463557025569087</stp>
        <tr r="AE13" s="3"/>
      </tp>
      <tp t="s">
        <v>#N/A N/A</v>
        <stp/>
        <stp>BDH|1547510349971580213</stp>
        <tr r="F26" s="3"/>
      </tp>
      <tp t="s">
        <v>#N/A N/A</v>
        <stp/>
        <stp>BDH|3187295623409604943</stp>
        <tr r="M21" s="3"/>
      </tp>
      <tp t="s">
        <v>#N/A N/A</v>
        <stp/>
        <stp>BDH|9752557384994822373</stp>
        <tr r="AD24" s="4"/>
      </tp>
      <tp t="s">
        <v>#N/A N/A</v>
        <stp/>
        <stp>BDH|6472820159009559143</stp>
        <tr r="R28" s="3"/>
      </tp>
      <tp t="s">
        <v>#N/A N/A</v>
        <stp/>
        <stp>BDH|8794706029909370733</stp>
        <tr r="Z17" s="3"/>
      </tp>
      <tp t="s">
        <v>#N/A N/A</v>
        <stp/>
        <stp>BDH|9204986768344426180</stp>
        <tr r="AO10" s="4"/>
      </tp>
      <tp t="s">
        <v>#N/A N/A</v>
        <stp/>
        <stp>BDH|3730610271903005291</stp>
        <tr r="AB25" s="4"/>
      </tp>
      <tp t="s">
        <v>#N/A N/A</v>
        <stp/>
        <stp>BDH|6763205951900938209</stp>
        <tr r="AJ16" s="4"/>
      </tp>
      <tp t="s">
        <v>#N/A N/A</v>
        <stp/>
        <stp>BDH|3471769107813928436</stp>
        <tr r="AG10" s="4"/>
      </tp>
      <tp t="s">
        <v>#N/A N/A</v>
        <stp/>
        <stp>BDH|5030347506137546286</stp>
        <tr r="K14" s="3"/>
      </tp>
      <tp t="s">
        <v>#N/A N/A</v>
        <stp/>
        <stp>BDH|5652772975452919424</stp>
        <tr r="P26" s="4"/>
      </tp>
      <tp t="s">
        <v>#N/A N/A</v>
        <stp/>
        <stp>BDH|1799682261110687274</stp>
        <tr r="D17" s="3"/>
      </tp>
      <tp t="s">
        <v>#N/A N/A</v>
        <stp/>
        <stp>BDH|8910269583814370530</stp>
        <tr r="G16" s="4"/>
      </tp>
      <tp t="s">
        <v>#N/A N/A</v>
        <stp/>
        <stp>BDP|7013110057696321689</stp>
        <tr r="M9" s="2"/>
      </tp>
      <tp t="s">
        <v>#N/A N/A</v>
        <stp/>
        <stp>BDH|9413701096565858171</stp>
        <tr r="AH16" s="3"/>
      </tp>
      <tp t="s">
        <v>#N/A N/A</v>
        <stp/>
        <stp>BDH|3150563242848080980</stp>
        <tr r="R24" s="4"/>
      </tp>
      <tp t="s">
        <v>#N/A N/A</v>
        <stp/>
        <stp>BDH|2239870739859294339</stp>
        <tr r="AN24" s="4"/>
      </tp>
      <tp t="s">
        <v>#N/A N/A</v>
        <stp/>
        <stp>BDH|7363534722827428447</stp>
        <tr r="AI28" s="3"/>
      </tp>
      <tp t="s">
        <v>#N/A N/A</v>
        <stp/>
        <stp>BDH|3205752810311588719</stp>
        <tr r="AL24" s="4"/>
      </tp>
      <tp t="s">
        <v>#N/A N/A</v>
        <stp/>
        <stp>BDH|2438646333786623265</stp>
        <tr r="S9" s="3"/>
      </tp>
      <tp t="s">
        <v>#N/A N/A</v>
        <stp/>
        <stp>BDH|4268509531804290528</stp>
        <tr r="W25" s="4"/>
      </tp>
      <tp t="s">
        <v>#N/A N/A</v>
        <stp/>
        <stp>BDH|3685137259857789389</stp>
        <tr r="Q18" s="4"/>
      </tp>
      <tp t="s">
        <v>#N/A N/A</v>
        <stp/>
        <stp>BDH|4533013794248093630</stp>
        <tr r="AF12" s="3"/>
      </tp>
      <tp t="s">
        <v>#N/A N/A</v>
        <stp/>
        <stp>BDH|4473584149020570605</stp>
        <tr r="AE9" s="4"/>
      </tp>
      <tp t="s">
        <v>#N/A N/A</v>
        <stp/>
        <stp>BDH|6553249412967298119</stp>
        <tr r="AN7" s="3"/>
      </tp>
      <tp t="s">
        <v>#N/A N/A</v>
        <stp/>
        <stp>BDH|5850285861690911281</stp>
        <tr r="AJ7" s="3"/>
      </tp>
      <tp t="s">
        <v>#N/A N/A</v>
        <stp/>
        <stp>BDH|9701093451137906868</stp>
        <tr r="T10" s="3"/>
      </tp>
      <tp t="s">
        <v>#N/A N/A</v>
        <stp/>
        <stp>BDH|7362652389073613985</stp>
        <tr r="P6" s="3"/>
      </tp>
      <tp t="s">
        <v>#N/A N/A</v>
        <stp/>
        <stp>BDH|5610404312544240771</stp>
        <tr r="AA7" s="4"/>
      </tp>
      <tp t="s">
        <v>#N/A N/A</v>
        <stp/>
        <stp>BDH|7186101097999706505</stp>
        <tr r="Q10" s="3"/>
      </tp>
      <tp t="s">
        <v>#N/A N/A</v>
        <stp/>
        <stp>BDH|3946050473983701496</stp>
        <tr r="U17" s="4"/>
      </tp>
      <tp t="s">
        <v>#N/A N/A</v>
        <stp/>
        <stp>BDH|9762349591051203115</stp>
        <tr r="AF17" s="4"/>
      </tp>
      <tp t="s">
        <v>#N/A N/A</v>
        <stp/>
        <stp>BDP|5306241824492722422</stp>
        <tr r="AP16" s="2"/>
      </tp>
      <tp t="s">
        <v>#N/A N/A</v>
        <stp/>
        <stp>BDH|3381143786531612818</stp>
        <tr r="AL8" s="4"/>
      </tp>
      <tp t="s">
        <v>#N/A N/A</v>
        <stp/>
        <stp>BDH|9068466396621219640</stp>
        <tr r="AI13" s="3"/>
      </tp>
      <tp t="s">
        <v>#N/A N/A</v>
        <stp/>
        <stp>BDH|1077277971377623066</stp>
        <tr r="AN10" s="4"/>
      </tp>
      <tp t="s">
        <v>#N/A N/A</v>
        <stp/>
        <stp>BDH|3640935896974248475</stp>
        <tr r="W13" s="4"/>
      </tp>
      <tp t="s">
        <v>#N/A N/A</v>
        <stp/>
        <stp>BDH|7421359256855356728</stp>
        <tr r="AL24" s="3"/>
      </tp>
      <tp t="s">
        <v>#N/A N/A</v>
        <stp/>
        <stp>BDP|1373467635500319547</stp>
        <tr r="AL9" s="2"/>
      </tp>
      <tp t="s">
        <v>#N/A N/A</v>
        <stp/>
        <stp>BDP|1461466248727680580</stp>
        <tr r="AL13" s="2"/>
      </tp>
      <tp t="s">
        <v>#N/A N/A</v>
        <stp/>
        <stp>BDP|8542115520259886189</stp>
        <tr r="AC13" s="2"/>
      </tp>
      <tp t="s">
        <v>#N/A N/A</v>
        <stp/>
        <stp>BDH|1581303160673177403</stp>
        <tr r="P9" s="3"/>
      </tp>
      <tp t="s">
        <v>#N/A N/A</v>
        <stp/>
        <stp>BDH|8090662187920376576</stp>
        <tr r="U14" s="4"/>
      </tp>
      <tp t="s">
        <v>#N/A N/A</v>
        <stp/>
        <stp>BDH|5624134678846828609</stp>
        <tr r="AF6" s="3"/>
      </tp>
    </main>
    <main first="bofaddin.rtdserver">
      <tp t="s">
        <v>#N/A N/A</v>
        <stp/>
        <stp>BDH|184775932462332323</stp>
        <tr r="S9" s="4"/>
      </tp>
      <tp t="s">
        <v>#N/A N/A</v>
        <stp/>
        <stp>BDH|321455895248149072</stp>
        <tr r="O21" s="3"/>
      </tp>
      <tp t="s">
        <v>#N/A N/A</v>
        <stp/>
        <stp>BDH|679044214894927099</stp>
        <tr r="N26" s="4"/>
      </tp>
      <tp t="s">
        <v>#N/A N/A</v>
        <stp/>
        <stp>BDH|956381382376145845</stp>
        <tr r="AH9" s="4"/>
      </tp>
      <tp t="s">
        <v>#N/A N/A</v>
        <stp/>
        <stp>BDH|501430384350081921</stp>
        <tr r="O24" s="3"/>
      </tp>
      <tp t="s">
        <v>#N/A N/A</v>
        <stp/>
        <stp>BDH|685746828778782950</stp>
        <tr r="K25" s="4"/>
      </tp>
      <tp t="s">
        <v>#N/A N/A</v>
        <stp/>
        <stp>BDH|942615089283516935</stp>
        <tr r="Z21" s="3"/>
      </tp>
      <tp t="s">
        <v>#N/A N/A</v>
        <stp/>
        <stp>BDH|228437776454180364</stp>
        <tr r="AD12" s="3"/>
      </tp>
      <tp t="s">
        <v>#N/A N/A</v>
        <stp/>
        <stp>BDH|924564727955242695</stp>
        <tr r="AG14" s="3"/>
      </tp>
      <tp t="s">
        <v>#N/A N/A</v>
        <stp/>
        <stp>BDP|928599615337315755</stp>
        <tr r="AL10" s="2"/>
      </tp>
      <tp t="s">
        <v>#N/A N/A</v>
        <stp/>
        <stp>BDH|354446514682679083</stp>
        <tr r="Q14" s="4"/>
      </tp>
      <tp t="s">
        <v>#N/A N/A</v>
        <stp/>
        <stp>BDH|265783634247962480</stp>
        <tr r="AN18" s="4"/>
      </tp>
      <tp t="s">
        <v>#N/A N/A</v>
        <stp/>
        <stp>BDH|208265578253799132</stp>
        <tr r="AF26" s="4"/>
      </tp>
      <tp t="s">
        <v>#N/A N/A</v>
        <stp/>
        <stp>BDH|901067375143753388</stp>
        <tr r="C13" s="4"/>
      </tp>
      <tp t="s">
        <v>#N/A N/A</v>
        <stp/>
        <stp>BDH|654973436275458851</stp>
        <tr r="K13" s="4"/>
      </tp>
      <tp t="s">
        <v>#N/A N/A</v>
        <stp/>
        <stp>BDH|109866194091253760</stp>
        <tr r="Q14" s="3"/>
      </tp>
      <tp t="s">
        <v>#N/A N/A</v>
        <stp/>
        <stp>BDH|501414451427624133</stp>
        <tr r="P7" s="3"/>
      </tp>
      <tp t="s">
        <v>#N/A N/A</v>
        <stp/>
        <stp>BDH|569313842296594626</stp>
        <tr r="G19" s="4"/>
      </tp>
    </main>
    <main first="bofaddin.rtdserver">
      <tp t="s">
        <v>#N/A N/A</v>
        <stp/>
        <stp>BDP|276728418102004242</stp>
        <tr r="S12" s="2"/>
      </tp>
      <tp t="s">
        <v>#N/A N/A</v>
        <stp/>
        <stp>BDH|926366823347166008</stp>
        <tr r="J14" s="3"/>
      </tp>
      <tp t="s">
        <v>#N/A N/A</v>
        <stp/>
        <stp>BDH|462186871112293251</stp>
        <tr r="AA28" s="3"/>
      </tp>
      <tp t="s">
        <v>#N/A N/A</v>
        <stp/>
        <stp>BDH|325879867091864901</stp>
        <tr r="X8" s="4"/>
      </tp>
      <tp t="s">
        <v>#N/A N/A</v>
        <stp/>
        <stp>BDH|665150364495409472</stp>
        <tr r="C17" s="3"/>
      </tp>
      <tp t="s">
        <v>#N/A N/A</v>
        <stp/>
        <stp>BDH|816662227632787088</stp>
        <tr r="D22" s="3"/>
      </tp>
      <tp t="s">
        <v>#N/A N/A</v>
        <stp/>
        <stp>BDH|706957544752182963</stp>
        <tr r="J7" s="3"/>
      </tp>
      <tp t="s">
        <v>#N/A N/A</v>
        <stp/>
        <stp>BDH|112705146997026252</stp>
        <tr r="O28" s="3"/>
      </tp>
    </main>
    <main first="bofaddin.rtdserver">
      <tp t="s">
        <v>#N/A N/A</v>
        <stp/>
        <stp>BDH|558728549862934089</stp>
        <tr r="AK14" s="4"/>
      </tp>
      <tp t="s">
        <v>#N/A N/A</v>
        <stp/>
        <stp>BDH|946000750382069615</stp>
        <tr r="AL7" s="4"/>
      </tp>
      <tp t="s">
        <v>#N/A N/A</v>
        <stp/>
        <stp>BDH|408577692498942516</stp>
        <tr r="AP14" s="3"/>
      </tp>
      <tp t="s">
        <v>#N/A N/A</v>
        <stp/>
        <stp>BDH|356852354385944910</stp>
        <tr r="AD7" s="4"/>
      </tp>
      <tp t="s">
        <v>#N/A N/A</v>
        <stp/>
        <stp>BDH|749669614653833598</stp>
        <tr r="AF24" s="3"/>
      </tp>
      <tp t="s">
        <v>#N/A N/A</v>
        <stp/>
        <stp>BDH|391908084072654244</stp>
        <tr r="AI6" s="3"/>
      </tp>
    </main>
    <main first="bofaddin.rtdserver">
      <tp t="s">
        <v>#N/A N/A</v>
        <stp/>
        <stp>BDH|944273827189038976</stp>
        <tr r="AN8" s="4"/>
      </tp>
      <tp t="s">
        <v>#N/A N/A</v>
        <stp/>
        <stp>BDH|903409395305115858</stp>
        <tr r="H26" s="3"/>
      </tp>
      <tp t="s">
        <v>#N/A N/A</v>
        <stp/>
        <stp>BDH|618914045548117569</stp>
        <tr r="AO14" s="3"/>
      </tp>
      <tp t="s">
        <v>#N/A N/A</v>
        <stp/>
        <stp>BDH|850746801453228486</stp>
        <tr r="G13" s="4"/>
      </tp>
      <tp t="s">
        <v>#N/A N/A</v>
        <stp/>
        <stp>BDH|882595803577626252</stp>
        <tr r="AG7" s="3"/>
      </tp>
      <tp t="s">
        <v>#N/A N/A</v>
        <stp/>
        <stp>BDH|965505108055192023</stp>
        <tr r="AM13" s="4"/>
      </tp>
    </main>
    <main first="bofaddin.rtdserver">
      <tp t="s">
        <v>#N/A N/A</v>
        <stp/>
        <stp>BDH|566065151350240787</stp>
        <tr r="Q17" s="4"/>
      </tp>
      <tp t="s">
        <v>#N/A N/A</v>
        <stp/>
        <stp>BDH|659054226366672659</stp>
        <tr r="AG7" s="4"/>
      </tp>
      <tp t="s">
        <v>#N/A N/A</v>
        <stp/>
        <stp>BDH|713912824328587166</stp>
        <tr r="Y25" s="4"/>
      </tp>
      <tp t="s">
        <v>#N/A N/A</v>
        <stp/>
        <stp>BDH|856792890058138424</stp>
        <tr r="D12" s="3"/>
      </tp>
    </main>
    <main first="bofaddin.rtdserver">
      <tp t="s">
        <v>#N/A N/A</v>
        <stp/>
        <stp>BDH|730611788094308725</stp>
        <tr r="AM20" s="3"/>
      </tp>
      <tp t="s">
        <v>#N/A N/A</v>
        <stp/>
        <stp>BDH|287980054628161973</stp>
        <tr r="I20" s="3"/>
      </tp>
      <tp t="s">
        <v>#N/A N/A</v>
        <stp/>
        <stp>BDH|767108336968036780</stp>
        <tr r="P12" s="3"/>
      </tp>
      <tp t="s">
        <v>#N/A N/A</v>
        <stp/>
        <stp>BDH|109166276653148857</stp>
        <tr r="F17" s="4"/>
      </tp>
      <tp t="s">
        <v>#N/A N/A</v>
        <stp/>
        <stp>BDH|724639827771149828</stp>
        <tr r="AO17" s="3"/>
      </tp>
      <tp t="s">
        <v>#N/A N/A</v>
        <stp/>
        <stp>BDH|175096956670908861</stp>
        <tr r="AO8" s="3"/>
      </tp>
      <tp t="s">
        <v>#N/A N/A</v>
        <stp/>
        <stp>BDH|381016947880961827</stp>
        <tr r="AL10" s="4"/>
      </tp>
    </main>
    <main first="bofaddin.rtdserver">
      <tp t="s">
        <v>#N/A N/A</v>
        <stp/>
        <stp>BDP|883192385276056314</stp>
        <tr r="AG13" s="2"/>
      </tp>
      <tp t="s">
        <v>#N/A N/A</v>
        <stp/>
        <stp>BDH|216330710129594717</stp>
        <tr r="P19" s="4"/>
      </tp>
      <tp t="s">
        <v>#N/A N/A</v>
        <stp/>
        <stp>BDH|270228286875643325</stp>
        <tr r="M18" s="4"/>
      </tp>
      <tp t="s">
        <v>#N/A N/A</v>
        <stp/>
        <stp>BDP|689110567912021939</stp>
        <tr r="P9" s="2"/>
      </tp>
      <tp t="s">
        <v>#N/A N/A</v>
        <stp/>
        <stp>BDP|754243342412005826</stp>
        <tr r="AC10" s="2"/>
      </tp>
    </main>
    <main first="bofaddin.rtdserver">
      <tp t="s">
        <v>#N/A N/A</v>
        <stp/>
        <stp>BDP|378232368383798936</stp>
        <tr r="AL16" s="2"/>
      </tp>
    </main>
    <main first="bofaddin.rtdserver">
      <tp t="s">
        <v>#N/A N/A</v>
        <stp/>
        <stp>BDH|180920933765797104</stp>
        <tr r="X6" s="3"/>
      </tp>
      <tp t="s">
        <v>#N/A N/A</v>
        <stp/>
        <stp>BDP|693218306898202401</stp>
        <tr r="AP10" s="2"/>
      </tp>
    </main>
    <main first="bofaddin.rtdserver">
      <tp t="s">
        <v>#N/A N/A</v>
        <stp/>
        <stp>BDH|718957045050349496</stp>
        <tr r="S26" s="3"/>
      </tp>
      <tp t="s">
        <v>#N/A N/A</v>
        <stp/>
        <stp>BDH|996632999225809337</stp>
        <tr r="Z24" s="4"/>
      </tp>
      <tp t="s">
        <v>#N/A N/A</v>
        <stp/>
        <stp>BDH|933109427019075348</stp>
        <tr r="K13" s="3"/>
      </tp>
      <tp t="s">
        <v>#N/A N/A</v>
        <stp/>
        <stp>BDH|669446342018207175</stp>
        <tr r="AC8" s="3"/>
      </tp>
      <tp t="s">
        <v>#N/A N/A</v>
        <stp/>
        <stp>BDH|109068785530703129</stp>
        <tr r="K28" s="3"/>
      </tp>
      <tp t="s">
        <v>#N/A N/A</v>
        <stp/>
        <stp>BDH|936230339591113905</stp>
        <tr r="AL21" s="3"/>
      </tp>
      <tp t="s">
        <v>#N/A N/A</v>
        <stp/>
        <stp>BDH|534556935608282745</stp>
        <tr r="AI18" s="4"/>
      </tp>
      <tp t="s">
        <v>#N/A N/A</v>
        <stp/>
        <stp>BDH|844558436006134863</stp>
        <tr r="AD21" s="3"/>
      </tp>
      <tp t="s">
        <v>#N/A N/A</v>
        <stp/>
        <stp>BDH|759614485461083793</stp>
        <tr r="Y21" s="3"/>
      </tp>
      <tp t="s">
        <v>#N/A N/A</v>
        <stp/>
        <stp>BDH|724720193261662704</stp>
        <tr r="Y28" s="3"/>
      </tp>
    </main>
    <main first="bofaddin.rtdserver">
      <tp t="s">
        <v>#N/A N/A</v>
        <stp/>
        <stp>BDH|910346992653763246</stp>
        <tr r="AP9" s="3"/>
      </tp>
      <tp t="s">
        <v>#N/A N/A</v>
        <stp/>
        <stp>BDH|330944956262725583</stp>
        <tr r="AP9" s="4"/>
      </tp>
      <tp t="s">
        <v>#N/A N/A</v>
        <stp/>
        <stp>BDP|960236161416218911</stp>
        <tr r="X9" s="2"/>
      </tp>
      <tp t="s">
        <v>#N/A N/A</v>
        <stp/>
        <stp>BDH|405821259334342265</stp>
        <tr r="Q8" s="3"/>
      </tp>
      <tp t="s">
        <v>#N/A N/A</v>
        <stp/>
        <stp>BDP|798303696215566425</stp>
        <tr r="AF12" s="2"/>
      </tp>
      <tp t="s">
        <v>#N/A N/A</v>
        <stp/>
        <stp>BDH|980426873269617180</stp>
        <tr r="O13" s="3"/>
      </tp>
      <tp t="s">
        <v>#N/A N/A</v>
        <stp/>
        <stp>BDH|202409849819830251</stp>
        <tr r="E26" s="4"/>
      </tp>
      <tp t="s">
        <v>#N/A N/A</v>
        <stp/>
        <stp>BDH|570759314229379446</stp>
        <tr r="U26" s="3"/>
      </tp>
    </main>
    <main first="bofaddin.rtdserver">
      <tp t="s">
        <v>#N/A N/A</v>
        <stp/>
        <stp>BDH|572831044300998652</stp>
        <tr r="R25" s="3"/>
      </tp>
      <tp t="s">
        <v>#N/A N/A</v>
        <stp/>
        <stp>BDH|590453888440425666</stp>
        <tr r="E17" s="4"/>
      </tp>
      <tp t="s">
        <v>#N/A N/A</v>
        <stp/>
        <stp>BDH|764755520607986813</stp>
        <tr r="AC9" s="4"/>
      </tp>
      <tp t="s">
        <v>#N/A N/A</v>
        <stp/>
        <stp>BDH|895034974349321494</stp>
        <tr r="AK12" s="3"/>
      </tp>
      <tp t="s">
        <v>#N/A N/A</v>
        <stp/>
        <stp>BDH|698139106819134215</stp>
        <tr r="AH1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3" t="s">
        <v>2</v>
      </c>
      <c r="B4" s="3"/>
      <c r="C4" s="4" t="s">
        <v>177</v>
      </c>
      <c r="D4" s="4" t="s">
        <v>176</v>
      </c>
      <c r="E4" s="4" t="s">
        <v>175</v>
      </c>
      <c r="F4" s="4" t="s">
        <v>174</v>
      </c>
      <c r="G4" s="4" t="s">
        <v>173</v>
      </c>
      <c r="H4" s="4" t="s">
        <v>172</v>
      </c>
      <c r="I4" s="4" t="s">
        <v>171</v>
      </c>
      <c r="J4" s="4" t="s">
        <v>170</v>
      </c>
      <c r="K4" s="4" t="s">
        <v>169</v>
      </c>
      <c r="L4" s="4" t="s">
        <v>168</v>
      </c>
      <c r="M4" s="4" t="s">
        <v>167</v>
      </c>
      <c r="N4" s="4" t="s">
        <v>166</v>
      </c>
      <c r="O4" s="4" t="s">
        <v>165</v>
      </c>
      <c r="P4" s="4" t="s">
        <v>164</v>
      </c>
      <c r="Q4" s="4" t="s">
        <v>163</v>
      </c>
      <c r="R4" s="4" t="s">
        <v>162</v>
      </c>
      <c r="S4" s="4" t="s">
        <v>161</v>
      </c>
      <c r="T4" s="4" t="s">
        <v>160</v>
      </c>
      <c r="U4" s="4" t="s">
        <v>159</v>
      </c>
      <c r="V4" s="4" t="s">
        <v>158</v>
      </c>
      <c r="W4" s="4" t="s">
        <v>157</v>
      </c>
      <c r="X4" s="4" t="s">
        <v>156</v>
      </c>
      <c r="Y4" s="4" t="s">
        <v>155</v>
      </c>
      <c r="Z4" s="4" t="s">
        <v>154</v>
      </c>
      <c r="AA4" s="4" t="s">
        <v>153</v>
      </c>
      <c r="AB4" s="4" t="s">
        <v>152</v>
      </c>
      <c r="AC4" s="4" t="s">
        <v>151</v>
      </c>
      <c r="AD4" s="4" t="s">
        <v>150</v>
      </c>
      <c r="AE4" s="4" t="s">
        <v>149</v>
      </c>
      <c r="AF4" s="4" t="s">
        <v>148</v>
      </c>
      <c r="AG4" s="4" t="s">
        <v>147</v>
      </c>
      <c r="AH4" s="4" t="s">
        <v>146</v>
      </c>
      <c r="AI4" s="4" t="s">
        <v>145</v>
      </c>
      <c r="AJ4" s="4" t="s">
        <v>144</v>
      </c>
      <c r="AK4" s="4" t="s">
        <v>143</v>
      </c>
      <c r="AL4" s="4" t="s">
        <v>142</v>
      </c>
      <c r="AM4" s="4" t="s">
        <v>141</v>
      </c>
      <c r="AN4" s="4" t="s">
        <v>140</v>
      </c>
      <c r="AO4" s="4" t="s">
        <v>139</v>
      </c>
      <c r="AP4" s="4" t="s">
        <v>138</v>
      </c>
    </row>
    <row r="5" spans="1:42" x14ac:dyDescent="0.25">
      <c r="A5" s="5" t="s">
        <v>137</v>
      </c>
      <c r="B5" s="5"/>
      <c r="C5" s="6" t="s">
        <v>44</v>
      </c>
      <c r="D5" s="6" t="s">
        <v>45</v>
      </c>
      <c r="E5" s="6" t="s">
        <v>46</v>
      </c>
      <c r="F5" s="6" t="s">
        <v>47</v>
      </c>
      <c r="G5" s="6" t="s">
        <v>48</v>
      </c>
      <c r="H5" s="6" t="s">
        <v>49</v>
      </c>
      <c r="I5" s="6" t="s">
        <v>50</v>
      </c>
      <c r="J5" s="6" t="s">
        <v>51</v>
      </c>
      <c r="K5" s="6" t="s">
        <v>52</v>
      </c>
      <c r="L5" s="6" t="s">
        <v>53</v>
      </c>
      <c r="M5" s="6" t="s">
        <v>54</v>
      </c>
      <c r="N5" s="6" t="s">
        <v>55</v>
      </c>
      <c r="O5" s="6" t="s">
        <v>56</v>
      </c>
      <c r="P5" s="6" t="s">
        <v>57</v>
      </c>
      <c r="Q5" s="6" t="s">
        <v>58</v>
      </c>
      <c r="R5" s="6" t="s">
        <v>59</v>
      </c>
      <c r="S5" s="6" t="s">
        <v>60</v>
      </c>
      <c r="T5" s="6" t="s">
        <v>61</v>
      </c>
      <c r="U5" s="6" t="s">
        <v>62</v>
      </c>
      <c r="V5" s="6" t="s">
        <v>63</v>
      </c>
      <c r="W5" s="6" t="s">
        <v>64</v>
      </c>
      <c r="X5" s="6" t="s">
        <v>65</v>
      </c>
      <c r="Y5" s="6" t="s">
        <v>66</v>
      </c>
      <c r="Z5" s="6" t="s">
        <v>67</v>
      </c>
      <c r="AA5" s="6" t="s">
        <v>68</v>
      </c>
      <c r="AB5" s="6" t="s">
        <v>69</v>
      </c>
      <c r="AC5" s="6" t="s">
        <v>70</v>
      </c>
      <c r="AD5" s="6" t="s">
        <v>71</v>
      </c>
      <c r="AE5" s="6" t="s">
        <v>72</v>
      </c>
      <c r="AF5" s="6" t="s">
        <v>73</v>
      </c>
      <c r="AG5" s="6" t="s">
        <v>74</v>
      </c>
      <c r="AH5" s="6" t="s">
        <v>75</v>
      </c>
      <c r="AI5" s="6" t="s">
        <v>76</v>
      </c>
      <c r="AJ5" s="6" t="s">
        <v>77</v>
      </c>
      <c r="AK5" s="6" t="s">
        <v>78</v>
      </c>
      <c r="AL5" s="6" t="s">
        <v>79</v>
      </c>
      <c r="AM5" s="6" t="s">
        <v>80</v>
      </c>
      <c r="AN5" s="6" t="s">
        <v>81</v>
      </c>
      <c r="AO5" s="6" t="s">
        <v>82</v>
      </c>
      <c r="AP5" s="6" t="s">
        <v>83</v>
      </c>
    </row>
    <row r="6" spans="1:42" x14ac:dyDescent="0.25">
      <c r="A6" s="2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7" t="s">
        <v>197</v>
      </c>
      <c r="B7" s="7" t="s">
        <v>196</v>
      </c>
      <c r="C7" s="21">
        <f>_xll.BDH("NVDA US Equity","RETURN_COM_EQY","FQ2 2012","FQ2 2012","Currency=USD","Period=FQ","BEST_FPERIOD_OVERRIDE=FQ","FILING_STATUS=MR","FA_ADJUSTED=GAAP","Sort=A","Dates=H","DateFormat=P","Fill=—","Direction=H","UseDPDF=Y")</f>
        <v>16.846699999999998</v>
      </c>
      <c r="D7" s="21">
        <f>_xll.BDH("NVDA US Equity","RETURN_COM_EQY","FQ3 2012","FQ3 2012","Currency=USD","Period=FQ","BEST_FPERIOD_OVERRIDE=FQ","FILING_STATUS=MR","FA_ADJUSTED=GAAP","Sort=A","Dates=H","DateFormat=P","Fill=—","Direction=H","UseDPDF=Y")</f>
        <v>18.532499999999999</v>
      </c>
      <c r="E7" s="21">
        <f>_xll.BDH("NVDA US Equity","RETURN_COM_EQY","FQ4 2012","FQ4 2012","Currency=USD","Period=FQ","BEST_FPERIOD_OVERRIDE=FQ","FILING_STATUS=MR","FA_ADJUSTED=GAAP","Sort=A","Dates=H","DateFormat=P","Fill=—","Direction=H","UseDPDF=Y")</f>
        <v>15.8612</v>
      </c>
      <c r="F7" s="21">
        <f>_xll.BDH("NVDA US Equity","RETURN_COM_EQY","FQ1 2013","FQ1 2013","Currency=USD","Period=FQ","BEST_FPERIOD_OVERRIDE=FQ","FILING_STATUS=MR","FA_ADJUSTED=GAAP","Sort=A","Dates=H","DateFormat=P","Fill=—","Direction=H","UseDPDF=Y")</f>
        <v>13.090999999999999</v>
      </c>
      <c r="G7" s="21">
        <f>_xll.BDH("NVDA US Equity","RETURN_COM_EQY","FQ2 2013","FQ2 2013","Currency=USD","Period=FQ","BEST_FPERIOD_OVERRIDE=FQ","FILING_STATUS=MR","FA_ADJUSTED=GAAP","Sort=A","Dates=H","DateFormat=P","Fill=—","Direction=H","UseDPDF=Y")</f>
        <v>11.6363</v>
      </c>
      <c r="H7" s="21">
        <f>_xll.BDH("NVDA US Equity","RETURN_COM_EQY","FQ3 2013","FQ3 2013","Currency=USD","Period=FQ","BEST_FPERIOD_OVERRIDE=FQ","FILING_STATUS=MR","FA_ADJUSTED=GAAP","Sort=A","Dates=H","DateFormat=P","Fill=—","Direction=H","UseDPDF=Y")</f>
        <v>11.604699999999999</v>
      </c>
      <c r="I7" s="21">
        <f>_xll.BDH("NVDA US Equity","RETURN_COM_EQY","FQ4 2013","FQ4 2013","Currency=USD","Period=FQ","BEST_FPERIOD_OVERRIDE=FQ","FILING_STATUS=MR","FA_ADJUSTED=GAAP","Sort=A","Dates=H","DateFormat=P","Fill=—","Direction=H","UseDPDF=Y")</f>
        <v>12.537800000000001</v>
      </c>
      <c r="J7" s="21">
        <f>_xll.BDH("NVDA US Equity","RETURN_COM_EQY","FQ1 2014","FQ1 2014","Currency=USD","Period=FQ","BEST_FPERIOD_OVERRIDE=FQ","FILING_STATUS=MR","FA_ADJUSTED=GAAP","Sort=A","Dates=H","DateFormat=P","Fill=—","Direction=H","UseDPDF=Y")</f>
        <v>12.729699999999999</v>
      </c>
      <c r="K7" s="21">
        <f>_xll.BDH("NVDA US Equity","RETURN_COM_EQY","FQ2 2014","FQ2 2014","Currency=USD","Period=FQ","BEST_FPERIOD_OVERRIDE=FQ","FILING_STATUS=MR","FA_ADJUSTED=GAAP","Sort=A","Dates=H","DateFormat=P","Fill=—","Direction=H","UseDPDF=Y")</f>
        <v>12.9238</v>
      </c>
      <c r="L7" s="21">
        <f>_xll.BDH("NVDA US Equity","RETURN_COM_EQY","FQ3 2014","FQ3 2014","Currency=USD","Period=FQ","BEST_FPERIOD_OVERRIDE=FQ","FILING_STATUS=MR","FA_ADJUSTED=GAAP","Sort=A","Dates=H","DateFormat=P","Fill=—","Direction=H","UseDPDF=Y")</f>
        <v>10.328900000000001</v>
      </c>
      <c r="M7" s="21">
        <f>_xll.BDH("NVDA US Equity","RETURN_COM_EQY","FQ4 2014","FQ4 2014","Currency=USD","Period=FQ","BEST_FPERIOD_OVERRIDE=FQ","FILING_STATUS=MR","FA_ADJUSTED=GAAP","Sort=A","Dates=H","DateFormat=P","Fill=—","Direction=H","UseDPDF=Y")</f>
        <v>9.4784000000000006</v>
      </c>
      <c r="N7" s="21">
        <f>_xll.BDH("NVDA US Equity","RETURN_COM_EQY","FQ1 2015","FQ1 2015","Currency=USD","Period=FQ","BEST_FPERIOD_OVERRIDE=FQ","FILING_STATUS=MR","FA_ADJUSTED=GAAP","Sort=A","Dates=H","DateFormat=P","Fill=—","Direction=H","UseDPDF=Y")</f>
        <v>11.101100000000001</v>
      </c>
      <c r="O7" s="21">
        <f>_xll.BDH("NVDA US Equity","RETURN_COM_EQY","FQ2 2015","FQ2 2015","Currency=USD","Period=FQ","BEST_FPERIOD_OVERRIDE=FQ","FILING_STATUS=MR","FA_ADJUSTED=GAAP","Sort=A","Dates=H","DateFormat=P","Fill=—","Direction=H","UseDPDF=Y")</f>
        <v>12.5198</v>
      </c>
      <c r="P7" s="21">
        <f>_xll.BDH("NVDA US Equity","RETURN_COM_EQY","FQ3 2015","FQ3 2015","Currency=USD","Period=FQ","BEST_FPERIOD_OVERRIDE=FQ","FILING_STATUS=MR","FA_ADJUSTED=GAAP","Sort=A","Dates=H","DateFormat=P","Fill=—","Direction=H","UseDPDF=Y")</f>
        <v>13.722</v>
      </c>
      <c r="Q7" s="21">
        <f>_xll.BDH("NVDA US Equity","RETURN_COM_EQY","FQ4 2015","FQ4 2015","Currency=USD","Period=FQ","BEST_FPERIOD_OVERRIDE=FQ","FILING_STATUS=MR","FA_ADJUSTED=GAAP","Sort=A","Dates=H","DateFormat=P","Fill=—","Direction=H","UseDPDF=Y")</f>
        <v>14.220700000000001</v>
      </c>
      <c r="R7" s="21">
        <f>_xll.BDH("NVDA US Equity","RETURN_COM_EQY","FQ1 2016","FQ1 2016","Currency=USD","Period=FQ","BEST_FPERIOD_OVERRIDE=FQ","FILING_STATUS=MR","FA_ADJUSTED=GAAP","Sort=A","Dates=H","DateFormat=P","Fill=—","Direction=H","UseDPDF=Y")</f>
        <v>14.3987</v>
      </c>
      <c r="S7" s="21">
        <f>_xll.BDH("NVDA US Equity","RETURN_COM_EQY","FQ2 2016","FQ2 2016","Currency=USD","Period=FQ","BEST_FPERIOD_OVERRIDE=FQ","FILING_STATUS=MR","FA_ADJUSTED=GAAP","Sort=A","Dates=H","DateFormat=P","Fill=—","Direction=H","UseDPDF=Y")</f>
        <v>12.391400000000001</v>
      </c>
      <c r="T7" s="21">
        <f>_xll.BDH("NVDA US Equity","RETURN_COM_EQY","FQ3 2016","FQ3 2016","Currency=USD","Period=FQ","BEST_FPERIOD_OVERRIDE=FQ","FILING_STATUS=MR","FA_ADJUSTED=GAAP","Sort=A","Dates=H","DateFormat=P","Fill=—","Direction=H","UseDPDF=Y")</f>
        <v>13.8184</v>
      </c>
      <c r="U7" s="21">
        <f>_xll.BDH("NVDA US Equity","RETURN_COM_EQY","FQ4 2016","FQ4 2016","Currency=USD","Period=FQ","BEST_FPERIOD_OVERRIDE=FQ","FILING_STATUS=MR","FA_ADJUSTED=GAAP","Sort=A","Dates=H","DateFormat=P","Fill=—","Direction=H","UseDPDF=Y")</f>
        <v>13.795400000000001</v>
      </c>
      <c r="V7" s="21">
        <f>_xll.BDH("NVDA US Equity","RETURN_COM_EQY","FQ1 2017","FQ1 2017","Currency=USD","Period=FQ","BEST_FPERIOD_OVERRIDE=FQ","FILING_STATUS=MR","FA_ADJUSTED=GAAP","Sort=A","Dates=H","DateFormat=P","Fill=—","Direction=H","UseDPDF=Y")</f>
        <v>15.699300000000001</v>
      </c>
      <c r="W7" s="21">
        <f>_xll.BDH("NVDA US Equity","RETURN_COM_EQY","FQ2 2017","FQ2 2017","Currency=USD","Period=FQ","BEST_FPERIOD_OVERRIDE=FQ","FILING_STATUS=MR","FA_ADJUSTED=GAAP","Sort=A","Dates=H","DateFormat=P","Fill=—","Direction=H","UseDPDF=Y")</f>
        <v>21.280999999999999</v>
      </c>
      <c r="X7" s="21">
        <f>_xll.BDH("NVDA US Equity","RETURN_COM_EQY","FQ3 2017","FQ3 2017","Currency=USD","Period=FQ","BEST_FPERIOD_OVERRIDE=FQ","FILING_STATUS=MR","FA_ADJUSTED=GAAP","Sort=A","Dates=H","DateFormat=P","Fill=—","Direction=H","UseDPDF=Y")</f>
        <v>24.885100000000001</v>
      </c>
      <c r="Y7" s="21">
        <f>_xll.BDH("NVDA US Equity","RETURN_COM_EQY","FQ4 2017","FQ4 2017","Currency=USD","Period=FQ","BEST_FPERIOD_OVERRIDE=FQ","FILING_STATUS=MR","FA_ADJUSTED=GAAP","Sort=A","Dates=H","DateFormat=P","Fill=—","Direction=H","UseDPDF=Y")</f>
        <v>32.567700000000002</v>
      </c>
      <c r="Z7" s="21">
        <f>_xll.BDH("NVDA US Equity","RETURN_COM_EQY","FQ1 2018","FQ1 2018","Currency=USD","Period=FQ","BEST_FPERIOD_OVERRIDE=FQ","FILING_STATUS=MR","FA_ADJUSTED=GAAP","Sort=A","Dates=H","DateFormat=P","Fill=—","Direction=H","UseDPDF=Y")</f>
        <v>38.051900000000003</v>
      </c>
      <c r="AA7" s="21">
        <f>_xll.BDH("NVDA US Equity","RETURN_COM_EQY","FQ2 2018","FQ2 2018","Currency=USD","Period=FQ","BEST_FPERIOD_OVERRIDE=FQ","FILING_STATUS=MR","FA_ADJUSTED=GAAP","Sort=A","Dates=H","DateFormat=P","Fill=—","Direction=H","UseDPDF=Y")</f>
        <v>43.757800000000003</v>
      </c>
      <c r="AB7" s="21">
        <f>_xll.BDH("NVDA US Equity","RETURN_COM_EQY","FQ3 2018","FQ3 2018","Currency=USD","Period=FQ","BEST_FPERIOD_OVERRIDE=FQ","FILING_STATUS=MR","FA_ADJUSTED=GAAP","Sort=A","Dates=H","DateFormat=P","Fill=—","Direction=H","UseDPDF=Y")</f>
        <v>44.244599999999998</v>
      </c>
      <c r="AC7" s="21">
        <f>_xll.BDH("NVDA US Equity","RETURN_COM_EQY","FQ4 2018","FQ4 2018","Currency=USD","Period=FQ","BEST_FPERIOD_OVERRIDE=FQ","FILING_STATUS=MR","FA_ADJUSTED=GAAP","Sort=A","Dates=H","DateFormat=P","Fill=—","Direction=H","UseDPDF=Y")</f>
        <v>46.0364</v>
      </c>
      <c r="AD7" s="21">
        <f>_xll.BDH("NVDA US Equity","RETURN_COM_EQY","FQ1 2019","FQ1 2019","Currency=USD","Period=FQ","BEST_FPERIOD_OVERRIDE=FQ","FILING_STATUS=MR","FA_ADJUSTED=GAAP","Sort=A","Dates=H","DateFormat=P","Fill=—","Direction=H","UseDPDF=Y")</f>
        <v>54.632100000000001</v>
      </c>
      <c r="AE7" s="21">
        <f>_xll.BDH("NVDA US Equity","RETURN_COM_EQY","FQ2 2019","FQ2 2019","Currency=USD","Period=FQ","BEST_FPERIOD_OVERRIDE=FQ","FILING_STATUS=MR","FA_ADJUSTED=GAAP","Sort=A","Dates=H","DateFormat=P","Fill=—","Direction=H","UseDPDF=Y")</f>
        <v>58.247599999999998</v>
      </c>
      <c r="AF7" s="21">
        <f>_xll.BDH("NVDA US Equity","RETURN_COM_EQY","FQ3 2019","FQ3 2019","Currency=USD","Period=FQ","BEST_FPERIOD_OVERRIDE=FQ","FILING_STATUS=MR","FA_ADJUSTED=GAAP","Sort=A","Dates=H","DateFormat=P","Fill=—","Direction=H","UseDPDF=Y")</f>
        <v>59.303699999999999</v>
      </c>
      <c r="AG7" s="21">
        <f>_xll.BDH("NVDA US Equity","RETURN_COM_EQY","FQ4 2019","FQ4 2019","Currency=USD","Period=FQ","BEST_FPERIOD_OVERRIDE=FQ","FILING_STATUS=MR","FA_ADJUSTED=GAAP","Sort=A","Dates=H","DateFormat=P","Fill=—","Direction=H","UseDPDF=Y")</f>
        <v>49.2714</v>
      </c>
      <c r="AH7" s="21">
        <f>_xll.BDH("NVDA US Equity","RETURN_COM_EQY","FQ1 2020","FQ1 2020","Currency=USD","Period=FQ","BEST_FPERIOD_OVERRIDE=FQ","FILING_STATUS=MR","FA_ADJUSTED=GAAP","Sort=A","Dates=H","DateFormat=P","Fill=—","Direction=H","UseDPDF=Y")</f>
        <v>37.793500000000002</v>
      </c>
      <c r="AI7" s="21">
        <f>_xll.BDH("NVDA US Equity","RETURN_COM_EQY","FQ2 2020","FQ2 2020","Currency=USD","Period=FQ","BEST_FPERIOD_OVERRIDE=FQ","FILING_STATUS=MR","FA_ADJUSTED=GAAP","Sort=A","Dates=H","DateFormat=P","Fill=—","Direction=H","UseDPDF=Y")</f>
        <v>28.675999999999998</v>
      </c>
      <c r="AJ7" s="21">
        <f>_xll.BDH("NVDA US Equity","RETURN_COM_EQY","FQ3 2020","FQ3 2020","Currency=USD","Period=FQ","BEST_FPERIOD_OVERRIDE=FQ","FILING_STATUS=MR","FA_ADJUSTED=GAAP","Sort=A","Dates=H","DateFormat=P","Fill=—","Direction=H","UseDPDF=Y")</f>
        <v>23.316700000000001</v>
      </c>
      <c r="AK7" s="21">
        <f>_xll.BDH("NVDA US Equity","RETURN_COM_EQY","FQ4 2020","FQ4 2020","Currency=USD","Period=FQ","BEST_FPERIOD_OVERRIDE=FQ","FILING_STATUS=MR","FA_ADJUSTED=GAAP","Sort=A","Dates=H","DateFormat=P","Fill=—","Direction=H","UseDPDF=Y")</f>
        <v>25.944500000000001</v>
      </c>
      <c r="AL7" s="21">
        <f>_xll.BDH("NVDA US Equity","RETURN_COM_EQY","FQ1 2021","FQ1 2021","Currency=USD","Period=FQ","BEST_FPERIOD_OVERRIDE=FQ","FILING_STATUS=MR","FA_ADJUSTED=GAAP","Sort=A","Dates=H","DateFormat=P","Fill=—","Direction=H","UseDPDF=Y")</f>
        <v>29.101400000000002</v>
      </c>
      <c r="AM7" s="21">
        <f>_xll.BDH("NVDA US Equity","RETURN_COM_EQY","FQ2 2021","FQ2 2021","Currency=USD","Period=FQ","BEST_FPERIOD_OVERRIDE=FQ","FILING_STATUS=MR","FA_ADJUSTED=GAAP","Sort=A","Dates=H","DateFormat=P","Fill=—","Direction=H","UseDPDF=Y")</f>
        <v>27.942299999999999</v>
      </c>
      <c r="AN7" s="21">
        <f>_xll.BDH("NVDA US Equity","RETURN_COM_EQY","FQ3 2021","FQ3 2021","Currency=USD","Period=FQ","BEST_FPERIOD_OVERRIDE=FQ","FILING_STATUS=MR","FA_ADJUSTED=GAAP","Sort=A","Dates=H","DateFormat=P","Fill=—","Direction=H","UseDPDF=Y")</f>
        <v>28.8157</v>
      </c>
      <c r="AO7" s="21">
        <f>_xll.BDH("NVDA US Equity","RETURN_COM_EQY","FQ4 2021","FQ4 2021","Currency=USD","Period=FQ","BEST_FPERIOD_OVERRIDE=FQ","FILING_STATUS=MR","FA_ADJUSTED=GAAP","Sort=A","Dates=H","DateFormat=P","Fill=—","Direction=H","UseDPDF=Y")</f>
        <v>29.776299999999999</v>
      </c>
      <c r="AP7" s="21">
        <f>_xll.BDH("NVDA US Equity","RETURN_COM_EQY","FQ1 2022","FQ1 2022","Currency=USD","Period=FQ","BEST_FPERIOD_OVERRIDE=FQ","FILING_STATUS=MR","FA_ADJUSTED=GAAP","Sort=A","Dates=H","DateFormat=P","Fill=—","Direction=H","UseDPDF=Y")</f>
        <v>33.426400000000001</v>
      </c>
    </row>
    <row r="8" spans="1:42" x14ac:dyDescent="0.25">
      <c r="A8" s="7" t="s">
        <v>195</v>
      </c>
      <c r="B8" s="7" t="s">
        <v>194</v>
      </c>
      <c r="C8" s="21">
        <f>_xll.BDH("NVDA US Equity","RETURN_ON_ASSET","FQ2 2012","FQ2 2012","Currency=USD","Period=FQ","BEST_FPERIOD_OVERRIDE=FQ","FILING_STATUS=MR","FA_ADJUSTED=GAAP","Sort=A","Dates=H","DateFormat=P","Fill=—","Direction=H","UseDPDF=Y")</f>
        <v>12.641299999999999</v>
      </c>
      <c r="D8" s="21">
        <f>_xll.BDH("NVDA US Equity","RETURN_ON_ASSET","FQ3 2012","FQ3 2012","Currency=USD","Period=FQ","BEST_FPERIOD_OVERRIDE=FQ","FILING_STATUS=MR","FA_ADJUSTED=GAAP","Sort=A","Dates=H","DateFormat=P","Fill=—","Direction=H","UseDPDF=Y")</f>
        <v>14.141999999999999</v>
      </c>
      <c r="E8" s="21">
        <f>_xll.BDH("NVDA US Equity","RETURN_ON_ASSET","FQ4 2012","FQ4 2012","Currency=USD","Period=FQ","BEST_FPERIOD_OVERRIDE=FQ","FILING_STATUS=MR","FA_ADJUSTED=GAAP","Sort=A","Dates=H","DateFormat=P","Fill=—","Direction=H","UseDPDF=Y")</f>
        <v>11.5661</v>
      </c>
      <c r="F8" s="21">
        <f>_xll.BDH("NVDA US Equity","RETURN_ON_ASSET","FQ1 2013","FQ1 2013","Currency=USD","Period=FQ","BEST_FPERIOD_OVERRIDE=FQ","FILING_STATUS=MR","FA_ADJUSTED=GAAP","Sort=A","Dates=H","DateFormat=P","Fill=—","Direction=H","UseDPDF=Y")</f>
        <v>9.6948000000000008</v>
      </c>
      <c r="G8" s="21">
        <f>_xll.BDH("NVDA US Equity","RETURN_ON_ASSET","FQ2 2013","FQ2 2013","Currency=USD","Period=FQ","BEST_FPERIOD_OVERRIDE=FQ","FILING_STATUS=MR","FA_ADJUSTED=GAAP","Sort=A","Dates=H","DateFormat=P","Fill=—","Direction=H","UseDPDF=Y")</f>
        <v>8.8094000000000001</v>
      </c>
      <c r="H8" s="21">
        <f>_xll.BDH("NVDA US Equity","RETURN_ON_ASSET","FQ3 2013","FQ3 2013","Currency=USD","Period=FQ","BEST_FPERIOD_OVERRIDE=FQ","FILING_STATUS=MR","FA_ADJUSTED=GAAP","Sort=A","Dates=H","DateFormat=P","Fill=—","Direction=H","UseDPDF=Y")</f>
        <v>9.0394000000000005</v>
      </c>
      <c r="I8" s="21">
        <f>_xll.BDH("NVDA US Equity","RETURN_ON_ASSET","FQ4 2013","FQ4 2013","Currency=USD","Period=FQ","BEST_FPERIOD_OVERRIDE=FQ","FILING_STATUS=MR","FA_ADJUSTED=GAAP","Sort=A","Dates=H","DateFormat=P","Fill=—","Direction=H","UseDPDF=Y")</f>
        <v>9.4029000000000007</v>
      </c>
      <c r="J8" s="21">
        <f>_xll.BDH("NVDA US Equity","RETURN_ON_ASSET","FQ1 2014","FQ1 2014","Currency=USD","Period=FQ","BEST_FPERIOD_OVERRIDE=FQ","FILING_STATUS=MR","FA_ADJUSTED=GAAP","Sort=A","Dates=H","DateFormat=P","Fill=—","Direction=H","UseDPDF=Y")</f>
        <v>9.6763999999999992</v>
      </c>
      <c r="K8" s="21">
        <f>_xll.BDH("NVDA US Equity","RETURN_ON_ASSET","FQ2 2014","FQ2 2014","Currency=USD","Period=FQ","BEST_FPERIOD_OVERRIDE=FQ","FILING_STATUS=MR","FA_ADJUSTED=GAAP","Sort=A","Dates=H","DateFormat=P","Fill=—","Direction=H","UseDPDF=Y")</f>
        <v>9.7263999999999999</v>
      </c>
      <c r="L8" s="21">
        <f>_xll.BDH("NVDA US Equity","RETURN_ON_ASSET","FQ3 2014","FQ3 2014","Currency=USD","Period=FQ","BEST_FPERIOD_OVERRIDE=FQ","FILING_STATUS=MR","FA_ADJUSTED=GAAP","Sort=A","Dates=H","DateFormat=P","Fill=—","Direction=H","UseDPDF=Y")</f>
        <v>7.9251000000000005</v>
      </c>
      <c r="M8" s="21">
        <f>_xll.BDH("NVDA US Equity","RETURN_ON_ASSET","FQ4 2014","FQ4 2014","Currency=USD","Period=FQ","BEST_FPERIOD_OVERRIDE=FQ","FILING_STATUS=MR","FA_ADJUSTED=GAAP","Sort=A","Dates=H","DateFormat=P","Fill=—","Direction=H","UseDPDF=Y")</f>
        <v>6.4405000000000001</v>
      </c>
      <c r="N8" s="21">
        <f>_xll.BDH("NVDA US Equity","RETURN_ON_ASSET","FQ1 2015","FQ1 2015","Currency=USD","Period=FQ","BEST_FPERIOD_OVERRIDE=FQ","FILING_STATUS=MR","FA_ADJUSTED=GAAP","Sort=A","Dates=H","DateFormat=P","Fill=—","Direction=H","UseDPDF=Y")</f>
        <v>7.5941999999999998</v>
      </c>
      <c r="O8" s="21">
        <f>_xll.BDH("NVDA US Equity","RETURN_ON_ASSET","FQ2 2015","FQ2 2015","Currency=USD","Period=FQ","BEST_FPERIOD_OVERRIDE=FQ","FILING_STATUS=MR","FA_ADJUSTED=GAAP","Sort=A","Dates=H","DateFormat=P","Fill=—","Direction=H","UseDPDF=Y")</f>
        <v>8.4882000000000009</v>
      </c>
      <c r="P8" s="21">
        <f>_xll.BDH("NVDA US Equity","RETURN_ON_ASSET","FQ3 2015","FQ3 2015","Currency=USD","Period=FQ","BEST_FPERIOD_OVERRIDE=FQ","FILING_STATUS=MR","FA_ADJUSTED=GAAP","Sort=A","Dates=H","DateFormat=P","Fill=—","Direction=H","UseDPDF=Y")</f>
        <v>9.2864000000000004</v>
      </c>
      <c r="Q8" s="21">
        <f>_xll.BDH("NVDA US Equity","RETURN_ON_ASSET","FQ4 2015","FQ4 2015","Currency=USD","Period=FQ","BEST_FPERIOD_OVERRIDE=FQ","FILING_STATUS=MR","FA_ADJUSTED=GAAP","Sort=A","Dates=H","DateFormat=P","Fill=—","Direction=H","UseDPDF=Y")</f>
        <v>8.7324000000000002</v>
      </c>
      <c r="R8" s="21">
        <f>_xll.BDH("NVDA US Equity","RETURN_ON_ASSET","FQ1 2016","FQ1 2016","Currency=USD","Period=FQ","BEST_FPERIOD_OVERRIDE=FQ","FILING_STATUS=MR","FA_ADJUSTED=GAAP","Sort=A","Dates=H","DateFormat=P","Fill=—","Direction=H","UseDPDF=Y")</f>
        <v>8.8727999999999998</v>
      </c>
      <c r="S8" s="21">
        <f>_xll.BDH("NVDA US Equity","RETURN_ON_ASSET","FQ2 2016","FQ2 2016","Currency=USD","Period=FQ","BEST_FPERIOD_OVERRIDE=FQ","FILING_STATUS=MR","FA_ADJUSTED=GAAP","Sort=A","Dates=H","DateFormat=P","Fill=—","Direction=H","UseDPDF=Y")</f>
        <v>7.5613999999999999</v>
      </c>
      <c r="T8" s="21">
        <f>_xll.BDH("NVDA US Equity","RETURN_ON_ASSET","FQ3 2016","FQ3 2016","Currency=USD","Period=FQ","BEST_FPERIOD_OVERRIDE=FQ","FILING_STATUS=MR","FA_ADJUSTED=GAAP","Sort=A","Dates=H","DateFormat=P","Fill=—","Direction=H","UseDPDF=Y")</f>
        <v>8.5206999999999997</v>
      </c>
      <c r="U8" s="21">
        <f>_xll.BDH("NVDA US Equity","RETURN_ON_ASSET","FQ4 2016","FQ4 2016","Currency=USD","Period=FQ","BEST_FPERIOD_OVERRIDE=FQ","FILING_STATUS=MR","FA_ADJUSTED=GAAP","Sort=A","Dates=H","DateFormat=P","Fill=—","Direction=H","UseDPDF=Y")</f>
        <v>8.4139999999999997</v>
      </c>
      <c r="V8" s="21">
        <f>_xll.BDH("NVDA US Equity","RETURN_ON_ASSET","FQ1 2017","FQ1 2017","Currency=USD","Period=FQ","BEST_FPERIOD_OVERRIDE=FQ","FILING_STATUS=MR","FA_ADJUSTED=GAAP","Sort=A","Dates=H","DateFormat=P","Fill=—","Direction=H","UseDPDF=Y")</f>
        <v>9.5423000000000009</v>
      </c>
      <c r="W8" s="21">
        <f>_xll.BDH("NVDA US Equity","RETURN_ON_ASSET","FQ2 2017","FQ2 2017","Currency=USD","Period=FQ","BEST_FPERIOD_OVERRIDE=FQ","FILING_STATUS=MR","FA_ADJUSTED=GAAP","Sort=A","Dates=H","DateFormat=P","Fill=—","Direction=H","UseDPDF=Y")</f>
        <v>12.770099999999999</v>
      </c>
      <c r="X8" s="21">
        <f>_xll.BDH("NVDA US Equity","RETURN_ON_ASSET","FQ3 2017","FQ3 2017","Currency=USD","Period=FQ","BEST_FPERIOD_OVERRIDE=FQ","FILING_STATUS=MR","FA_ADJUSTED=GAAP","Sort=A","Dates=H","DateFormat=P","Fill=—","Direction=H","UseDPDF=Y")</f>
        <v>14.5121</v>
      </c>
      <c r="Y8" s="21">
        <f>_xll.BDH("NVDA US Equity","RETURN_ON_ASSET","FQ4 2017","FQ4 2017","Currency=USD","Period=FQ","BEST_FPERIOD_OVERRIDE=FQ","FILING_STATUS=MR","FA_ADJUSTED=GAAP","Sort=A","Dates=H","DateFormat=P","Fill=—","Direction=H","UseDPDF=Y")</f>
        <v>19.3597</v>
      </c>
      <c r="Z8" s="21">
        <f>_xll.BDH("NVDA US Equity","RETURN_ON_ASSET","FQ1 2018","FQ1 2018","Currency=USD","Period=FQ","BEST_FPERIOD_OVERRIDE=FQ","FILING_STATUS=MR","FA_ADJUSTED=GAAP","Sort=A","Dates=H","DateFormat=P","Fill=—","Direction=H","UseDPDF=Y")</f>
        <v>23.792200000000001</v>
      </c>
      <c r="AA8" s="21">
        <f>_xll.BDH("NVDA US Equity","RETURN_ON_ASSET","FQ2 2018","FQ2 2018","Currency=USD","Period=FQ","BEST_FPERIOD_OVERRIDE=FQ","FILING_STATUS=MR","FA_ADJUSTED=GAAP","Sort=A","Dates=H","DateFormat=P","Fill=—","Direction=H","UseDPDF=Y")</f>
        <v>27.124500000000001</v>
      </c>
      <c r="AB8" s="21">
        <f>_xll.BDH("NVDA US Equity","RETURN_ON_ASSET","FQ3 2018","FQ3 2018","Currency=USD","Period=FQ","BEST_FPERIOD_OVERRIDE=FQ","FILING_STATUS=MR","FA_ADJUSTED=GAAP","Sort=A","Dates=H","DateFormat=P","Fill=—","Direction=H","UseDPDF=Y")</f>
        <v>26.571300000000001</v>
      </c>
      <c r="AC8" s="21">
        <f>_xll.BDH("NVDA US Equity","RETURN_ON_ASSET","FQ4 2018","FQ4 2018","Currency=USD","Period=FQ","BEST_FPERIOD_OVERRIDE=FQ","FILING_STATUS=MR","FA_ADJUSTED=GAAP","Sort=A","Dates=H","DateFormat=P","Fill=—","Direction=H","UseDPDF=Y")</f>
        <v>28.896699999999999</v>
      </c>
      <c r="AD8" s="21">
        <f>_xll.BDH("NVDA US Equity","RETURN_ON_ASSET","FQ1 2019","FQ1 2019","Currency=USD","Period=FQ","BEST_FPERIOD_OVERRIDE=FQ","FILING_STATUS=MR","FA_ADJUSTED=GAAP","Sort=A","Dates=H","DateFormat=P","Fill=—","Direction=H","UseDPDF=Y")</f>
        <v>36.253</v>
      </c>
      <c r="AE8" s="21">
        <f>_xll.BDH("NVDA US Equity","RETURN_ON_ASSET","FQ2 2019","FQ2 2019","Currency=USD","Period=FQ","BEST_FPERIOD_OVERRIDE=FQ","FILING_STATUS=MR","FA_ADJUSTED=GAAP","Sort=A","Dates=H","DateFormat=P","Fill=—","Direction=H","UseDPDF=Y")</f>
        <v>38.601700000000001</v>
      </c>
      <c r="AF8" s="21">
        <f>_xll.BDH("NVDA US Equity","RETURN_ON_ASSET","FQ3 2019","FQ3 2019","Currency=USD","Period=FQ","BEST_FPERIOD_OVERRIDE=FQ","FILING_STATUS=MR","FA_ADJUSTED=GAAP","Sort=A","Dates=H","DateFormat=P","Fill=—","Direction=H","UseDPDF=Y")</f>
        <v>39.962499999999999</v>
      </c>
      <c r="AG8" s="21">
        <f>_xll.BDH("NVDA US Equity","RETURN_ON_ASSET","FQ4 2019","FQ4 2019","Currency=USD","Period=FQ","BEST_FPERIOD_OVERRIDE=FQ","FILING_STATUS=MR","FA_ADJUSTED=GAAP","Sort=A","Dates=H","DateFormat=P","Fill=—","Direction=H","UseDPDF=Y")</f>
        <v>33.766800000000003</v>
      </c>
      <c r="AH8" s="21">
        <f>_xll.BDH("NVDA US Equity","RETURN_ON_ASSET","FQ1 2020","FQ1 2020","Currency=USD","Period=FQ","BEST_FPERIOD_OVERRIDE=FQ","FILING_STATUS=MR","FA_ADJUSTED=GAAP","Sort=A","Dates=H","DateFormat=P","Fill=—","Direction=H","UseDPDF=Y")</f>
        <v>25.838899999999999</v>
      </c>
      <c r="AI8" s="21">
        <f>_xll.BDH("NVDA US Equity","RETURN_ON_ASSET","FQ2 2020","FQ2 2020","Currency=USD","Period=FQ","BEST_FPERIOD_OVERRIDE=FQ","FILING_STATUS=MR","FA_ADJUSTED=GAAP","Sort=A","Dates=H","DateFormat=P","Fill=—","Direction=H","UseDPDF=Y")</f>
        <v>19.835799999999999</v>
      </c>
      <c r="AJ8" s="21">
        <f>_xll.BDH("NVDA US Equity","RETURN_ON_ASSET","FQ3 2020","FQ3 2020","Currency=USD","Period=FQ","BEST_FPERIOD_OVERRIDE=FQ","FILING_STATUS=MR","FA_ADJUSTED=GAAP","Sort=A","Dates=H","DateFormat=P","Fill=—","Direction=H","UseDPDF=Y")</f>
        <v>16.370899999999999</v>
      </c>
      <c r="AK8" s="21">
        <f>_xll.BDH("NVDA US Equity","RETURN_ON_ASSET","FQ4 2020","FQ4 2020","Currency=USD","Period=FQ","BEST_FPERIOD_OVERRIDE=FQ","FILING_STATUS=MR","FA_ADJUSTED=GAAP","Sort=A","Dates=H","DateFormat=P","Fill=—","Direction=H","UseDPDF=Y")</f>
        <v>18.2638</v>
      </c>
      <c r="AL8" s="21">
        <f>_xll.BDH("NVDA US Equity","RETURN_ON_ASSET","FQ1 2021","FQ1 2021","Currency=USD","Period=FQ","BEST_FPERIOD_OVERRIDE=FQ","FILING_STATUS=MR","FA_ADJUSTED=GAAP","Sort=A","Dates=H","DateFormat=P","Fill=—","Direction=H","UseDPDF=Y")</f>
        <v>17.802800000000001</v>
      </c>
      <c r="AM8" s="21">
        <f>_xll.BDH("NVDA US Equity","RETURN_ON_ASSET","FQ2 2021","FQ2 2021","Currency=USD","Period=FQ","BEST_FPERIOD_OVERRIDE=FQ","FILING_STATUS=MR","FA_ADJUSTED=GAAP","Sort=A","Dates=H","DateFormat=P","Fill=—","Direction=H","UseDPDF=Y")</f>
        <v>16.959099999999999</v>
      </c>
      <c r="AN8" s="21">
        <f>_xll.BDH("NVDA US Equity","RETURN_ON_ASSET","FQ3 2021","FQ3 2021","Currency=USD","Period=FQ","BEST_FPERIOD_OVERRIDE=FQ","FILING_STATUS=MR","FA_ADJUSTED=GAAP","Sort=A","Dates=H","DateFormat=P","Fill=—","Direction=H","UseDPDF=Y")</f>
        <v>17.919499999999999</v>
      </c>
      <c r="AO8" s="21">
        <f>_xll.BDH("NVDA US Equity","RETURN_ON_ASSET","FQ4 2021","FQ4 2021","Currency=USD","Period=FQ","BEST_FPERIOD_OVERRIDE=FQ","FILING_STATUS=MR","FA_ADJUSTED=GAAP","Sort=A","Dates=H","DateFormat=P","Fill=—","Direction=H","UseDPDF=Y")</f>
        <v>18.791499999999999</v>
      </c>
      <c r="AP8" s="21">
        <f>_xll.BDH("NVDA US Equity","RETURN_ON_ASSET","FQ1 2022","FQ1 2022","Currency=USD","Period=FQ","BEST_FPERIOD_OVERRIDE=FQ","FILING_STATUS=MR","FA_ADJUSTED=GAAP","Sort=A","Dates=H","DateFormat=P","Fill=—","Direction=H","UseDPDF=Y")</f>
        <v>19.711400000000001</v>
      </c>
    </row>
    <row r="9" spans="1:42" x14ac:dyDescent="0.25">
      <c r="A9" s="7" t="s">
        <v>193</v>
      </c>
      <c r="B9" s="7" t="s">
        <v>192</v>
      </c>
      <c r="C9" s="21" t="str">
        <f>_xll.BDH("NVDA US Equity","RETURN_ON_CAP","FQ2 2012","FQ2 2012","Currency=USD","Period=FQ","BEST_FPERIOD_OVERRIDE=FQ","FILING_STATUS=MR","FA_ADJUSTED=GAAP","Sort=A","Dates=H","DateFormat=P","Fill=—","Direction=H","UseDPDF=Y")</f>
        <v>—</v>
      </c>
      <c r="D9" s="21" t="str">
        <f>_xll.BDH("NVDA US Equity","RETURN_ON_CAP","FQ3 2012","FQ3 2012","Currency=USD","Period=FQ","BEST_FPERIOD_OVERRIDE=FQ","FILING_STATUS=MR","FA_ADJUSTED=GAAP","Sort=A","Dates=H","DateFormat=P","Fill=—","Direction=H","UseDPDF=Y")</f>
        <v>—</v>
      </c>
      <c r="E9" s="21" t="str">
        <f>_xll.BDH("NVDA US Equity","RETURN_ON_CAP","FQ4 2012","FQ4 2012","Currency=USD","Period=FQ","BEST_FPERIOD_OVERRIDE=FQ","FILING_STATUS=MR","FA_ADJUSTED=GAAP","Sort=A","Dates=H","DateFormat=P","Fill=—","Direction=H","UseDPDF=Y")</f>
        <v>—</v>
      </c>
      <c r="F9" s="21" t="str">
        <f>_xll.BDH("NVDA US Equity","RETURN_ON_CAP","FQ1 2013","FQ1 2013","Currency=USD","Period=FQ","BEST_FPERIOD_OVERRIDE=FQ","FILING_STATUS=MR","FA_ADJUSTED=GAAP","Sort=A","Dates=H","DateFormat=P","Fill=—","Direction=H","UseDPDF=Y")</f>
        <v>—</v>
      </c>
      <c r="G9" s="21" t="str">
        <f>_xll.BDH("NVDA US Equity","RETURN_ON_CAP","FQ2 2013","FQ2 2013","Currency=USD","Period=FQ","BEST_FPERIOD_OVERRIDE=FQ","FILING_STATUS=MR","FA_ADJUSTED=GAAP","Sort=A","Dates=H","DateFormat=P","Fill=—","Direction=H","UseDPDF=Y")</f>
        <v>—</v>
      </c>
      <c r="H9" s="21" t="str">
        <f>_xll.BDH("NVDA US Equity","RETURN_ON_CAP","FQ3 2013","FQ3 2013","Currency=USD","Period=FQ","BEST_FPERIOD_OVERRIDE=FQ","FILING_STATUS=MR","FA_ADJUSTED=GAAP","Sort=A","Dates=H","DateFormat=P","Fill=—","Direction=H","UseDPDF=Y")</f>
        <v>—</v>
      </c>
      <c r="I9" s="21" t="str">
        <f>_xll.BDH("NVDA US Equity","RETURN_ON_CAP","FQ4 2013","FQ4 2013","Currency=USD","Period=FQ","BEST_FPERIOD_OVERRIDE=FQ","FILING_STATUS=MR","FA_ADJUSTED=GAAP","Sort=A","Dates=H","DateFormat=P","Fill=—","Direction=H","UseDPDF=Y")</f>
        <v>—</v>
      </c>
      <c r="J9" s="21" t="str">
        <f>_xll.BDH("NVDA US Equity","RETURN_ON_CAP","FQ1 2014","FQ1 2014","Currency=USD","Period=FQ","BEST_FPERIOD_OVERRIDE=FQ","FILING_STATUS=MR","FA_ADJUSTED=GAAP","Sort=A","Dates=H","DateFormat=P","Fill=—","Direction=H","UseDPDF=Y")</f>
        <v>—</v>
      </c>
      <c r="K9" s="21" t="str">
        <f>_xll.BDH("NVDA US Equity","RETURN_ON_CAP","FQ2 2014","FQ2 2014","Currency=USD","Period=FQ","BEST_FPERIOD_OVERRIDE=FQ","FILING_STATUS=MR","FA_ADJUSTED=GAAP","Sort=A","Dates=H","DateFormat=P","Fill=—","Direction=H","UseDPDF=Y")</f>
        <v>—</v>
      </c>
      <c r="L9" s="21">
        <f>_xll.BDH("NVDA US Equity","RETURN_ON_CAP","FQ3 2014","FQ3 2014","Currency=USD","Period=FQ","BEST_FPERIOD_OVERRIDE=FQ","FILING_STATUS=MR","FA_ADJUSTED=GAAP","Sort=A","Dates=H","DateFormat=P","Fill=—","Direction=H","UseDPDF=Y")</f>
        <v>10.353300000000001</v>
      </c>
      <c r="M9" s="21">
        <f>_xll.BDH("NVDA US Equity","RETURN_ON_CAP","FQ4 2014","FQ4 2014","Currency=USD","Period=FQ","BEST_FPERIOD_OVERRIDE=FQ","FILING_STATUS=MR","FA_ADJUSTED=GAAP","Sort=A","Dates=H","DateFormat=P","Fill=—","Direction=H","UseDPDF=Y")</f>
        <v>8.4062999999999999</v>
      </c>
      <c r="N9" s="21">
        <f>_xll.BDH("NVDA US Equity","RETURN_ON_CAP","FQ1 2015","FQ1 2015","Currency=USD","Period=FQ","BEST_FPERIOD_OVERRIDE=FQ","FILING_STATUS=MR","FA_ADJUSTED=GAAP","Sort=A","Dates=H","DateFormat=P","Fill=—","Direction=H","UseDPDF=Y")</f>
        <v>9.9451000000000001</v>
      </c>
      <c r="O9" s="21">
        <f>_xll.BDH("NVDA US Equity","RETURN_ON_CAP","FQ2 2015","FQ2 2015","Currency=USD","Period=FQ","BEST_FPERIOD_OVERRIDE=FQ","FILING_STATUS=MR","FA_ADJUSTED=GAAP","Sort=A","Dates=H","DateFormat=P","Fill=—","Direction=H","UseDPDF=Y")</f>
        <v>11.283899999999999</v>
      </c>
      <c r="P9" s="21">
        <f>_xll.BDH("NVDA US Equity","RETURN_ON_CAP","FQ3 2015","FQ3 2015","Currency=USD","Period=FQ","BEST_FPERIOD_OVERRIDE=FQ","FILING_STATUS=MR","FA_ADJUSTED=GAAP","Sort=A","Dates=H","DateFormat=P","Fill=—","Direction=H","UseDPDF=Y")</f>
        <v>12.485099999999999</v>
      </c>
      <c r="Q9" s="21">
        <f>_xll.BDH("NVDA US Equity","RETURN_ON_CAP","FQ4 2015","FQ4 2015","Currency=USD","Period=FQ","BEST_FPERIOD_OVERRIDE=FQ","FILING_STATUS=MR","FA_ADJUSTED=GAAP","Sort=A","Dates=H","DateFormat=P","Fill=—","Direction=H","UseDPDF=Y")</f>
        <v>11.49</v>
      </c>
      <c r="R9" s="21">
        <f>_xll.BDH("NVDA US Equity","RETURN_ON_CAP","FQ1 2016","FQ1 2016","Currency=USD","Period=FQ","BEST_FPERIOD_OVERRIDE=FQ","FILING_STATUS=MR","FA_ADJUSTED=GAAP","Sort=A","Dates=H","DateFormat=P","Fill=—","Direction=H","UseDPDF=Y")</f>
        <v>11.586600000000001</v>
      </c>
      <c r="S9" s="21">
        <f>_xll.BDH("NVDA US Equity","RETURN_ON_CAP","FQ2 2016","FQ2 2016","Currency=USD","Period=FQ","BEST_FPERIOD_OVERRIDE=FQ","FILING_STATUS=MR","FA_ADJUSTED=GAAP","Sort=A","Dates=H","DateFormat=P","Fill=—","Direction=H","UseDPDF=Y")</f>
        <v>9.9637999999999991</v>
      </c>
      <c r="T9" s="21">
        <f>_xll.BDH("NVDA US Equity","RETURN_ON_CAP","FQ3 2016","FQ3 2016","Currency=USD","Period=FQ","BEST_FPERIOD_OVERRIDE=FQ","FILING_STATUS=MR","FA_ADJUSTED=GAAP","Sort=A","Dates=H","DateFormat=P","Fill=—","Direction=H","UseDPDF=Y")</f>
        <v>11.135300000000001</v>
      </c>
      <c r="U9" s="21">
        <f>_xll.BDH("NVDA US Equity","RETURN_ON_CAP","FQ4 2016","FQ4 2016","Currency=USD","Period=FQ","BEST_FPERIOD_OVERRIDE=FQ","FILING_STATUS=MR","FA_ADJUSTED=GAAP","Sort=A","Dates=H","DateFormat=P","Fill=—","Direction=H","UseDPDF=Y")</f>
        <v>11.0596</v>
      </c>
      <c r="V9" s="21">
        <f>_xll.BDH("NVDA US Equity","RETURN_ON_CAP","FQ1 2017","FQ1 2017","Currency=USD","Period=FQ","BEST_FPERIOD_OVERRIDE=FQ","FILING_STATUS=MR","FA_ADJUSTED=GAAP","Sort=A","Dates=H","DateFormat=P","Fill=—","Direction=H","UseDPDF=Y")</f>
        <v>12.475999999999999</v>
      </c>
      <c r="W9" s="21">
        <f>_xll.BDH("NVDA US Equity","RETURN_ON_CAP","FQ2 2017","FQ2 2017","Currency=USD","Period=FQ","BEST_FPERIOD_OVERRIDE=FQ","FILING_STATUS=MR","FA_ADJUSTED=GAAP","Sort=A","Dates=H","DateFormat=P","Fill=—","Direction=H","UseDPDF=Y")</f>
        <v>16.642099999999999</v>
      </c>
      <c r="X9" s="21">
        <f>_xll.BDH("NVDA US Equity","RETURN_ON_CAP","FQ3 2017","FQ3 2017","Currency=USD","Period=FQ","BEST_FPERIOD_OVERRIDE=FQ","FILING_STATUS=MR","FA_ADJUSTED=GAAP","Sort=A","Dates=H","DateFormat=P","Fill=—","Direction=H","UseDPDF=Y")</f>
        <v>17.709299999999999</v>
      </c>
      <c r="Y9" s="21">
        <f>_xll.BDH("NVDA US Equity","RETURN_ON_CAP","FQ4 2017","FQ4 2017","Currency=USD","Period=FQ","BEST_FPERIOD_OVERRIDE=FQ","FILING_STATUS=MR","FA_ADJUSTED=GAAP","Sort=A","Dates=H","DateFormat=P","Fill=—","Direction=H","UseDPDF=Y")</f>
        <v>23.5733</v>
      </c>
      <c r="Z9" s="21">
        <f>_xll.BDH("NVDA US Equity","RETURN_ON_CAP","FQ1 2018","FQ1 2018","Currency=USD","Period=FQ","BEST_FPERIOD_OVERRIDE=FQ","FILING_STATUS=MR","FA_ADJUSTED=GAAP","Sort=A","Dates=H","DateFormat=P","Fill=—","Direction=H","UseDPDF=Y")</f>
        <v>28.755700000000001</v>
      </c>
      <c r="AA9" s="21">
        <f>_xll.BDH("NVDA US Equity","RETURN_ON_CAP","FQ2 2018","FQ2 2018","Currency=USD","Period=FQ","BEST_FPERIOD_OVERRIDE=FQ","FILING_STATUS=MR","FA_ADJUSTED=GAAP","Sort=A","Dates=H","DateFormat=P","Fill=—","Direction=H","UseDPDF=Y")</f>
        <v>33.405700000000003</v>
      </c>
      <c r="AB9" s="21">
        <f>_xll.BDH("NVDA US Equity","RETURN_ON_CAP","FQ3 2018","FQ3 2018","Currency=USD","Period=FQ","BEST_FPERIOD_OVERRIDE=FQ","FILING_STATUS=MR","FA_ADJUSTED=GAAP","Sort=A","Dates=H","DateFormat=P","Fill=—","Direction=H","UseDPDF=Y")</f>
        <v>31.555199999999999</v>
      </c>
      <c r="AC9" s="21">
        <f>_xll.BDH("NVDA US Equity","RETURN_ON_CAP","FQ4 2018","FQ4 2018","Currency=USD","Period=FQ","BEST_FPERIOD_OVERRIDE=FQ","FILING_STATUS=MR","FA_ADJUSTED=GAAP","Sort=A","Dates=H","DateFormat=P","Fill=—","Direction=H","UseDPDF=Y")</f>
        <v>34.389600000000002</v>
      </c>
      <c r="AD9" s="21">
        <f>_xll.BDH("NVDA US Equity","RETURN_ON_CAP","FQ1 2019","FQ1 2019","Currency=USD","Period=FQ","BEST_FPERIOD_OVERRIDE=FQ","FILING_STATUS=MR","FA_ADJUSTED=GAAP","Sort=A","Dates=H","DateFormat=P","Fill=—","Direction=H","UseDPDF=Y")</f>
        <v>42.517600000000002</v>
      </c>
      <c r="AE9" s="21">
        <f>_xll.BDH("NVDA US Equity","RETURN_ON_CAP","FQ2 2019","FQ2 2019","Currency=USD","Period=FQ","BEST_FPERIOD_OVERRIDE=FQ","FILING_STATUS=MR","FA_ADJUSTED=GAAP","Sort=A","Dates=H","DateFormat=P","Fill=—","Direction=H","UseDPDF=Y")</f>
        <v>46.244300000000003</v>
      </c>
      <c r="AF9" s="21">
        <f>_xll.BDH("NVDA US Equity","RETURN_ON_CAP","FQ3 2019","FQ3 2019","Currency=USD","Period=FQ","BEST_FPERIOD_OVERRIDE=FQ","FILING_STATUS=MR","FA_ADJUSTED=GAAP","Sort=A","Dates=H","DateFormat=P","Fill=—","Direction=H","UseDPDF=Y")</f>
        <v>47.797600000000003</v>
      </c>
      <c r="AG9" s="21">
        <f>_xll.BDH("NVDA US Equity","RETURN_ON_CAP","FQ4 2019","FQ4 2019","Currency=USD","Period=FQ","BEST_FPERIOD_OVERRIDE=FQ","FILING_STATUS=MR","FA_ADJUSTED=GAAP","Sort=A","Dates=H","DateFormat=P","Fill=—","Direction=H","UseDPDF=Y")</f>
        <v>40.265599999999999</v>
      </c>
      <c r="AH9" s="21">
        <f>_xll.BDH("NVDA US Equity","RETURN_ON_CAP","FQ1 2020","FQ1 2020","Currency=USD","Period=FQ","BEST_FPERIOD_OVERRIDE=FQ","FILING_STATUS=MR","FA_ADJUSTED=GAAP","Sort=A","Dates=H","DateFormat=P","Fill=—","Direction=H","UseDPDF=Y")</f>
        <v>30.364000000000001</v>
      </c>
      <c r="AI9" s="21">
        <f>_xll.BDH("NVDA US Equity","RETURN_ON_CAP","FQ2 2020","FQ2 2020","Currency=USD","Period=FQ","BEST_FPERIOD_OVERRIDE=FQ","FILING_STATUS=MR","FA_ADJUSTED=GAAP","Sort=A","Dates=H","DateFormat=P","Fill=—","Direction=H","UseDPDF=Y")</f>
        <v>23.526299999999999</v>
      </c>
      <c r="AJ9" s="21">
        <f>_xll.BDH("NVDA US Equity","RETURN_ON_CAP","FQ3 2020","FQ3 2020","Currency=USD","Period=FQ","BEST_FPERIOD_OVERRIDE=FQ","FILING_STATUS=MR","FA_ADJUSTED=GAAP","Sort=A","Dates=H","DateFormat=P","Fill=—","Direction=H","UseDPDF=Y")</f>
        <v>19.4543</v>
      </c>
      <c r="AK9" s="21">
        <f>_xll.BDH("NVDA US Equity","RETURN_ON_CAP","FQ4 2020","FQ4 2020","Currency=USD","Period=FQ","BEST_FPERIOD_OVERRIDE=FQ","FILING_STATUS=MR","FA_ADJUSTED=GAAP","Sort=A","Dates=H","DateFormat=P","Fill=—","Direction=H","UseDPDF=Y")</f>
        <v>21.721299999999999</v>
      </c>
      <c r="AL9" s="21">
        <f>_xll.BDH("NVDA US Equity","RETURN_ON_CAP","FQ1 2021","FQ1 2021","Currency=USD","Period=FQ","BEST_FPERIOD_OVERRIDE=FQ","FILING_STATUS=MR","FA_ADJUSTED=GAAP","Sort=A","Dates=H","DateFormat=P","Fill=—","Direction=H","UseDPDF=Y")</f>
        <v>20.505099999999999</v>
      </c>
      <c r="AM9" s="21">
        <f>_xll.BDH("NVDA US Equity","RETURN_ON_CAP","FQ2 2021","FQ2 2021","Currency=USD","Period=FQ","BEST_FPERIOD_OVERRIDE=FQ","FILING_STATUS=MR","FA_ADJUSTED=GAAP","Sort=A","Dates=H","DateFormat=P","Fill=—","Direction=H","UseDPDF=Y")</f>
        <v>20.213000000000001</v>
      </c>
      <c r="AN9" s="21">
        <f>_xll.BDH("NVDA US Equity","RETURN_ON_CAP","FQ3 2021","FQ3 2021","Currency=USD","Period=FQ","BEST_FPERIOD_OVERRIDE=FQ","FILING_STATUS=MR","FA_ADJUSTED=GAAP","Sort=A","Dates=H","DateFormat=P","Fill=—","Direction=H","UseDPDF=Y")</f>
        <v>21.558599999999998</v>
      </c>
      <c r="AO9" s="21">
        <f>_xll.BDH("NVDA US Equity","RETURN_ON_CAP","FQ4 2021","FQ4 2021","Currency=USD","Period=FQ","BEST_FPERIOD_OVERRIDE=FQ","FILING_STATUS=MR","FA_ADJUSTED=GAAP","Sort=A","Dates=H","DateFormat=P","Fill=—","Direction=H","UseDPDF=Y")</f>
        <v>22.879100000000001</v>
      </c>
      <c r="AP9" s="21">
        <f>_xll.BDH("NVDA US Equity","RETURN_ON_CAP","FQ1 2022","FQ1 2022","Currency=USD","Period=FQ","BEST_FPERIOD_OVERRIDE=FQ","FILING_STATUS=MR","FA_ADJUSTED=GAAP","Sort=A","Dates=H","DateFormat=P","Fill=—","Direction=H","UseDPDF=Y")</f>
        <v>23.456299999999999</v>
      </c>
    </row>
    <row r="10" spans="1:42" x14ac:dyDescent="0.25">
      <c r="A10" s="7" t="s">
        <v>191</v>
      </c>
      <c r="B10" s="7" t="s">
        <v>190</v>
      </c>
      <c r="C10" s="21">
        <f>_xll.BDH("NVDA US Equity","RETURN_ON_INV_CAPITAL","FQ2 2012","FQ2 2012","Currency=USD","Period=FQ","BEST_FPERIOD_OVERRIDE=FQ","FILING_STATUS=MR","FA_ADJUSTED=GAAP","Sort=A","Dates=H","DateFormat=P","Fill=—","Direction=H","UseDPDF=Y")</f>
        <v>16.403600000000001</v>
      </c>
      <c r="D10" s="21">
        <f>_xll.BDH("NVDA US Equity","RETURN_ON_INV_CAPITAL","FQ3 2012","FQ3 2012","Currency=USD","Period=FQ","BEST_FPERIOD_OVERRIDE=FQ","FILING_STATUS=MR","FA_ADJUSTED=GAAP","Sort=A","Dates=H","DateFormat=P","Fill=—","Direction=H","UseDPDF=Y")</f>
        <v>17.881699999999999</v>
      </c>
      <c r="E10" s="21">
        <f>_xll.BDH("NVDA US Equity","RETURN_ON_INV_CAPITAL","FQ4 2012","FQ4 2012","Currency=USD","Period=FQ","BEST_FPERIOD_OVERRIDE=FQ","FILING_STATUS=MR","FA_ADJUSTED=GAAP","Sort=A","Dates=H","DateFormat=P","Fill=—","Direction=H","UseDPDF=Y")</f>
        <v>14.9658</v>
      </c>
      <c r="F10" s="21">
        <f>_xll.BDH("NVDA US Equity","RETURN_ON_INV_CAPITAL","FQ1 2013","FQ1 2013","Currency=USD","Period=FQ","BEST_FPERIOD_OVERRIDE=FQ","FILING_STATUS=MR","FA_ADJUSTED=GAAP","Sort=A","Dates=H","DateFormat=P","Fill=—","Direction=H","UseDPDF=Y")</f>
        <v>12.603400000000001</v>
      </c>
      <c r="G10" s="21">
        <f>_xll.BDH("NVDA US Equity","RETURN_ON_INV_CAPITAL","FQ2 2013","FQ2 2013","Currency=USD","Period=FQ","BEST_FPERIOD_OVERRIDE=FQ","FILING_STATUS=MR","FA_ADJUSTED=GAAP","Sort=A","Dates=H","DateFormat=P","Fill=—","Direction=H","UseDPDF=Y")</f>
        <v>11.1431</v>
      </c>
      <c r="H10" s="21">
        <f>_xll.BDH("NVDA US Equity","RETURN_ON_INV_CAPITAL","FQ3 2013","FQ3 2013","Currency=USD","Period=FQ","BEST_FPERIOD_OVERRIDE=FQ","FILING_STATUS=MR","FA_ADJUSTED=GAAP","Sort=A","Dates=H","DateFormat=P","Fill=—","Direction=H","UseDPDF=Y")</f>
        <v>11.268800000000001</v>
      </c>
      <c r="I10" s="21">
        <f>_xll.BDH("NVDA US Equity","RETURN_ON_INV_CAPITAL","FQ4 2013","FQ4 2013","Currency=USD","Period=FQ","BEST_FPERIOD_OVERRIDE=FQ","FILING_STATUS=MR","FA_ADJUSTED=GAAP","Sort=A","Dates=H","DateFormat=P","Fill=—","Direction=H","UseDPDF=Y")</f>
        <v>11.7562</v>
      </c>
      <c r="J10" s="21">
        <f>_xll.BDH("NVDA US Equity","RETURN_ON_INV_CAPITAL","FQ1 2014","FQ1 2014","Currency=USD","Period=FQ","BEST_FPERIOD_OVERRIDE=FQ","FILING_STATUS=MR","FA_ADJUSTED=GAAP","Sort=A","Dates=H","DateFormat=P","Fill=—","Direction=H","UseDPDF=Y")</f>
        <v>12.375</v>
      </c>
      <c r="K10" s="21">
        <f>_xll.BDH("NVDA US Equity","RETURN_ON_INV_CAPITAL","FQ2 2014","FQ2 2014","Currency=USD","Period=FQ","BEST_FPERIOD_OVERRIDE=FQ","FILING_STATUS=MR","FA_ADJUSTED=GAAP","Sort=A","Dates=H","DateFormat=P","Fill=—","Direction=H","UseDPDF=Y")</f>
        <v>12.528499999999999</v>
      </c>
      <c r="L10" s="21">
        <f>_xll.BDH("NVDA US Equity","RETURN_ON_INV_CAPITAL","FQ3 2014","FQ3 2014","Currency=USD","Period=FQ","BEST_FPERIOD_OVERRIDE=FQ","FILING_STATUS=MR","FA_ADJUSTED=GAAP","Sort=A","Dates=H","DateFormat=P","Fill=—","Direction=H","UseDPDF=Y")</f>
        <v>9.9830000000000005</v>
      </c>
      <c r="M10" s="21">
        <f>_xll.BDH("NVDA US Equity","RETURN_ON_INV_CAPITAL","FQ4 2014","FQ4 2014","Currency=USD","Period=FQ","BEST_FPERIOD_OVERRIDE=FQ","FILING_STATUS=MR","FA_ADJUSTED=GAAP","Sort=A","Dates=H","DateFormat=P","Fill=—","Direction=H","UseDPDF=Y")</f>
        <v>7.9051999999999998</v>
      </c>
      <c r="N10" s="21">
        <f>_xll.BDH("NVDA US Equity","RETURN_ON_INV_CAPITAL","FQ1 2015","FQ1 2015","Currency=USD","Period=FQ","BEST_FPERIOD_OVERRIDE=FQ","FILING_STATUS=MR","FA_ADJUSTED=GAAP","Sort=A","Dates=H","DateFormat=P","Fill=—","Direction=H","UseDPDF=Y")</f>
        <v>9.2579999999999991</v>
      </c>
      <c r="O10" s="21">
        <f>_xll.BDH("NVDA US Equity","RETURN_ON_INV_CAPITAL","FQ2 2015","FQ2 2015","Currency=USD","Period=FQ","BEST_FPERIOD_OVERRIDE=FQ","FILING_STATUS=MR","FA_ADJUSTED=GAAP","Sort=A","Dates=H","DateFormat=P","Fill=—","Direction=H","UseDPDF=Y")</f>
        <v>10.6144</v>
      </c>
      <c r="P10" s="21">
        <f>_xll.BDH("NVDA US Equity","RETURN_ON_INV_CAPITAL","FQ3 2015","FQ3 2015","Currency=USD","Period=FQ","BEST_FPERIOD_OVERRIDE=FQ","FILING_STATUS=MR","FA_ADJUSTED=GAAP","Sort=A","Dates=H","DateFormat=P","Fill=—","Direction=H","UseDPDF=Y")</f>
        <v>11.721299999999999</v>
      </c>
      <c r="Q10" s="21">
        <f>_xll.BDH("NVDA US Equity","RETURN_ON_INV_CAPITAL","FQ4 2015","FQ4 2015","Currency=USD","Period=FQ","BEST_FPERIOD_OVERRIDE=FQ","FILING_STATUS=MR","FA_ADJUSTED=GAAP","Sort=A","Dates=H","DateFormat=P","Fill=—","Direction=H","UseDPDF=Y")</f>
        <v>11.074999999999999</v>
      </c>
      <c r="R10" s="21">
        <f>_xll.BDH("NVDA US Equity","RETURN_ON_INV_CAPITAL","FQ1 2016","FQ1 2016","Currency=USD","Period=FQ","BEST_FPERIOD_OVERRIDE=FQ","FILING_STATUS=MR","FA_ADJUSTED=GAAP","Sort=A","Dates=H","DateFormat=P","Fill=—","Direction=H","UseDPDF=Y")</f>
        <v>11.1776</v>
      </c>
      <c r="S10" s="21">
        <f>_xll.BDH("NVDA US Equity","RETURN_ON_INV_CAPITAL","FQ2 2016","FQ2 2016","Currency=USD","Period=FQ","BEST_FPERIOD_OVERRIDE=FQ","FILING_STATUS=MR","FA_ADJUSTED=GAAP","Sort=A","Dates=H","DateFormat=P","Fill=—","Direction=H","UseDPDF=Y")</f>
        <v>9.4976000000000003</v>
      </c>
      <c r="T10" s="21">
        <f>_xll.BDH("NVDA US Equity","RETURN_ON_INV_CAPITAL","FQ3 2016","FQ3 2016","Currency=USD","Period=FQ","BEST_FPERIOD_OVERRIDE=FQ","FILING_STATUS=MR","FA_ADJUSTED=GAAP","Sort=A","Dates=H","DateFormat=P","Fill=—","Direction=H","UseDPDF=Y")</f>
        <v>10.5488</v>
      </c>
      <c r="U10" s="21">
        <f>_xll.BDH("NVDA US Equity","RETURN_ON_INV_CAPITAL","FQ4 2016","FQ4 2016","Currency=USD","Period=FQ","BEST_FPERIOD_OVERRIDE=FQ","FILING_STATUS=MR","FA_ADJUSTED=GAAP","Sort=A","Dates=H","DateFormat=P","Fill=—","Direction=H","UseDPDF=Y")</f>
        <v>10.8462</v>
      </c>
      <c r="V10" s="21">
        <f>_xll.BDH("NVDA US Equity","RETURN_ON_INV_CAPITAL","FQ1 2017","FQ1 2017","Currency=USD","Period=FQ","BEST_FPERIOD_OVERRIDE=FQ","FILING_STATUS=MR","FA_ADJUSTED=GAAP","Sort=A","Dates=H","DateFormat=P","Fill=—","Direction=H","UseDPDF=Y")</f>
        <v>11.835599999999999</v>
      </c>
      <c r="W10" s="21">
        <f>_xll.BDH("NVDA US Equity","RETURN_ON_INV_CAPITAL","FQ2 2017","FQ2 2017","Currency=USD","Period=FQ","BEST_FPERIOD_OVERRIDE=FQ","FILING_STATUS=MR","FA_ADJUSTED=GAAP","Sort=A","Dates=H","DateFormat=P","Fill=—","Direction=H","UseDPDF=Y")</f>
        <v>15.951599999999999</v>
      </c>
      <c r="X10" s="21">
        <f>_xll.BDH("NVDA US Equity","RETURN_ON_INV_CAPITAL","FQ3 2017","FQ3 2017","Currency=USD","Period=FQ","BEST_FPERIOD_OVERRIDE=FQ","FILING_STATUS=MR","FA_ADJUSTED=GAAP","Sort=A","Dates=H","DateFormat=P","Fill=—","Direction=H","UseDPDF=Y")</f>
        <v>17.326699999999999</v>
      </c>
      <c r="Y10" s="21">
        <f>_xll.BDH("NVDA US Equity","RETURN_ON_INV_CAPITAL","FQ4 2017","FQ4 2017","Currency=USD","Period=FQ","BEST_FPERIOD_OVERRIDE=FQ","FILING_STATUS=MR","FA_ADJUSTED=GAAP","Sort=A","Dates=H","DateFormat=P","Fill=—","Direction=H","UseDPDF=Y")</f>
        <v>23.8842</v>
      </c>
      <c r="Z10" s="21">
        <f>_xll.BDH("NVDA US Equity","RETURN_ON_INV_CAPITAL","FQ1 2018","FQ1 2018","Currency=USD","Period=FQ","BEST_FPERIOD_OVERRIDE=FQ","FILING_STATUS=MR","FA_ADJUSTED=GAAP","Sort=A","Dates=H","DateFormat=P","Fill=—","Direction=H","UseDPDF=Y")</f>
        <v>28.4849</v>
      </c>
      <c r="AA10" s="21">
        <f>_xll.BDH("NVDA US Equity","RETURN_ON_INV_CAPITAL","FQ2 2018","FQ2 2018","Currency=USD","Period=FQ","BEST_FPERIOD_OVERRIDE=FQ","FILING_STATUS=MR","FA_ADJUSTED=GAAP","Sort=A","Dates=H","DateFormat=P","Fill=—","Direction=H","UseDPDF=Y")</f>
        <v>33.143099999999997</v>
      </c>
      <c r="AB10" s="21">
        <f>_xll.BDH("NVDA US Equity","RETURN_ON_INV_CAPITAL","FQ3 2018","FQ3 2018","Currency=USD","Period=FQ","BEST_FPERIOD_OVERRIDE=FQ","FILING_STATUS=MR","FA_ADJUSTED=GAAP","Sort=A","Dates=H","DateFormat=P","Fill=—","Direction=H","UseDPDF=Y")</f>
        <v>31.131499999999999</v>
      </c>
      <c r="AC10" s="21">
        <f>_xll.BDH("NVDA US Equity","RETURN_ON_INV_CAPITAL","FQ4 2018","FQ4 2018","Currency=USD","Period=FQ","BEST_FPERIOD_OVERRIDE=FQ","FILING_STATUS=MR","FA_ADJUSTED=GAAP","Sort=A","Dates=H","DateFormat=P","Fill=—","Direction=H","UseDPDF=Y")</f>
        <v>33.617800000000003</v>
      </c>
      <c r="AD10" s="21">
        <f>_xll.BDH("NVDA US Equity","RETURN_ON_INV_CAPITAL","FQ1 2019","FQ1 2019","Currency=USD","Period=FQ","BEST_FPERIOD_OVERRIDE=FQ","FILING_STATUS=MR","FA_ADJUSTED=GAAP","Sort=A","Dates=H","DateFormat=P","Fill=—","Direction=H","UseDPDF=Y")</f>
        <v>41.580399999999997</v>
      </c>
      <c r="AE10" s="21">
        <f>_xll.BDH("NVDA US Equity","RETURN_ON_INV_CAPITAL","FQ2 2019","FQ2 2019","Currency=USD","Period=FQ","BEST_FPERIOD_OVERRIDE=FQ","FILING_STATUS=MR","FA_ADJUSTED=GAAP","Sort=A","Dates=H","DateFormat=P","Fill=—","Direction=H","UseDPDF=Y")</f>
        <v>45.069899999999997</v>
      </c>
      <c r="AF10" s="21">
        <f>_xll.BDH("NVDA US Equity","RETURN_ON_INV_CAPITAL","FQ3 2019","FQ3 2019","Currency=USD","Period=FQ","BEST_FPERIOD_OVERRIDE=FQ","FILING_STATUS=MR","FA_ADJUSTED=GAAP","Sort=A","Dates=H","DateFormat=P","Fill=—","Direction=H","UseDPDF=Y")</f>
        <v>46.6068</v>
      </c>
      <c r="AG10" s="21">
        <f>_xll.BDH("NVDA US Equity","RETURN_ON_INV_CAPITAL","FQ4 2019","FQ4 2019","Currency=USD","Period=FQ","BEST_FPERIOD_OVERRIDE=FQ","FILING_STATUS=MR","FA_ADJUSTED=GAAP","Sort=A","Dates=H","DateFormat=P","Fill=—","Direction=H","UseDPDF=Y")</f>
        <v>39.401600000000002</v>
      </c>
      <c r="AH10" s="21">
        <f>_xll.BDH("NVDA US Equity","RETURN_ON_INV_CAPITAL","FQ1 2020","FQ1 2020","Currency=USD","Period=FQ","BEST_FPERIOD_OVERRIDE=FQ","FILING_STATUS=MR","FA_ADJUSTED=GAAP","Sort=A","Dates=H","DateFormat=P","Fill=—","Direction=H","UseDPDF=Y")</f>
        <v>29.751000000000001</v>
      </c>
      <c r="AI10" s="21">
        <f>_xll.BDH("NVDA US Equity","RETURN_ON_INV_CAPITAL","FQ2 2020","FQ2 2020","Currency=USD","Period=FQ","BEST_FPERIOD_OVERRIDE=FQ","FILING_STATUS=MR","FA_ADJUSTED=GAAP","Sort=A","Dates=H","DateFormat=P","Fill=—","Direction=H","UseDPDF=Y")</f>
        <v>22.800599999999999</v>
      </c>
      <c r="AJ10" s="21">
        <f>_xll.BDH("NVDA US Equity","RETURN_ON_INV_CAPITAL","FQ3 2020","FQ3 2020","Currency=USD","Period=FQ","BEST_FPERIOD_OVERRIDE=FQ","FILING_STATUS=MR","FA_ADJUSTED=GAAP","Sort=A","Dates=H","DateFormat=P","Fill=—","Direction=H","UseDPDF=Y")</f>
        <v>18.582699999999999</v>
      </c>
      <c r="AK10" s="21">
        <f>_xll.BDH("NVDA US Equity","RETURN_ON_INV_CAPITAL","FQ4 2020","FQ4 2020","Currency=USD","Period=FQ","BEST_FPERIOD_OVERRIDE=FQ","FILING_STATUS=MR","FA_ADJUSTED=GAAP","Sort=A","Dates=H","DateFormat=P","Fill=—","Direction=H","UseDPDF=Y")</f>
        <v>21.242599999999999</v>
      </c>
      <c r="AL10" s="21">
        <f>_xll.BDH("NVDA US Equity","RETURN_ON_INV_CAPITAL","FQ1 2021","FQ1 2021","Currency=USD","Period=FQ","BEST_FPERIOD_OVERRIDE=FQ","FILING_STATUS=MR","FA_ADJUSTED=GAAP","Sort=A","Dates=H","DateFormat=P","Fill=—","Direction=H","UseDPDF=Y")</f>
        <v>20.147600000000001</v>
      </c>
      <c r="AM10" s="21">
        <f>_xll.BDH("NVDA US Equity","RETURN_ON_INV_CAPITAL","FQ2 2021","FQ2 2021","Currency=USD","Period=FQ","BEST_FPERIOD_OVERRIDE=FQ","FILING_STATUS=MR","FA_ADJUSTED=GAAP","Sort=A","Dates=H","DateFormat=P","Fill=—","Direction=H","UseDPDF=Y")</f>
        <v>20.0121</v>
      </c>
      <c r="AN10" s="21">
        <f>_xll.BDH("NVDA US Equity","RETURN_ON_INV_CAPITAL","FQ3 2021","FQ3 2021","Currency=USD","Period=FQ","BEST_FPERIOD_OVERRIDE=FQ","FILING_STATUS=MR","FA_ADJUSTED=GAAP","Sort=A","Dates=H","DateFormat=P","Fill=—","Direction=H","UseDPDF=Y")</f>
        <v>21.617899999999999</v>
      </c>
      <c r="AO10" s="21">
        <f>_xll.BDH("NVDA US Equity","RETURN_ON_INV_CAPITAL","FQ4 2021","FQ4 2021","Currency=USD","Period=FQ","BEST_FPERIOD_OVERRIDE=FQ","FILING_STATUS=MR","FA_ADJUSTED=GAAP","Sort=A","Dates=H","DateFormat=P","Fill=—","Direction=H","UseDPDF=Y")</f>
        <v>23.133700000000001</v>
      </c>
      <c r="AP10" s="21">
        <f>_xll.BDH("NVDA US Equity","RETURN_ON_INV_CAPITAL","FQ1 2022","FQ1 2022","Currency=USD","Period=FQ","BEST_FPERIOD_OVERRIDE=FQ","FILING_STATUS=MR","FA_ADJUSTED=GAAP","Sort=A","Dates=H","DateFormat=P","Fill=—","Direction=H","UseDPDF=Y")</f>
        <v>23.193100000000001</v>
      </c>
    </row>
    <row r="11" spans="1:42" x14ac:dyDescent="0.25">
      <c r="A11" s="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2" t="s">
        <v>85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7" t="s">
        <v>86</v>
      </c>
      <c r="B13" s="7" t="s">
        <v>87</v>
      </c>
      <c r="C13" s="21">
        <f>_xll.BDH("NVDA US Equity","GROSS_MARGIN","FQ2 2012","FQ2 2012","Currency=USD","Period=FQ","BEST_FPERIOD_OVERRIDE=FQ","FILING_STATUS=MR","FA_ADJUSTED=GAAP","Sort=A","Dates=H","DateFormat=P","Fill=—","Direction=H","UseDPDF=Y")</f>
        <v>51.674900000000001</v>
      </c>
      <c r="D13" s="21">
        <f>_xll.BDH("NVDA US Equity","GROSS_MARGIN","FQ3 2012","FQ3 2012","Currency=USD","Period=FQ","BEST_FPERIOD_OVERRIDE=FQ","FILING_STATUS=MR","FA_ADJUSTED=GAAP","Sort=A","Dates=H","DateFormat=P","Fill=—","Direction=H","UseDPDF=Y")</f>
        <v>52.216000000000001</v>
      </c>
      <c r="E13" s="21">
        <f>_xll.BDH("NVDA US Equity","GROSS_MARGIN","FQ4 2012","FQ4 2012","Currency=USD","Period=FQ","BEST_FPERIOD_OVERRIDE=FQ","FILING_STATUS=MR","FA_ADJUSTED=GAAP","Sort=A","Dates=H","DateFormat=P","Fill=—","Direction=H","UseDPDF=Y")</f>
        <v>51.407499999999999</v>
      </c>
      <c r="F13" s="21">
        <f>_xll.BDH("NVDA US Equity","GROSS_MARGIN","FQ1 2013","FQ1 2013","Currency=USD","Period=FQ","BEST_FPERIOD_OVERRIDE=FQ","FILING_STATUS=MR","FA_ADJUSTED=GAAP","Sort=A","Dates=H","DateFormat=P","Fill=—","Direction=H","UseDPDF=Y")</f>
        <v>50.100099999999998</v>
      </c>
      <c r="G13" s="21">
        <f>_xll.BDH("NVDA US Equity","GROSS_MARGIN","FQ2 2013","FQ2 2013","Currency=USD","Period=FQ","BEST_FPERIOD_OVERRIDE=FQ","FILING_STATUS=MR","FA_ADJUSTED=GAAP","Sort=A","Dates=H","DateFormat=P","Fill=—","Direction=H","UseDPDF=Y")</f>
        <v>51.779600000000002</v>
      </c>
      <c r="H13" s="21">
        <f>_xll.BDH("NVDA US Equity","GROSS_MARGIN","FQ3 2013","FQ3 2013","Currency=USD","Period=FQ","BEST_FPERIOD_OVERRIDE=FQ","FILING_STATUS=MR","FA_ADJUSTED=GAAP","Sort=A","Dates=H","DateFormat=P","Fill=—","Direction=H","UseDPDF=Y")</f>
        <v>52.873699999999999</v>
      </c>
      <c r="I13" s="21">
        <f>_xll.BDH("NVDA US Equity","GROSS_MARGIN","FQ4 2013","FQ4 2013","Currency=USD","Period=FQ","BEST_FPERIOD_OVERRIDE=FQ","FILING_STATUS=MR","FA_ADJUSTED=GAAP","Sort=A","Dates=H","DateFormat=P","Fill=—","Direction=H","UseDPDF=Y")</f>
        <v>52.904600000000002</v>
      </c>
      <c r="J13" s="21">
        <f>_xll.BDH("NVDA US Equity","GROSS_MARGIN","FQ1 2014","FQ1 2014","Currency=USD","Period=FQ","BEST_FPERIOD_OVERRIDE=FQ","FILING_STATUS=MR","FA_ADJUSTED=GAAP","Sort=A","Dates=H","DateFormat=P","Fill=—","Direction=H","UseDPDF=Y")</f>
        <v>54.315199999999997</v>
      </c>
      <c r="K13" s="21">
        <f>_xll.BDH("NVDA US Equity","GROSS_MARGIN","FQ2 2014","FQ2 2014","Currency=USD","Period=FQ","BEST_FPERIOD_OVERRIDE=FQ","FILING_STATUS=MR","FA_ADJUSTED=GAAP","Sort=A","Dates=H","DateFormat=P","Fill=—","Direction=H","UseDPDF=Y")</f>
        <v>55.8245</v>
      </c>
      <c r="L13" s="21">
        <f>_xll.BDH("NVDA US Equity","GROSS_MARGIN","FQ3 2014","FQ3 2014","Currency=USD","Period=FQ","BEST_FPERIOD_OVERRIDE=FQ","FILING_STATUS=MR","FA_ADJUSTED=GAAP","Sort=A","Dates=H","DateFormat=P","Fill=—","Direction=H","UseDPDF=Y")</f>
        <v>55.449100000000001</v>
      </c>
      <c r="M13" s="21">
        <f>_xll.BDH("NVDA US Equity","GROSS_MARGIN","FQ4 2014","FQ4 2014","Currency=USD","Period=FQ","BEST_FPERIOD_OVERRIDE=FQ","FILING_STATUS=MR","FA_ADJUSTED=GAAP","Sort=A","Dates=H","DateFormat=P","Fill=—","Direction=H","UseDPDF=Y")</f>
        <v>54.119199999999999</v>
      </c>
      <c r="N13" s="21">
        <f>_xll.BDH("NVDA US Equity","GROSS_MARGIN","FQ1 2015","FQ1 2015","Currency=USD","Period=FQ","BEST_FPERIOD_OVERRIDE=FQ","FILING_STATUS=MR","FA_ADJUSTED=GAAP","Sort=A","Dates=H","DateFormat=P","Fill=—","Direction=H","UseDPDF=Y")</f>
        <v>54.759700000000002</v>
      </c>
      <c r="O13" s="21">
        <f>_xll.BDH("NVDA US Equity","GROSS_MARGIN","FQ2 2015","FQ2 2015","Currency=USD","Period=FQ","BEST_FPERIOD_OVERRIDE=FQ","FILING_STATUS=MR","FA_ADJUSTED=GAAP","Sort=A","Dates=H","DateFormat=P","Fill=—","Direction=H","UseDPDF=Y")</f>
        <v>56.119700000000002</v>
      </c>
      <c r="P13" s="21">
        <f>_xll.BDH("NVDA US Equity","GROSS_MARGIN","FQ3 2015","FQ3 2015","Currency=USD","Period=FQ","BEST_FPERIOD_OVERRIDE=FQ","FILING_STATUS=MR","FA_ADJUSTED=GAAP","Sort=A","Dates=H","DateFormat=P","Fill=—","Direction=H","UseDPDF=Y")</f>
        <v>55.183700000000002</v>
      </c>
      <c r="Q13" s="21">
        <f>_xll.BDH("NVDA US Equity","GROSS_MARGIN","FQ4 2015","FQ4 2015","Currency=USD","Period=FQ","BEST_FPERIOD_OVERRIDE=FQ","FILING_STATUS=MR","FA_ADJUSTED=GAAP","Sort=A","Dates=H","DateFormat=P","Fill=—","Direction=H","UseDPDF=Y")</f>
        <v>55.875300000000003</v>
      </c>
      <c r="R13" s="21">
        <f>_xll.BDH("NVDA US Equity","GROSS_MARGIN","FQ1 2016","FQ1 2016","Currency=USD","Period=FQ","BEST_FPERIOD_OVERRIDE=FQ","FILING_STATUS=MR","FA_ADJUSTED=GAAP","Sort=A","Dates=H","DateFormat=P","Fill=—","Direction=H","UseDPDF=Y")</f>
        <v>56.7333</v>
      </c>
      <c r="S13" s="21">
        <f>_xll.BDH("NVDA US Equity","GROSS_MARGIN","FQ2 2016","FQ2 2016","Currency=USD","Period=FQ","BEST_FPERIOD_OVERRIDE=FQ","FILING_STATUS=MR","FA_ADJUSTED=GAAP","Sort=A","Dates=H","DateFormat=P","Fill=—","Direction=H","UseDPDF=Y")</f>
        <v>54.987000000000002</v>
      </c>
      <c r="T13" s="21">
        <f>_xll.BDH("NVDA US Equity","GROSS_MARGIN","FQ3 2016","FQ3 2016","Currency=USD","Period=FQ","BEST_FPERIOD_OVERRIDE=FQ","FILING_STATUS=MR","FA_ADJUSTED=GAAP","Sort=A","Dates=H","DateFormat=P","Fill=—","Direction=H","UseDPDF=Y")</f>
        <v>56.245199999999997</v>
      </c>
      <c r="U13" s="21">
        <f>_xll.BDH("NVDA US Equity","GROSS_MARGIN","FQ4 2016","FQ4 2016","Currency=USD","Period=FQ","BEST_FPERIOD_OVERRIDE=FQ","FILING_STATUS=MR","FA_ADJUSTED=GAAP","Sort=A","Dates=H","DateFormat=P","Fill=—","Direction=H","UseDPDF=Y")</f>
        <v>56.459699999999998</v>
      </c>
      <c r="V13" s="21">
        <f>_xll.BDH("NVDA US Equity","GROSS_MARGIN","FQ1 2017","FQ1 2017","Currency=USD","Period=FQ","BEST_FPERIOD_OVERRIDE=FQ","FILING_STATUS=MR","FA_ADJUSTED=GAAP","Sort=A","Dates=H","DateFormat=P","Fill=—","Direction=H","UseDPDF=Y")</f>
        <v>57.547899999999998</v>
      </c>
      <c r="W13" s="21">
        <f>_xll.BDH("NVDA US Equity","GROSS_MARGIN","FQ2 2017","FQ2 2017","Currency=USD","Period=FQ","BEST_FPERIOD_OVERRIDE=FQ","FILING_STATUS=MR","FA_ADJUSTED=GAAP","Sort=A","Dates=H","DateFormat=P","Fill=—","Direction=H","UseDPDF=Y")</f>
        <v>57.8431</v>
      </c>
      <c r="X13" s="21">
        <f>_xll.BDH("NVDA US Equity","GROSS_MARGIN","FQ3 2017","FQ3 2017","Currency=USD","Period=FQ","BEST_FPERIOD_OVERRIDE=FQ","FILING_STATUS=MR","FA_ADJUSTED=GAAP","Sort=A","Dates=H","DateFormat=P","Fill=—","Direction=H","UseDPDF=Y")</f>
        <v>59.0319</v>
      </c>
      <c r="Y13" s="21">
        <f>_xll.BDH("NVDA US Equity","GROSS_MARGIN","FQ4 2017","FQ4 2017","Currency=USD","Period=FQ","BEST_FPERIOD_OVERRIDE=FQ","FILING_STATUS=MR","FA_ADJUSTED=GAAP","Sort=A","Dates=H","DateFormat=P","Fill=—","Direction=H","UseDPDF=Y")</f>
        <v>59.963200000000001</v>
      </c>
      <c r="Z13" s="21">
        <f>_xll.BDH("NVDA US Equity","GROSS_MARGIN","FQ1 2018","FQ1 2018","Currency=USD","Period=FQ","BEST_FPERIOD_OVERRIDE=FQ","FILING_STATUS=MR","FA_ADJUSTED=GAAP","Sort=A","Dates=H","DateFormat=P","Fill=—","Direction=H","UseDPDF=Y")</f>
        <v>59.370199999999997</v>
      </c>
      <c r="AA13" s="21">
        <f>_xll.BDH("NVDA US Equity","GROSS_MARGIN","FQ2 2018","FQ2 2018","Currency=USD","Period=FQ","BEST_FPERIOD_OVERRIDE=FQ","FILING_STATUS=MR","FA_ADJUSTED=GAAP","Sort=A","Dates=H","DateFormat=P","Fill=—","Direction=H","UseDPDF=Y")</f>
        <v>58.3857</v>
      </c>
      <c r="AB13" s="21">
        <f>_xll.BDH("NVDA US Equity","GROSS_MARGIN","FQ3 2018","FQ3 2018","Currency=USD","Period=FQ","BEST_FPERIOD_OVERRIDE=FQ","FILING_STATUS=MR","FA_ADJUSTED=GAAP","Sort=A","Dates=H","DateFormat=P","Fill=—","Direction=H","UseDPDF=Y")</f>
        <v>59.521999999999998</v>
      </c>
      <c r="AC13" s="21">
        <f>_xll.BDH("NVDA US Equity","GROSS_MARGIN","FQ4 2018","FQ4 2018","Currency=USD","Period=FQ","BEST_FPERIOD_OVERRIDE=FQ","FILING_STATUS=MR","FA_ADJUSTED=GAAP","Sort=A","Dates=H","DateFormat=P","Fill=—","Direction=H","UseDPDF=Y")</f>
        <v>61.8688</v>
      </c>
      <c r="AD13" s="21">
        <f>_xll.BDH("NVDA US Equity","GROSS_MARGIN","FQ1 2019","FQ1 2019","Currency=USD","Period=FQ","BEST_FPERIOD_OVERRIDE=FQ","FILING_STATUS=MR","FA_ADJUSTED=GAAP","Sort=A","Dates=H","DateFormat=P","Fill=—","Direction=H","UseDPDF=Y")</f>
        <v>64.483900000000006</v>
      </c>
      <c r="AE13" s="21">
        <f>_xll.BDH("NVDA US Equity","GROSS_MARGIN","FQ2 2019","FQ2 2019","Currency=USD","Period=FQ","BEST_FPERIOD_OVERRIDE=FQ","FILING_STATUS=MR","FA_ADJUSTED=GAAP","Sort=A","Dates=H","DateFormat=P","Fill=—","Direction=H","UseDPDF=Y")</f>
        <v>63.240499999999997</v>
      </c>
      <c r="AF13" s="21">
        <f>_xll.BDH("NVDA US Equity","GROSS_MARGIN","FQ3 2019","FQ3 2019","Currency=USD","Period=FQ","BEST_FPERIOD_OVERRIDE=FQ","FILING_STATUS=MR","FA_ADJUSTED=GAAP","Sort=A","Dates=H","DateFormat=P","Fill=—","Direction=H","UseDPDF=Y")</f>
        <v>60.389800000000001</v>
      </c>
      <c r="AG13" s="21">
        <f>_xll.BDH("NVDA US Equity","GROSS_MARGIN","FQ4 2019","FQ4 2019","Currency=USD","Period=FQ","BEST_FPERIOD_OVERRIDE=FQ","FILING_STATUS=MR","FA_ADJUSTED=GAAP","Sort=A","Dates=H","DateFormat=P","Fill=—","Direction=H","UseDPDF=Y")</f>
        <v>54.739199999999997</v>
      </c>
      <c r="AH13" s="21">
        <f>_xll.BDH("NVDA US Equity","GROSS_MARGIN","FQ1 2020","FQ1 2020","Currency=USD","Period=FQ","BEST_FPERIOD_OVERRIDE=FQ","FILING_STATUS=MR","FA_ADJUSTED=GAAP","Sort=A","Dates=H","DateFormat=P","Fill=—","Direction=H","UseDPDF=Y")</f>
        <v>58.378399999999999</v>
      </c>
      <c r="AI13" s="21">
        <f>_xll.BDH("NVDA US Equity","GROSS_MARGIN","FQ2 2020","FQ2 2020","Currency=USD","Period=FQ","BEST_FPERIOD_OVERRIDE=FQ","FILING_STATUS=MR","FA_ADJUSTED=GAAP","Sort=A","Dates=H","DateFormat=P","Fill=—","Direction=H","UseDPDF=Y")</f>
        <v>59.751800000000003</v>
      </c>
      <c r="AJ13" s="21">
        <f>_xll.BDH("NVDA US Equity","GROSS_MARGIN","FQ3 2020","FQ3 2020","Currency=USD","Period=FQ","BEST_FPERIOD_OVERRIDE=FQ","FILING_STATUS=MR","FA_ADJUSTED=GAAP","Sort=A","Dates=H","DateFormat=P","Fill=—","Direction=H","UseDPDF=Y")</f>
        <v>63.57</v>
      </c>
      <c r="AK13" s="21">
        <f>_xll.BDH("NVDA US Equity","GROSS_MARGIN","FQ4 2020","FQ4 2020","Currency=USD","Period=FQ","BEST_FPERIOD_OVERRIDE=FQ","FILING_STATUS=MR","FA_ADJUSTED=GAAP","Sort=A","Dates=H","DateFormat=P","Fill=—","Direction=H","UseDPDF=Y")</f>
        <v>64.895300000000006</v>
      </c>
      <c r="AL13" s="21">
        <f>_xll.BDH("NVDA US Equity","GROSS_MARGIN","FQ1 2021","FQ1 2021","Currency=USD","Period=FQ","BEST_FPERIOD_OVERRIDE=FQ","FILING_STATUS=MR","FA_ADJUSTED=GAAP","Sort=A","Dates=H","DateFormat=P","Fill=—","Direction=H","UseDPDF=Y")</f>
        <v>65.064899999999994</v>
      </c>
      <c r="AM13" s="21">
        <f>_xll.BDH("NVDA US Equity","GROSS_MARGIN","FQ2 2021","FQ2 2021","Currency=USD","Period=FQ","BEST_FPERIOD_OVERRIDE=FQ","FILING_STATUS=MR","FA_ADJUSTED=GAAP","Sort=A","Dates=H","DateFormat=P","Fill=—","Direction=H","UseDPDF=Y")</f>
        <v>58.846400000000003</v>
      </c>
      <c r="AN13" s="21">
        <f>_xll.BDH("NVDA US Equity","GROSS_MARGIN","FQ3 2021","FQ3 2021","Currency=USD","Period=FQ","BEST_FPERIOD_OVERRIDE=FQ","FILING_STATUS=MR","FA_ADJUSTED=GAAP","Sort=A","Dates=H","DateFormat=P","Fill=—","Direction=H","UseDPDF=Y")</f>
        <v>62.632199999999997</v>
      </c>
      <c r="AO13" s="21">
        <f>_xll.BDH("NVDA US Equity","GROSS_MARGIN","FQ4 2021","FQ4 2021","Currency=USD","Period=FQ","BEST_FPERIOD_OVERRIDE=FQ","FILING_STATUS=MR","FA_ADJUSTED=GAAP","Sort=A","Dates=H","DateFormat=P","Fill=—","Direction=H","UseDPDF=Y")</f>
        <v>63.1021</v>
      </c>
      <c r="AP13" s="21">
        <f>_xll.BDH("NVDA US Equity","GROSS_MARGIN","FQ1 2022","FQ1 2022","Currency=USD","Period=FQ","BEST_FPERIOD_OVERRIDE=FQ","FILING_STATUS=MR","FA_ADJUSTED=GAAP","Sort=A","Dates=H","DateFormat=P","Fill=—","Direction=H","UseDPDF=Y")</f>
        <v>64.1053</v>
      </c>
    </row>
    <row r="14" spans="1:42" x14ac:dyDescent="0.25">
      <c r="A14" s="7" t="s">
        <v>88</v>
      </c>
      <c r="B14" s="7" t="s">
        <v>89</v>
      </c>
      <c r="C14" s="21">
        <f>_xll.BDH("NVDA US Equity","EBITDA_TO_REVENUE","FQ2 2012","FQ2 2012","Currency=USD","Period=FQ","BEST_FPERIOD_OVERRIDE=FQ","FILING_STATUS=MR","FA_ADJUSTED=GAAP","Sort=A","Dates=H","DateFormat=P","Fill=—","Direction=H","UseDPDF=Y")</f>
        <v>22.2514</v>
      </c>
      <c r="D14" s="21">
        <f>_xll.BDH("NVDA US Equity","EBITDA_TO_REVENUE","FQ3 2012","FQ3 2012","Currency=USD","Period=FQ","BEST_FPERIOD_OVERRIDE=FQ","FILING_STATUS=MR","FA_ADJUSTED=GAAP","Sort=A","Dates=H","DateFormat=P","Fill=—","Direction=H","UseDPDF=Y")</f>
        <v>23.399100000000001</v>
      </c>
      <c r="E14" s="21">
        <f>_xll.BDH("NVDA US Equity","EBITDA_TO_REVENUE","FQ4 2012","FQ4 2012","Currency=USD","Period=FQ","BEST_FPERIOD_OVERRIDE=FQ","FILING_STATUS=MR","FA_ADJUSTED=GAAP","Sort=A","Dates=H","DateFormat=P","Fill=—","Direction=H","UseDPDF=Y")</f>
        <v>18.276700000000002</v>
      </c>
      <c r="F14" s="21">
        <f>_xll.BDH("NVDA US Equity","EBITDA_TO_REVENUE","FQ1 2013","FQ1 2013","Currency=USD","Period=FQ","BEST_FPERIOD_OVERRIDE=FQ","FILING_STATUS=MR","FA_ADJUSTED=GAAP","Sort=A","Dates=H","DateFormat=P","Fill=—","Direction=H","UseDPDF=Y")</f>
        <v>13.7658</v>
      </c>
      <c r="G14" s="21">
        <f>_xll.BDH("NVDA US Equity","EBITDA_TO_REVENUE","FQ2 2013","FQ2 2013","Currency=USD","Period=FQ","BEST_FPERIOD_OVERRIDE=FQ","FILING_STATUS=MR","FA_ADJUSTED=GAAP","Sort=A","Dates=H","DateFormat=P","Fill=—","Direction=H","UseDPDF=Y")</f>
        <v>18.7517</v>
      </c>
      <c r="H14" s="21">
        <f>_xll.BDH("NVDA US Equity","EBITDA_TO_REVENUE","FQ3 2013","FQ3 2013","Currency=USD","Period=FQ","BEST_FPERIOD_OVERRIDE=FQ","FILING_STATUS=MR","FA_ADJUSTED=GAAP","Sort=A","Dates=H","DateFormat=P","Fill=—","Direction=H","UseDPDF=Y")</f>
        <v>25.692399999999999</v>
      </c>
      <c r="I14" s="21">
        <f>_xll.BDH("NVDA US Equity","EBITDA_TO_REVENUE","FQ4 2013","FQ4 2013","Currency=USD","Period=FQ","BEST_FPERIOD_OVERRIDE=FQ","FILING_STATUS=MR","FA_ADJUSTED=GAAP","Sort=A","Dates=H","DateFormat=P","Fill=—","Direction=H","UseDPDF=Y")</f>
        <v>21.860500000000002</v>
      </c>
      <c r="J14" s="21">
        <f>_xll.BDH("NVDA US Equity","EBITDA_TO_REVENUE","FQ1 2014","FQ1 2014","Currency=USD","Period=FQ","BEST_FPERIOD_OVERRIDE=FQ","FILING_STATUS=MR","FA_ADJUSTED=GAAP","Sort=A","Dates=H","DateFormat=P","Fill=—","Direction=H","UseDPDF=Y")</f>
        <v>14.9282</v>
      </c>
      <c r="K14" s="21">
        <f>_xll.BDH("NVDA US Equity","EBITDA_TO_REVENUE","FQ2 2014","FQ2 2014","Currency=USD","Period=FQ","BEST_FPERIOD_OVERRIDE=FQ","FILING_STATUS=MR","FA_ADJUSTED=GAAP","Sort=A","Dates=H","DateFormat=P","Fill=—","Direction=H","UseDPDF=Y")</f>
        <v>17.127300000000002</v>
      </c>
      <c r="L14" s="21">
        <f>_xll.BDH("NVDA US Equity","EBITDA_TO_REVENUE","FQ3 2014","FQ3 2014","Currency=USD","Period=FQ","BEST_FPERIOD_OVERRIDE=FQ","FILING_STATUS=MR","FA_ADJUSTED=GAAP","Sort=A","Dates=H","DateFormat=P","Fill=—","Direction=H","UseDPDF=Y")</f>
        <v>19.328299999999999</v>
      </c>
      <c r="M14" s="21">
        <f>_xll.BDH("NVDA US Equity","EBITDA_TO_REVENUE","FQ4 2014","FQ4 2014","Currency=USD","Period=FQ","BEST_FPERIOD_OVERRIDE=FQ","FILING_STATUS=MR","FA_ADJUSTED=GAAP","Sort=A","Dates=H","DateFormat=P","Fill=—","Direction=H","UseDPDF=Y")</f>
        <v>19.3811</v>
      </c>
      <c r="N14" s="21">
        <f>_xll.BDH("NVDA US Equity","EBITDA_TO_REVENUE","FQ1 2015","FQ1 2015","Currency=USD","Period=FQ","BEST_FPERIOD_OVERRIDE=FQ","FILING_STATUS=MR","FA_ADJUSTED=GAAP","Sort=A","Dates=H","DateFormat=P","Fill=—","Direction=H","UseDPDF=Y")</f>
        <v>18.676300000000001</v>
      </c>
      <c r="O14" s="21">
        <f>_xll.BDH("NVDA US Equity","EBITDA_TO_REVENUE","FQ2 2015","FQ2 2015","Currency=USD","Period=FQ","BEST_FPERIOD_OVERRIDE=FQ","FILING_STATUS=MR","FA_ADJUSTED=GAAP","Sort=A","Dates=H","DateFormat=P","Fill=—","Direction=H","UseDPDF=Y")</f>
        <v>19.854900000000001</v>
      </c>
      <c r="P14" s="21">
        <f>_xll.BDH("NVDA US Equity","EBITDA_TO_REVENUE","FQ3 2015","FQ3 2015","Currency=USD","Period=FQ","BEST_FPERIOD_OVERRIDE=FQ","FILING_STATUS=MR","FA_ADJUSTED=GAAP","Sort=A","Dates=H","DateFormat=P","Fill=—","Direction=H","UseDPDF=Y")</f>
        <v>21.877600000000001</v>
      </c>
      <c r="Q14" s="21">
        <f>_xll.BDH("NVDA US Equity","EBITDA_TO_REVENUE","FQ4 2015","FQ4 2015","Currency=USD","Period=FQ","BEST_FPERIOD_OVERRIDE=FQ","FILING_STATUS=MR","FA_ADJUSTED=GAAP","Sort=A","Dates=H","DateFormat=P","Fill=—","Direction=H","UseDPDF=Y")</f>
        <v>22.7818</v>
      </c>
      <c r="R14" s="21">
        <f>_xll.BDH("NVDA US Equity","EBITDA_TO_REVENUE","FQ1 2016","FQ1 2016","Currency=USD","Period=FQ","BEST_FPERIOD_OVERRIDE=FQ","FILING_STATUS=MR","FA_ADJUSTED=GAAP","Sort=A","Dates=H","DateFormat=P","Fill=—","Direction=H","UseDPDF=Y")</f>
        <v>19.982600000000001</v>
      </c>
      <c r="S14" s="21">
        <f>_xll.BDH("NVDA US Equity","EBITDA_TO_REVENUE","FQ2 2016","FQ2 2016","Currency=USD","Period=FQ","BEST_FPERIOD_OVERRIDE=FQ","FILING_STATUS=MR","FA_ADJUSTED=GAAP","Sort=A","Dates=H","DateFormat=P","Fill=—","Direction=H","UseDPDF=Y")</f>
        <v>10.8413</v>
      </c>
      <c r="T14" s="21">
        <f>_xll.BDH("NVDA US Equity","EBITDA_TO_REVENUE","FQ3 2016","FQ3 2016","Currency=USD","Period=FQ","BEST_FPERIOD_OVERRIDE=FQ","FILING_STATUS=MR","FA_ADJUSTED=GAAP","Sort=A","Dates=H","DateFormat=P","Fill=—","Direction=H","UseDPDF=Y")</f>
        <v>22.452100000000002</v>
      </c>
      <c r="U14" s="21">
        <f>_xll.BDH("NVDA US Equity","EBITDA_TO_REVENUE","FQ4 2016","FQ4 2016","Currency=USD","Period=FQ","BEST_FPERIOD_OVERRIDE=FQ","FILING_STATUS=MR","FA_ADJUSTED=GAAP","Sort=A","Dates=H","DateFormat=P","Fill=—","Direction=H","UseDPDF=Y")</f>
        <v>21.270499999999998</v>
      </c>
      <c r="V14" s="21">
        <f>_xll.BDH("NVDA US Equity","EBITDA_TO_REVENUE","FQ1 2017","FQ1 2017","Currency=USD","Period=FQ","BEST_FPERIOD_OVERRIDE=FQ","FILING_STATUS=MR","FA_ADJUSTED=GAAP","Sort=A","Dates=H","DateFormat=P","Fill=—","Direction=H","UseDPDF=Y")</f>
        <v>22.222200000000001</v>
      </c>
      <c r="W14" s="21">
        <f>_xll.BDH("NVDA US Equity","EBITDA_TO_REVENUE","FQ2 2017","FQ2 2017","Currency=USD","Period=FQ","BEST_FPERIOD_OVERRIDE=FQ","FILING_STATUS=MR","FA_ADJUSTED=GAAP","Sort=A","Dates=H","DateFormat=P","Fill=—","Direction=H","UseDPDF=Y")</f>
        <v>25.490200000000002</v>
      </c>
      <c r="X14" s="21">
        <f>_xll.BDH("NVDA US Equity","EBITDA_TO_REVENUE","FQ3 2017","FQ3 2017","Currency=USD","Period=FQ","BEST_FPERIOD_OVERRIDE=FQ","FILING_STATUS=MR","FA_ADJUSTED=GAAP","Sort=A","Dates=H","DateFormat=P","Fill=—","Direction=H","UseDPDF=Y")</f>
        <v>34.281399999999998</v>
      </c>
      <c r="Y14" s="21">
        <f>_xll.BDH("NVDA US Equity","EBITDA_TO_REVENUE","FQ4 2017","FQ4 2017","Currency=USD","Period=FQ","BEST_FPERIOD_OVERRIDE=FQ","FILING_STATUS=MR","FA_ADJUSTED=GAAP","Sort=A","Dates=H","DateFormat=P","Fill=—","Direction=H","UseDPDF=Y")</f>
        <v>35.895099999999999</v>
      </c>
      <c r="Z14" s="21">
        <f>_xll.BDH("NVDA US Equity","EBITDA_TO_REVENUE","FQ1 2018","FQ1 2018","Currency=USD","Period=FQ","BEST_FPERIOD_OVERRIDE=FQ","FILING_STATUS=MR","FA_ADJUSTED=GAAP","Sort=A","Dates=H","DateFormat=P","Fill=—","Direction=H","UseDPDF=Y")</f>
        <v>31.0274</v>
      </c>
      <c r="AA14" s="21">
        <f>_xll.BDH("NVDA US Equity","EBITDA_TO_REVENUE","FQ2 2018","FQ2 2018","Currency=USD","Period=FQ","BEST_FPERIOD_OVERRIDE=FQ","FILING_STATUS=MR","FA_ADJUSTED=GAAP","Sort=A","Dates=H","DateFormat=P","Fill=—","Direction=H","UseDPDF=Y")</f>
        <v>33.049300000000002</v>
      </c>
      <c r="AB14" s="21">
        <f>_xll.BDH("NVDA US Equity","EBITDA_TO_REVENUE","FQ3 2018","FQ3 2018","Currency=USD","Period=FQ","BEST_FPERIOD_OVERRIDE=FQ","FILING_STATUS=MR","FA_ADJUSTED=GAAP","Sort=A","Dates=H","DateFormat=P","Fill=—","Direction=H","UseDPDF=Y")</f>
        <v>35.811799999999998</v>
      </c>
      <c r="AC14" s="21">
        <f>_xll.BDH("NVDA US Equity","EBITDA_TO_REVENUE","FQ4 2018","FQ4 2018","Currency=USD","Period=FQ","BEST_FPERIOD_OVERRIDE=FQ","FILING_STATUS=MR","FA_ADJUSTED=GAAP","Sort=A","Dates=H","DateFormat=P","Fill=—","Direction=H","UseDPDF=Y")</f>
        <v>38.715200000000003</v>
      </c>
      <c r="AD14" s="21">
        <f>_xll.BDH("NVDA US Equity","EBITDA_TO_REVENUE","FQ1 2019","FQ1 2019","Currency=USD","Period=FQ","BEST_FPERIOD_OVERRIDE=FQ","FILING_STATUS=MR","FA_ADJUSTED=GAAP","Sort=A","Dates=H","DateFormat=P","Fill=—","Direction=H","UseDPDF=Y")</f>
        <v>42.157800000000002</v>
      </c>
      <c r="AE14" s="21">
        <f>_xll.BDH("NVDA US Equity","EBITDA_TO_REVENUE","FQ2 2019","FQ2 2019","Currency=USD","Period=FQ","BEST_FPERIOD_OVERRIDE=FQ","FILING_STATUS=MR","FA_ADJUSTED=GAAP","Sort=A","Dates=H","DateFormat=P","Fill=—","Direction=H","UseDPDF=Y")</f>
        <v>38.936900000000001</v>
      </c>
      <c r="AF14" s="21">
        <f>_xll.BDH("NVDA US Equity","EBITDA_TO_REVENUE","FQ3 2019","FQ3 2019","Currency=USD","Period=FQ","BEST_FPERIOD_OVERRIDE=FQ","FILING_STATUS=MR","FA_ADJUSTED=GAAP","Sort=A","Dates=H","DateFormat=P","Fill=—","Direction=H","UseDPDF=Y")</f>
        <v>35.3977</v>
      </c>
      <c r="AG14" s="21">
        <f>_xll.BDH("NVDA US Equity","EBITDA_TO_REVENUE","FQ4 2019","FQ4 2019","Currency=USD","Period=FQ","BEST_FPERIOD_OVERRIDE=FQ","FILING_STATUS=MR","FA_ADJUSTED=GAAP","Sort=A","Dates=H","DateFormat=P","Fill=—","Direction=H","UseDPDF=Y")</f>
        <v>16.870699999999999</v>
      </c>
      <c r="AH14" s="21">
        <f>_xll.BDH("NVDA US Equity","EBITDA_TO_REVENUE","FQ1 2020","FQ1 2020","Currency=USD","Period=FQ","BEST_FPERIOD_OVERRIDE=FQ","FILING_STATUS=MR","FA_ADJUSTED=GAAP","Sort=A","Dates=H","DateFormat=P","Fill=—","Direction=H","UseDPDF=Y")</f>
        <v>21.441400000000002</v>
      </c>
      <c r="AI14" s="21">
        <f>_xll.BDH("NVDA US Equity","EBITDA_TO_REVENUE","FQ2 2020","FQ2 2020","Currency=USD","Period=FQ","BEST_FPERIOD_OVERRIDE=FQ","FILING_STATUS=MR","FA_ADJUSTED=GAAP","Sort=A","Dates=H","DateFormat=P","Fill=—","Direction=H","UseDPDF=Y")</f>
        <v>26.793299999999999</v>
      </c>
      <c r="AJ14" s="21">
        <f>_xll.BDH("NVDA US Equity","EBITDA_TO_REVENUE","FQ3 2020","FQ3 2020","Currency=USD","Period=FQ","BEST_FPERIOD_OVERRIDE=FQ","FILING_STATUS=MR","FA_ADJUSTED=GAAP","Sort=A","Dates=H","DateFormat=P","Fill=—","Direction=H","UseDPDF=Y")</f>
        <v>34.737900000000003</v>
      </c>
      <c r="AK14" s="21">
        <f>_xll.BDH("NVDA US Equity","EBITDA_TO_REVENUE","FQ4 2020","FQ4 2020","Currency=USD","Period=FQ","BEST_FPERIOD_OVERRIDE=FQ","FILING_STATUS=MR","FA_ADJUSTED=GAAP","Sort=A","Dates=H","DateFormat=P","Fill=—","Direction=H","UseDPDF=Y")</f>
        <v>36.296300000000002</v>
      </c>
      <c r="AL14" s="21">
        <f>_xll.BDH("NVDA US Equity","EBITDA_TO_REVENUE","FQ1 2021","FQ1 2021","Currency=USD","Period=FQ","BEST_FPERIOD_OVERRIDE=FQ","FILING_STATUS=MR","FA_ADJUSTED=GAAP","Sort=A","Dates=H","DateFormat=P","Fill=—","Direction=H","UseDPDF=Y")</f>
        <v>36.168799999999997</v>
      </c>
      <c r="AM14" s="21">
        <f>_xll.BDH("NVDA US Equity","EBITDA_TO_REVENUE","FQ2 2021","FQ2 2021","Currency=USD","Period=FQ","BEST_FPERIOD_OVERRIDE=FQ","FILING_STATUS=MR","FA_ADJUSTED=GAAP","Sort=A","Dates=H","DateFormat=P","Fill=—","Direction=H","UseDPDF=Y")</f>
        <v>28.194500000000001</v>
      </c>
      <c r="AN14" s="21">
        <f>_xll.BDH("NVDA US Equity","EBITDA_TO_REVENUE","FQ3 2021","FQ3 2021","Currency=USD","Period=FQ","BEST_FPERIOD_OVERRIDE=FQ","FILING_STATUS=MR","FA_ADJUSTED=GAAP","Sort=A","Dates=H","DateFormat=P","Fill=—","Direction=H","UseDPDF=Y")</f>
        <v>36.690600000000003</v>
      </c>
      <c r="AO14" s="21">
        <f>_xll.BDH("NVDA US Equity","EBITDA_TO_REVENUE","FQ4 2021","FQ4 2021","Currency=USD","Period=FQ","BEST_FPERIOD_OVERRIDE=FQ","FILING_STATUS=MR","FA_ADJUSTED=GAAP","Sort=A","Dates=H","DateFormat=P","Fill=—","Direction=H","UseDPDF=Y")</f>
        <v>36.698</v>
      </c>
      <c r="AP14" s="21">
        <f>_xll.BDH("NVDA US Equity","EBITDA_TO_REVENUE","FQ1 2022","FQ1 2022","Currency=USD","Period=FQ","BEST_FPERIOD_OVERRIDE=FQ","FILING_STATUS=MR","FA_ADJUSTED=GAAP","Sort=A","Dates=H","DateFormat=P","Fill=—","Direction=H","UseDPDF=Y")</f>
        <v>40.204900000000002</v>
      </c>
    </row>
    <row r="15" spans="1:42" x14ac:dyDescent="0.25">
      <c r="A15" s="1" t="s">
        <v>90</v>
      </c>
      <c r="B15" s="1" t="s">
        <v>89</v>
      </c>
      <c r="C15" s="23" t="s">
        <v>189</v>
      </c>
      <c r="D15" s="23">
        <v>31.0696277385731</v>
      </c>
      <c r="E15" s="23">
        <v>-28.3728227508205</v>
      </c>
      <c r="F15" s="23">
        <v>-34.641826519052699</v>
      </c>
      <c r="G15" s="23">
        <v>-15.728062455828599</v>
      </c>
      <c r="H15" s="23">
        <v>9.8006786145391107</v>
      </c>
      <c r="I15" s="23">
        <v>19.6087008690922</v>
      </c>
      <c r="J15" s="23">
        <v>8.4436172755293395</v>
      </c>
      <c r="K15" s="23">
        <v>-8.6627725411462198</v>
      </c>
      <c r="L15" s="23">
        <v>-24.770383638442802</v>
      </c>
      <c r="M15" s="23">
        <v>-11.3418182370445</v>
      </c>
      <c r="N15" s="23">
        <v>25.108064193292599</v>
      </c>
      <c r="O15" s="23">
        <v>15.926030156621801</v>
      </c>
      <c r="P15" s="23">
        <v>13.189162073102199</v>
      </c>
      <c r="Q15" s="23">
        <v>17.546364893586802</v>
      </c>
      <c r="R15" s="23">
        <v>6.9943426272507399</v>
      </c>
      <c r="S15" s="23">
        <v>-45.397551168749402</v>
      </c>
      <c r="T15" s="23">
        <v>2.6262354502110501</v>
      </c>
      <c r="U15" s="23">
        <v>-6.6336095409598297</v>
      </c>
      <c r="V15" s="23">
        <v>11.2077272734552</v>
      </c>
      <c r="W15" s="23">
        <v>135.12155940200401</v>
      </c>
      <c r="X15" s="23">
        <v>52.686948267260597</v>
      </c>
      <c r="Y15" s="23">
        <v>68.755038957437904</v>
      </c>
      <c r="Z15" s="23">
        <v>39.623130396231304</v>
      </c>
      <c r="AA15" s="23">
        <v>29.655052475861702</v>
      </c>
      <c r="AB15" s="23">
        <v>4.4642206801307696</v>
      </c>
      <c r="AC15" s="23">
        <v>7.8566263517592096</v>
      </c>
      <c r="AD15" s="23">
        <v>35.872911142107398</v>
      </c>
      <c r="AE15" s="23">
        <v>17.814562456899701</v>
      </c>
      <c r="AF15" s="23">
        <v>-1.15649474101243</v>
      </c>
      <c r="AG15" s="23">
        <v>-56.423471514482998</v>
      </c>
      <c r="AH15" s="23">
        <v>-49.1400140140207</v>
      </c>
      <c r="AI15" s="23">
        <v>-31.187852043767201</v>
      </c>
      <c r="AJ15" s="23">
        <v>-1.86391908123681</v>
      </c>
      <c r="AK15" s="23">
        <v>115.14337123641501</v>
      </c>
      <c r="AL15" s="23">
        <v>68.686568220857893</v>
      </c>
      <c r="AM15" s="23">
        <v>5.2296035905352802</v>
      </c>
      <c r="AN15" s="23">
        <v>5.6214036028094903</v>
      </c>
      <c r="AO15" s="23">
        <v>1.1066831722994599</v>
      </c>
      <c r="AP15" s="23">
        <v>11.1590004111551</v>
      </c>
    </row>
    <row r="16" spans="1:42" x14ac:dyDescent="0.25">
      <c r="A16" s="7" t="s">
        <v>91</v>
      </c>
      <c r="B16" s="7" t="s">
        <v>92</v>
      </c>
      <c r="C16" s="21">
        <f>_xll.BDH("NVDA US Equity","OPER_MARGIN","FQ2 2012","FQ2 2012","Currency=USD","Period=FQ","BEST_FPERIOD_OVERRIDE=FQ","FILING_STATUS=MR","FA_ADJUSTED=GAAP","Sort=A","Dates=H","DateFormat=P","Fill=—","Direction=H","UseDPDF=Y")</f>
        <v>17.120200000000001</v>
      </c>
      <c r="D16" s="21">
        <f>_xll.BDH("NVDA US Equity","OPER_MARGIN","FQ3 2012","FQ3 2012","Currency=USD","Period=FQ","BEST_FPERIOD_OVERRIDE=FQ","FILING_STATUS=MR","FA_ADJUSTED=GAAP","Sort=A","Dates=H","DateFormat=P","Fill=—","Direction=H","UseDPDF=Y")</f>
        <v>18.485600000000002</v>
      </c>
      <c r="E16" s="21">
        <f>_xll.BDH("NVDA US Equity","OPER_MARGIN","FQ4 2012","FQ4 2012","Currency=USD","Period=FQ","BEST_FPERIOD_OVERRIDE=FQ","FILING_STATUS=MR","FA_ADJUSTED=GAAP","Sort=A","Dates=H","DateFormat=P","Fill=—","Direction=H","UseDPDF=Y")</f>
        <v>12.8323</v>
      </c>
      <c r="F16" s="21">
        <f>_xll.BDH("NVDA US Equity","OPER_MARGIN","FQ1 2013","FQ1 2013","Currency=USD","Period=FQ","BEST_FPERIOD_OVERRIDE=FQ","FILING_STATUS=MR","FA_ADJUSTED=GAAP","Sort=A","Dates=H","DateFormat=P","Fill=—","Direction=H","UseDPDF=Y")</f>
        <v>7.8741000000000003</v>
      </c>
      <c r="G16" s="21">
        <f>_xll.BDH("NVDA US Equity","OPER_MARGIN","FQ2 2013","FQ2 2013","Currency=USD","Period=FQ","BEST_FPERIOD_OVERRIDE=FQ","FILING_STATUS=MR","FA_ADJUSTED=GAAP","Sort=A","Dates=H","DateFormat=P","Fill=—","Direction=H","UseDPDF=Y")</f>
        <v>13.3704</v>
      </c>
      <c r="H16" s="21">
        <f>_xll.BDH("NVDA US Equity","OPER_MARGIN","FQ3 2013","FQ3 2013","Currency=USD","Period=FQ","BEST_FPERIOD_OVERRIDE=FQ","FILING_STATUS=MR","FA_ADJUSTED=GAAP","Sort=A","Dates=H","DateFormat=P","Fill=—","Direction=H","UseDPDF=Y")</f>
        <v>20.946300000000001</v>
      </c>
      <c r="I16" s="21">
        <f>_xll.BDH("NVDA US Equity","OPER_MARGIN","FQ4 2013","FQ4 2013","Currency=USD","Period=FQ","BEST_FPERIOD_OVERRIDE=FQ","FILING_STATUS=MR","FA_ADJUSTED=GAAP","Sort=A","Dates=H","DateFormat=P","Fill=—","Direction=H","UseDPDF=Y")</f>
        <v>16.584399999999999</v>
      </c>
      <c r="J16" s="21">
        <f>_xll.BDH("NVDA US Equity","OPER_MARGIN","FQ1 2014","FQ1 2014","Currency=USD","Period=FQ","BEST_FPERIOD_OVERRIDE=FQ","FILING_STATUS=MR","FA_ADJUSTED=GAAP","Sort=A","Dates=H","DateFormat=P","Fill=—","Direction=H","UseDPDF=Y")</f>
        <v>8.6705000000000005</v>
      </c>
      <c r="K16" s="21">
        <f>_xll.BDH("NVDA US Equity","OPER_MARGIN","FQ2 2014","FQ2 2014","Currency=USD","Period=FQ","BEST_FPERIOD_OVERRIDE=FQ","FILING_STATUS=MR","FA_ADJUSTED=GAAP","Sort=A","Dates=H","DateFormat=P","Fill=—","Direction=H","UseDPDF=Y")</f>
        <v>10.799200000000001</v>
      </c>
      <c r="L16" s="21">
        <f>_xll.BDH("NVDA US Equity","OPER_MARGIN","FQ3 2014","FQ3 2014","Currency=USD","Period=FQ","BEST_FPERIOD_OVERRIDE=FQ","FILING_STATUS=MR","FA_ADJUSTED=GAAP","Sort=A","Dates=H","DateFormat=P","Fill=—","Direction=H","UseDPDF=Y")</f>
        <v>13.376899999999999</v>
      </c>
      <c r="M16" s="21">
        <f>_xll.BDH("NVDA US Equity","OPER_MARGIN","FQ4 2014","FQ4 2014","Currency=USD","Period=FQ","BEST_FPERIOD_OVERRIDE=FQ","FILING_STATUS=MR","FA_ADJUSTED=GAAP","Sort=A","Dates=H","DateFormat=P","Fill=—","Direction=H","UseDPDF=Y")</f>
        <v>14.5885</v>
      </c>
      <c r="N16" s="21">
        <f>_xll.BDH("NVDA US Equity","OPER_MARGIN","FQ1 2015","FQ1 2015","Currency=USD","Period=FQ","BEST_FPERIOD_OVERRIDE=FQ","FILING_STATUS=MR","FA_ADJUSTED=GAAP","Sort=A","Dates=H","DateFormat=P","Fill=—","Direction=H","UseDPDF=Y")</f>
        <v>13.6899</v>
      </c>
      <c r="O16" s="21">
        <f>_xll.BDH("NVDA US Equity","OPER_MARGIN","FQ2 2015","FQ2 2015","Currency=USD","Period=FQ","BEST_FPERIOD_OVERRIDE=FQ","FILING_STATUS=MR","FA_ADJUSTED=GAAP","Sort=A","Dates=H","DateFormat=P","Fill=—","Direction=H","UseDPDF=Y")</f>
        <v>14.777900000000001</v>
      </c>
      <c r="P16" s="21">
        <f>_xll.BDH("NVDA US Equity","OPER_MARGIN","FQ3 2015","FQ3 2015","Currency=USD","Period=FQ","BEST_FPERIOD_OVERRIDE=FQ","FILING_STATUS=MR","FA_ADJUSTED=GAAP","Sort=A","Dates=H","DateFormat=P","Fill=—","Direction=H","UseDPDF=Y")</f>
        <v>17.387799999999999</v>
      </c>
      <c r="Q16" s="21">
        <f>_xll.BDH("NVDA US Equity","OPER_MARGIN","FQ4 2015","FQ4 2015","Currency=USD","Period=FQ","BEST_FPERIOD_OVERRIDE=FQ","FILING_STATUS=MR","FA_ADJUSTED=GAAP","Sort=A","Dates=H","DateFormat=P","Fill=—","Direction=H","UseDPDF=Y")</f>
        <v>18.465199999999999</v>
      </c>
      <c r="R16" s="21">
        <f>_xll.BDH("NVDA US Equity","OPER_MARGIN","FQ1 2016","FQ1 2016","Currency=USD","Period=FQ","BEST_FPERIOD_OVERRIDE=FQ","FILING_STATUS=MR","FA_ADJUSTED=GAAP","Sort=A","Dates=H","DateFormat=P","Fill=—","Direction=H","UseDPDF=Y")</f>
        <v>15.2911</v>
      </c>
      <c r="S16" s="21">
        <f>_xll.BDH("NVDA US Equity","OPER_MARGIN","FQ2 2016","FQ2 2016","Currency=USD","Period=FQ","BEST_FPERIOD_OVERRIDE=FQ","FILING_STATUS=MR","FA_ADJUSTED=GAAP","Sort=A","Dates=H","DateFormat=P","Fill=—","Direction=H","UseDPDF=Y")</f>
        <v>6.5914999999999999</v>
      </c>
      <c r="T16" s="21">
        <f>_xll.BDH("NVDA US Equity","OPER_MARGIN","FQ3 2016","FQ3 2016","Currency=USD","Period=FQ","BEST_FPERIOD_OVERRIDE=FQ","FILING_STATUS=MR","FA_ADJUSTED=GAAP","Sort=A","Dates=H","DateFormat=P","Fill=—","Direction=H","UseDPDF=Y")</f>
        <v>18.773900000000001</v>
      </c>
      <c r="U16" s="21">
        <f>_xll.BDH("NVDA US Equity","OPER_MARGIN","FQ4 2016","FQ4 2016","Currency=USD","Period=FQ","BEST_FPERIOD_OVERRIDE=FQ","FILING_STATUS=MR","FA_ADJUSTED=GAAP","Sort=A","Dates=H","DateFormat=P","Fill=—","Direction=H","UseDPDF=Y")</f>
        <v>17.987200000000001</v>
      </c>
      <c r="V16" s="21">
        <f>_xll.BDH("NVDA US Equity","OPER_MARGIN","FQ1 2017","FQ1 2017","Currency=USD","Period=FQ","BEST_FPERIOD_OVERRIDE=FQ","FILING_STATUS=MR","FA_ADJUSTED=GAAP","Sort=A","Dates=H","DateFormat=P","Fill=—","Direction=H","UseDPDF=Y")</f>
        <v>18.773900000000001</v>
      </c>
      <c r="W16" s="21">
        <f>_xll.BDH("NVDA US Equity","OPER_MARGIN","FQ2 2017","FQ2 2017","Currency=USD","Period=FQ","BEST_FPERIOD_OVERRIDE=FQ","FILING_STATUS=MR","FA_ADJUSTED=GAAP","Sort=A","Dates=H","DateFormat=P","Fill=—","Direction=H","UseDPDF=Y")</f>
        <v>22.198899999999998</v>
      </c>
      <c r="X16" s="21">
        <f>_xll.BDH("NVDA US Equity","OPER_MARGIN","FQ3 2017","FQ3 2017","Currency=USD","Period=FQ","BEST_FPERIOD_OVERRIDE=FQ","FILING_STATUS=MR","FA_ADJUSTED=GAAP","Sort=A","Dates=H","DateFormat=P","Fill=—","Direction=H","UseDPDF=Y")</f>
        <v>31.886199999999999</v>
      </c>
      <c r="Y16" s="21">
        <f>_xll.BDH("NVDA US Equity","OPER_MARGIN","FQ4 2017","FQ4 2017","Currency=USD","Period=FQ","BEST_FPERIOD_OVERRIDE=FQ","FILING_STATUS=MR","FA_ADJUSTED=GAAP","Sort=A","Dates=H","DateFormat=P","Fill=—","Direction=H","UseDPDF=Y")</f>
        <v>33.732199999999999</v>
      </c>
      <c r="Z16" s="21">
        <f>_xll.BDH("NVDA US Equity","OPER_MARGIN","FQ1 2018","FQ1 2018","Currency=USD","Period=FQ","BEST_FPERIOD_OVERRIDE=FQ","FILING_STATUS=MR","FA_ADJUSTED=GAAP","Sort=A","Dates=H","DateFormat=P","Fill=—","Direction=H","UseDPDF=Y")</f>
        <v>28.600899999999999</v>
      </c>
      <c r="AA16" s="21">
        <f>_xll.BDH("NVDA US Equity","OPER_MARGIN","FQ2 2018","FQ2 2018","Currency=USD","Period=FQ","BEST_FPERIOD_OVERRIDE=FQ","FILING_STATUS=MR","FA_ADJUSTED=GAAP","Sort=A","Dates=H","DateFormat=P","Fill=—","Direction=H","UseDPDF=Y")</f>
        <v>30.852</v>
      </c>
      <c r="AB16" s="21">
        <f>_xll.BDH("NVDA US Equity","OPER_MARGIN","FQ3 2018","FQ3 2018","Currency=USD","Period=FQ","BEST_FPERIOD_OVERRIDE=FQ","FILING_STATUS=MR","FA_ADJUSTED=GAAP","Sort=A","Dates=H","DateFormat=P","Fill=—","Direction=H","UseDPDF=Y")</f>
        <v>33.953000000000003</v>
      </c>
      <c r="AC16" s="21">
        <f>_xll.BDH("NVDA US Equity","OPER_MARGIN","FQ4 2018","FQ4 2018","Currency=USD","Period=FQ","BEST_FPERIOD_OVERRIDE=FQ","FILING_STATUS=MR","FA_ADJUSTED=GAAP","Sort=A","Dates=H","DateFormat=P","Fill=—","Direction=H","UseDPDF=Y")</f>
        <v>36.860199999999999</v>
      </c>
      <c r="AD16" s="21">
        <f>_xll.BDH("NVDA US Equity","OPER_MARGIN","FQ1 2019","FQ1 2019","Currency=USD","Period=FQ","BEST_FPERIOD_OVERRIDE=FQ","FILING_STATUS=MR","FA_ADJUSTED=GAAP","Sort=A","Dates=H","DateFormat=P","Fill=—","Direction=H","UseDPDF=Y")</f>
        <v>40.380400000000002</v>
      </c>
      <c r="AE16" s="21">
        <f>_xll.BDH("NVDA US Equity","OPER_MARGIN","FQ2 2019","FQ2 2019","Currency=USD","Period=FQ","BEST_FPERIOD_OVERRIDE=FQ","FILING_STATUS=MR","FA_ADJUSTED=GAAP","Sort=A","Dates=H","DateFormat=P","Fill=—","Direction=H","UseDPDF=Y")</f>
        <v>37.047699999999999</v>
      </c>
      <c r="AF16" s="21">
        <f>_xll.BDH("NVDA US Equity","OPER_MARGIN","FQ3 2019","FQ3 2019","Currency=USD","Period=FQ","BEST_FPERIOD_OVERRIDE=FQ","FILING_STATUS=MR","FA_ADJUSTED=GAAP","Sort=A","Dates=H","DateFormat=P","Fill=—","Direction=H","UseDPDF=Y")</f>
        <v>33.26</v>
      </c>
      <c r="AG16" s="21">
        <f>_xll.BDH("NVDA US Equity","OPER_MARGIN","FQ4 2019","FQ4 2019","Currency=USD","Period=FQ","BEST_FPERIOD_OVERRIDE=FQ","FILING_STATUS=MR","FA_ADJUSTED=GAAP","Sort=A","Dates=H","DateFormat=P","Fill=—","Direction=H","UseDPDF=Y")</f>
        <v>13.333299999999999</v>
      </c>
      <c r="AH16" s="21">
        <f>_xll.BDH("NVDA US Equity","OPER_MARGIN","FQ1 2020","FQ1 2020","Currency=USD","Period=FQ","BEST_FPERIOD_OVERRIDE=FQ","FILING_STATUS=MR","FA_ADJUSTED=GAAP","Sort=A","Dates=H","DateFormat=P","Fill=—","Direction=H","UseDPDF=Y")</f>
        <v>16.126100000000001</v>
      </c>
      <c r="AI16" s="21">
        <f>_xll.BDH("NVDA US Equity","OPER_MARGIN","FQ2 2020","FQ2 2020","Currency=USD","Period=FQ","BEST_FPERIOD_OVERRIDE=FQ","FILING_STATUS=MR","FA_ADJUSTED=GAAP","Sort=A","Dates=H","DateFormat=P","Fill=—","Direction=H","UseDPDF=Y")</f>
        <v>22.1404</v>
      </c>
      <c r="AJ16" s="21">
        <f>_xll.BDH("NVDA US Equity","OPER_MARGIN","FQ3 2020","FQ3 2020","Currency=USD","Period=FQ","BEST_FPERIOD_OVERRIDE=FQ","FILING_STATUS=MR","FA_ADJUSTED=GAAP","Sort=A","Dates=H","DateFormat=P","Fill=—","Direction=H","UseDPDF=Y")</f>
        <v>30.756499999999999</v>
      </c>
      <c r="AK16" s="21">
        <f>_xll.BDH("NVDA US Equity","OPER_MARGIN","FQ4 2020","FQ4 2020","Currency=USD","Period=FQ","BEST_FPERIOD_OVERRIDE=FQ","FILING_STATUS=MR","FA_ADJUSTED=GAAP","Sort=A","Dates=H","DateFormat=P","Fill=—","Direction=H","UseDPDF=Y")</f>
        <v>31.8841</v>
      </c>
      <c r="AL16" s="21">
        <f>_xll.BDH("NVDA US Equity","OPER_MARGIN","FQ1 2021","FQ1 2021","Currency=USD","Period=FQ","BEST_FPERIOD_OVERRIDE=FQ","FILING_STATUS=MR","FA_ADJUSTED=GAAP","Sort=A","Dates=H","DateFormat=P","Fill=—","Direction=H","UseDPDF=Y")</f>
        <v>31.688300000000002</v>
      </c>
      <c r="AM16" s="21">
        <f>_xll.BDH("NVDA US Equity","OPER_MARGIN","FQ2 2021","FQ2 2021","Currency=USD","Period=FQ","BEST_FPERIOD_OVERRIDE=FQ","FILING_STATUS=MR","FA_ADJUSTED=GAAP","Sort=A","Dates=H","DateFormat=P","Fill=—","Direction=H","UseDPDF=Y")</f>
        <v>16.839099999999998</v>
      </c>
      <c r="AN16" s="21">
        <f>_xll.BDH("NVDA US Equity","OPER_MARGIN","FQ3 2021","FQ3 2021","Currency=USD","Period=FQ","BEST_FPERIOD_OVERRIDE=FQ","FILING_STATUS=MR","FA_ADJUSTED=GAAP","Sort=A","Dates=H","DateFormat=P","Fill=—","Direction=H","UseDPDF=Y")</f>
        <v>29.581</v>
      </c>
      <c r="AO16" s="21">
        <f>_xll.BDH("NVDA US Equity","OPER_MARGIN","FQ4 2021","FQ4 2021","Currency=USD","Period=FQ","BEST_FPERIOD_OVERRIDE=FQ","FILING_STATUS=MR","FA_ADJUSTED=GAAP","Sort=A","Dates=H","DateFormat=P","Fill=—","Direction=H","UseDPDF=Y")</f>
        <v>30.1219</v>
      </c>
      <c r="AP16" s="21">
        <f>_xll.BDH("NVDA US Equity","OPER_MARGIN","FQ1 2022","FQ1 2022","Currency=USD","Period=FQ","BEST_FPERIOD_OVERRIDE=FQ","FILING_STATUS=MR","FA_ADJUSTED=GAAP","Sort=A","Dates=H","DateFormat=P","Fill=—","Direction=H","UseDPDF=Y")</f>
        <v>34.552199999999999</v>
      </c>
    </row>
    <row r="17" spans="1:42" x14ac:dyDescent="0.25">
      <c r="A17" s="7" t="s">
        <v>188</v>
      </c>
      <c r="B17" s="7" t="s">
        <v>187</v>
      </c>
      <c r="C17" s="21">
        <f>_xll.BDH("NVDA US Equity","INCREMENTAL_OPERATING_MARGIN","FQ2 2012","FQ2 2012","Currency=USD","Period=FQ","BEST_FPERIOD_OVERRIDE=FQ","FILING_STATUS=MR","FA_ADJUSTED=GAAP","Sort=A","Dates=H","DateFormat=P","Fill=—","Direction=H","UseDPDF=Y")</f>
        <v>170.10310000000001</v>
      </c>
      <c r="D17" s="21">
        <f>_xll.BDH("NVDA US Equity","INCREMENTAL_OPERATING_MARGIN","FQ3 2012","FQ3 2012","Currency=USD","Period=FQ","BEST_FPERIOD_OVERRIDE=FQ","FILING_STATUS=MR","FA_ADJUSTED=GAAP","Sort=A","Dates=H","DateFormat=P","Fill=—","Direction=H","UseDPDF=Y")</f>
        <v>41.979500000000002</v>
      </c>
      <c r="E17" s="21" t="str">
        <f>_xll.BDH("NVDA US Equity","INCREMENTAL_OPERATING_MARGIN","FQ4 2012","FQ4 2012","Currency=USD","Period=FQ","BEST_FPERIOD_OVERRIDE=FQ","FILING_STATUS=MR","FA_ADJUSTED=GAAP","Sort=A","Dates=H","DateFormat=P","Fill=—","Direction=H","UseDPDF=Y")</f>
        <v>—</v>
      </c>
      <c r="F17" s="21">
        <f>_xll.BDH("NVDA US Equity","INCREMENTAL_OPERATING_MARGIN","FQ1 2013","FQ1 2013","Currency=USD","Period=FQ","BEST_FPERIOD_OVERRIDE=FQ","FILING_STATUS=MR","FA_ADJUSTED=GAAP","Sort=A","Dates=H","DateFormat=P","Fill=—","Direction=H","UseDPDF=Y")</f>
        <v>-220.75239999999999</v>
      </c>
      <c r="G17" s="21" t="str">
        <f>_xll.BDH("NVDA US Equity","INCREMENTAL_OPERATING_MARGIN","FQ2 2013","FQ2 2013","Currency=USD","Period=FQ","BEST_FPERIOD_OVERRIDE=FQ","FILING_STATUS=MR","FA_ADJUSTED=GAAP","Sort=A","Dates=H","DateFormat=P","Fill=—","Direction=H","UseDPDF=Y")</f>
        <v>—</v>
      </c>
      <c r="H17" s="21">
        <f>_xll.BDH("NVDA US Equity","INCREMENTAL_OPERATING_MARGIN","FQ3 2013","FQ3 2013","Currency=USD","Period=FQ","BEST_FPERIOD_OVERRIDE=FQ","FILING_STATUS=MR","FA_ADJUSTED=GAAP","Sort=A","Dates=H","DateFormat=P","Fill=—","Direction=H","UseDPDF=Y")</f>
        <v>39.967399999999998</v>
      </c>
      <c r="I17" s="21">
        <f>_xll.BDH("NVDA US Equity","INCREMENTAL_OPERATING_MARGIN","FQ4 2013","FQ4 2013","Currency=USD","Period=FQ","BEST_FPERIOD_OVERRIDE=FQ","FILING_STATUS=MR","FA_ADJUSTED=GAAP","Sort=A","Dates=H","DateFormat=P","Fill=—","Direction=H","UseDPDF=Y")</f>
        <v>39.852200000000003</v>
      </c>
      <c r="J17" s="21">
        <f>_xll.BDH("NVDA US Equity","INCREMENTAL_OPERATING_MARGIN","FQ1 2014","FQ1 2014","Currency=USD","Period=FQ","BEST_FPERIOD_OVERRIDE=FQ","FILING_STATUS=MR","FA_ADJUSTED=GAAP","Sort=A","Dates=H","DateFormat=P","Fill=—","Direction=H","UseDPDF=Y")</f>
        <v>33.3367</v>
      </c>
      <c r="K17" s="21">
        <f>_xll.BDH("NVDA US Equity","INCREMENTAL_OPERATING_MARGIN","FQ2 2014","FQ2 2014","Currency=USD","Period=FQ","BEST_FPERIOD_OVERRIDE=FQ","FILING_STATUS=MR","FA_ADJUSTED=GAAP","Sort=A","Dates=H","DateFormat=P","Fill=—","Direction=H","UseDPDF=Y")</f>
        <v>-50.854799999999997</v>
      </c>
      <c r="L17" s="21">
        <f>_xll.BDH("NVDA US Equity","INCREMENTAL_OPERATING_MARGIN","FQ3 2014","FQ3 2014","Currency=USD","Period=FQ","BEST_FPERIOD_OVERRIDE=FQ","FILING_STATUS=MR","FA_ADJUSTED=GAAP","Sort=A","Dates=H","DateFormat=P","Fill=—","Direction=H","UseDPDF=Y")</f>
        <v>-74.081999999999994</v>
      </c>
      <c r="M17" s="21" t="str">
        <f>_xll.BDH("NVDA US Equity","INCREMENTAL_OPERATING_MARGIN","FQ4 2014","FQ4 2014","Currency=USD","Period=FQ","BEST_FPERIOD_OVERRIDE=FQ","FILING_STATUS=MR","FA_ADJUSTED=GAAP","Sort=A","Dates=H","DateFormat=P","Fill=—","Direction=H","UseDPDF=Y")</f>
        <v>—</v>
      </c>
      <c r="N17" s="21">
        <f>_xll.BDH("NVDA US Equity","INCREMENTAL_OPERATING_MARGIN","FQ1 2015","FQ1 2015","Currency=USD","Period=FQ","BEST_FPERIOD_OVERRIDE=FQ","FILING_STATUS=MR","FA_ADJUSTED=GAAP","Sort=A","Dates=H","DateFormat=P","Fill=—","Direction=H","UseDPDF=Y")</f>
        <v>46.012799999999999</v>
      </c>
      <c r="O17" s="21">
        <f>_xll.BDH("NVDA US Equity","INCREMENTAL_OPERATING_MARGIN","FQ2 2015","FQ2 2015","Currency=USD","Period=FQ","BEST_FPERIOD_OVERRIDE=FQ","FILING_STATUS=MR","FA_ADJUSTED=GAAP","Sort=A","Dates=H","DateFormat=P","Fill=—","Direction=H","UseDPDF=Y")</f>
        <v>45.694200000000002</v>
      </c>
      <c r="P17" s="21">
        <f>_xll.BDH("NVDA US Equity","INCREMENTAL_OPERATING_MARGIN","FQ3 2015","FQ3 2015","Currency=USD","Period=FQ","BEST_FPERIOD_OVERRIDE=FQ","FILING_STATUS=MR","FA_ADJUSTED=GAAP","Sort=A","Dates=H","DateFormat=P","Fill=—","Direction=H","UseDPDF=Y")</f>
        <v>42.104199999999999</v>
      </c>
      <c r="Q17" s="21">
        <f>_xll.BDH("NVDA US Equity","INCREMENTAL_OPERATING_MARGIN","FQ4 2015","FQ4 2015","Currency=USD","Period=FQ","BEST_FPERIOD_OVERRIDE=FQ","FILING_STATUS=MR","FA_ADJUSTED=GAAP","Sort=A","Dates=H","DateFormat=P","Fill=—","Direction=H","UseDPDF=Y")</f>
        <v>60.006399999999999</v>
      </c>
      <c r="R17" s="21">
        <f>_xll.BDH("NVDA US Equity","INCREMENTAL_OPERATING_MARGIN","FQ1 2016","FQ1 2016","Currency=USD","Period=FQ","BEST_FPERIOD_OVERRIDE=FQ","FILING_STATUS=MR","FA_ADJUSTED=GAAP","Sort=A","Dates=H","DateFormat=P","Fill=—","Direction=H","UseDPDF=Y")</f>
        <v>52.083300000000001</v>
      </c>
      <c r="S17" s="21" t="str">
        <f>_xll.BDH("NVDA US Equity","INCREMENTAL_OPERATING_MARGIN","FQ2 2016","FQ2 2016","Currency=USD","Period=FQ","BEST_FPERIOD_OVERRIDE=FQ","FILING_STATUS=MR","FA_ADJUSTED=GAAP","Sort=A","Dates=H","DateFormat=P","Fill=—","Direction=H","UseDPDF=Y")</f>
        <v>—</v>
      </c>
      <c r="T17" s="21">
        <f>_xll.BDH("NVDA US Equity","INCREMENTAL_OPERATING_MARGIN","FQ3 2016","FQ3 2016","Currency=USD","Period=FQ","BEST_FPERIOD_OVERRIDE=FQ","FILING_STATUS=MR","FA_ADJUSTED=GAAP","Sort=A","Dates=H","DateFormat=P","Fill=—","Direction=H","UseDPDF=Y")</f>
        <v>40</v>
      </c>
      <c r="U17" s="21">
        <f>_xll.BDH("NVDA US Equity","INCREMENTAL_OPERATING_MARGIN","FQ4 2016","FQ4 2016","Currency=USD","Period=FQ","BEST_FPERIOD_OVERRIDE=FQ","FILING_STATUS=MR","FA_ADJUSTED=GAAP","Sort=A","Dates=H","DateFormat=P","Fill=—","Direction=H","UseDPDF=Y")</f>
        <v>14</v>
      </c>
      <c r="V17" s="21">
        <f>_xll.BDH("NVDA US Equity","INCREMENTAL_OPERATING_MARGIN","FQ1 2017","FQ1 2017","Currency=USD","Period=FQ","BEST_FPERIOD_OVERRIDE=FQ","FILING_STATUS=MR","FA_ADJUSTED=GAAP","Sort=A","Dates=H","DateFormat=P","Fill=—","Direction=H","UseDPDF=Y")</f>
        <v>44.805199999999999</v>
      </c>
      <c r="W17" s="21">
        <f>_xll.BDH("NVDA US Equity","INCREMENTAL_OPERATING_MARGIN","FQ2 2017","FQ2 2017","Currency=USD","Period=FQ","BEST_FPERIOD_OVERRIDE=FQ","FILING_STATUS=MR","FA_ADJUSTED=GAAP","Sort=A","Dates=H","DateFormat=P","Fill=—","Direction=H","UseDPDF=Y")</f>
        <v>87.636399999999995</v>
      </c>
      <c r="X17" s="21">
        <f>_xll.BDH("NVDA US Equity","INCREMENTAL_OPERATING_MARGIN","FQ3 2017","FQ3 2017","Currency=USD","Period=FQ","BEST_FPERIOD_OVERRIDE=FQ","FILING_STATUS=MR","FA_ADJUSTED=GAAP","Sort=A","Dates=H","DateFormat=P","Fill=—","Direction=H","UseDPDF=Y")</f>
        <v>56.366199999999999</v>
      </c>
      <c r="Y17" s="21">
        <f>_xll.BDH("NVDA US Equity","INCREMENTAL_OPERATING_MARGIN","FQ4 2017","FQ4 2017","Currency=USD","Period=FQ","BEST_FPERIOD_OVERRIDE=FQ","FILING_STATUS=MR","FA_ADJUSTED=GAAP","Sort=A","Dates=H","DateFormat=P","Fill=—","Direction=H","UseDPDF=Y")</f>
        <v>62.305700000000002</v>
      </c>
      <c r="Z17" s="21">
        <f>_xll.BDH("NVDA US Equity","INCREMENTAL_OPERATING_MARGIN","FQ1 2018","FQ1 2018","Currency=USD","Period=FQ","BEST_FPERIOD_OVERRIDE=FQ","FILING_STATUS=MR","FA_ADJUSTED=GAAP","Sort=A","Dates=H","DateFormat=P","Fill=—","Direction=H","UseDPDF=Y")</f>
        <v>48.892400000000002</v>
      </c>
      <c r="AA17" s="21">
        <f>_xll.BDH("NVDA US Equity","INCREMENTAL_OPERATING_MARGIN","FQ2 2018","FQ2 2018","Currency=USD","Period=FQ","BEST_FPERIOD_OVERRIDE=FQ","FILING_STATUS=MR","FA_ADJUSTED=GAAP","Sort=A","Dates=H","DateFormat=P","Fill=—","Direction=H","UseDPDF=Y")</f>
        <v>46.259399999999999</v>
      </c>
      <c r="AB17" s="21">
        <f>_xll.BDH("NVDA US Equity","INCREMENTAL_OPERATING_MARGIN","FQ3 2018","FQ3 2018","Currency=USD","Period=FQ","BEST_FPERIOD_OVERRIDE=FQ","FILING_STATUS=MR","FA_ADJUSTED=GAAP","Sort=A","Dates=H","DateFormat=P","Fill=—","Direction=H","UseDPDF=Y")</f>
        <v>40.506300000000003</v>
      </c>
      <c r="AC17" s="21">
        <f>_xll.BDH("NVDA US Equity","INCREMENTAL_OPERATING_MARGIN","FQ4 2018","FQ4 2018","Currency=USD","Period=FQ","BEST_FPERIOD_OVERRIDE=FQ","FILING_STATUS=MR","FA_ADJUSTED=GAAP","Sort=A","Dates=H","DateFormat=P","Fill=—","Direction=H","UseDPDF=Y")</f>
        <v>46.070500000000003</v>
      </c>
      <c r="AD17" s="21">
        <f>_xll.BDH("NVDA US Equity","INCREMENTAL_OPERATING_MARGIN","FQ1 2019","FQ1 2019","Currency=USD","Period=FQ","BEST_FPERIOD_OVERRIDE=FQ","FILING_STATUS=MR","FA_ADJUSTED=GAAP","Sort=A","Dates=H","DateFormat=P","Fill=—","Direction=H","UseDPDF=Y")</f>
        <v>58.346499999999999</v>
      </c>
      <c r="AE17" s="21">
        <f>_xll.BDH("NVDA US Equity","INCREMENTAL_OPERATING_MARGIN","FQ2 2019","FQ2 2019","Currency=USD","Period=FQ","BEST_FPERIOD_OVERRIDE=FQ","FILING_STATUS=MR","FA_ADJUSTED=GAAP","Sort=A","Dates=H","DateFormat=P","Fill=—","Direction=H","UseDPDF=Y")</f>
        <v>52.519599999999997</v>
      </c>
      <c r="AF17" s="21">
        <f>_xll.BDH("NVDA US Equity","INCREMENTAL_OPERATING_MARGIN","FQ3 2019","FQ3 2019","Currency=USD","Period=FQ","BEST_FPERIOD_OVERRIDE=FQ","FILING_STATUS=MR","FA_ADJUSTED=GAAP","Sort=A","Dates=H","DateFormat=P","Fill=—","Direction=H","UseDPDF=Y")</f>
        <v>29.908300000000001</v>
      </c>
      <c r="AG17" s="21">
        <f>_xll.BDH("NVDA US Equity","INCREMENTAL_OPERATING_MARGIN","FQ4 2019","FQ4 2019","Currency=USD","Period=FQ","BEST_FPERIOD_OVERRIDE=FQ","FILING_STATUS=MR","FA_ADJUSTED=GAAP","Sort=A","Dates=H","DateFormat=P","Fill=—","Direction=H","UseDPDF=Y")</f>
        <v>-110.3399</v>
      </c>
      <c r="AH17" s="21">
        <f>_xll.BDH("NVDA US Equity","INCREMENTAL_OPERATING_MARGIN","FQ1 2020","FQ1 2020","Currency=USD","Period=FQ","BEST_FPERIOD_OVERRIDE=FQ","FILING_STATUS=MR","FA_ADJUSTED=GAAP","Sort=A","Dates=H","DateFormat=P","Fill=—","Direction=H","UseDPDF=Y")</f>
        <v>-94.934100000000001</v>
      </c>
      <c r="AI17" s="21">
        <f>_xll.BDH("NVDA US Equity","INCREMENTAL_OPERATING_MARGIN","FQ2 2020","FQ2 2020","Currency=USD","Period=FQ","BEST_FPERIOD_OVERRIDE=FQ","FILING_STATUS=MR","FA_ADJUSTED=GAAP","Sort=A","Dates=H","DateFormat=P","Fill=—","Direction=H","UseDPDF=Y")</f>
        <v>-107.7206</v>
      </c>
      <c r="AJ17" s="21">
        <f>_xll.BDH("NVDA US Equity","INCREMENTAL_OPERATING_MARGIN","FQ3 2020","FQ3 2020","Currency=USD","Period=FQ","BEST_FPERIOD_OVERRIDE=FQ","FILING_STATUS=MR","FA_ADJUSTED=GAAP","Sort=A","Dates=H","DateFormat=P","Fill=—","Direction=H","UseDPDF=Y")</f>
        <v>-78.443100000000001</v>
      </c>
      <c r="AK17" s="21">
        <f>_xll.BDH("NVDA US Equity","INCREMENTAL_OPERATING_MARGIN","FQ4 2020","FQ4 2020","Currency=USD","Period=FQ","BEST_FPERIOD_OVERRIDE=FQ","FILING_STATUS=MR","FA_ADJUSTED=GAAP","Sort=A","Dates=H","DateFormat=P","Fill=—","Direction=H","UseDPDF=Y")</f>
        <v>77.333299999999994</v>
      </c>
      <c r="AL17" s="21">
        <f>_xll.BDH("NVDA US Equity","INCREMENTAL_OPERATING_MARGIN","FQ1 2021","FQ1 2021","Currency=USD","Period=FQ","BEST_FPERIOD_OVERRIDE=FQ","FILING_STATUS=MR","FA_ADJUSTED=GAAP","Sort=A","Dates=H","DateFormat=P","Fill=—","Direction=H","UseDPDF=Y")</f>
        <v>71.860500000000002</v>
      </c>
      <c r="AM17" s="21">
        <f>_xll.BDH("NVDA US Equity","INCREMENTAL_OPERATING_MARGIN","FQ2 2021","FQ2 2021","Currency=USD","Period=FQ","BEST_FPERIOD_OVERRIDE=FQ","FILING_STATUS=MR","FA_ADJUSTED=GAAP","Sort=A","Dates=H","DateFormat=P","Fill=—","Direction=H","UseDPDF=Y")</f>
        <v>6.2160000000000002</v>
      </c>
      <c r="AN17" s="21">
        <f>_xll.BDH("NVDA US Equity","INCREMENTAL_OPERATING_MARGIN","FQ3 2021","FQ3 2021","Currency=USD","Period=FQ","BEST_FPERIOD_OVERRIDE=FQ","FILING_STATUS=MR","FA_ADJUSTED=GAAP","Sort=A","Dates=H","DateFormat=P","Fill=—","Direction=H","UseDPDF=Y")</f>
        <v>27.511700000000001</v>
      </c>
      <c r="AO17" s="21">
        <f>_xll.BDH("NVDA US Equity","INCREMENTAL_OPERATING_MARGIN","FQ4 2021","FQ4 2021","Currency=USD","Period=FQ","BEST_FPERIOD_OVERRIDE=FQ","FILING_STATUS=MR","FA_ADJUSTED=GAAP","Sort=A","Dates=H","DateFormat=P","Fill=—","Direction=H","UseDPDF=Y")</f>
        <v>27.2392</v>
      </c>
      <c r="AP17" s="21">
        <f>_xll.BDH("NVDA US Equity","INCREMENTAL_OPERATING_MARGIN","FQ1 2022","FQ1 2022","Currency=USD","Period=FQ","BEST_FPERIOD_OVERRIDE=FQ","FILING_STATUS=MR","FA_ADJUSTED=GAAP","Sort=A","Dates=H","DateFormat=P","Fill=—","Direction=H","UseDPDF=Y")</f>
        <v>37.969799999999999</v>
      </c>
    </row>
    <row r="18" spans="1:42" x14ac:dyDescent="0.25">
      <c r="A18" s="7" t="s">
        <v>186</v>
      </c>
      <c r="B18" s="7" t="s">
        <v>185</v>
      </c>
      <c r="C18" s="21">
        <f>_xll.BDH("NVDA US Equity","PRETAX_INC_TO_NET_SALES","FQ2 2012","FQ2 2012","Currency=USD","Period=FQ","BEST_FPERIOD_OVERRIDE=FQ","FILING_STATUS=MR","FA_ADJUSTED=GAAP","Sort=A","Dates=H","DateFormat=P","Fill=—","Direction=H","UseDPDF=Y")</f>
        <v>17.466200000000001</v>
      </c>
      <c r="D18" s="21">
        <f>_xll.BDH("NVDA US Equity","PRETAX_INC_TO_NET_SALES","FQ3 2012","FQ3 2012","Currency=USD","Period=FQ","BEST_FPERIOD_OVERRIDE=FQ","FILING_STATUS=MR","FA_ADJUSTED=GAAP","Sort=A","Dates=H","DateFormat=P","Fill=—","Direction=H","UseDPDF=Y")</f>
        <v>19.2075</v>
      </c>
      <c r="E18" s="21">
        <f>_xll.BDH("NVDA US Equity","PRETAX_INC_TO_NET_SALES","FQ4 2012","FQ4 2012","Currency=USD","Period=FQ","BEST_FPERIOD_OVERRIDE=FQ","FILING_STATUS=MR","FA_ADJUSTED=GAAP","Sort=A","Dates=H","DateFormat=P","Fill=—","Direction=H","UseDPDF=Y")</f>
        <v>13.0694</v>
      </c>
      <c r="F18" s="21">
        <f>_xll.BDH("NVDA US Equity","PRETAX_INC_TO_NET_SALES","FQ1 2013","FQ1 2013","Currency=USD","Period=FQ","BEST_FPERIOD_OVERRIDE=FQ","FILING_STATUS=MR","FA_ADJUSTED=GAAP","Sort=A","Dates=H","DateFormat=P","Fill=—","Direction=H","UseDPDF=Y")</f>
        <v>8.3356999999999992</v>
      </c>
      <c r="G18" s="21">
        <f>_xll.BDH("NVDA US Equity","PRETAX_INC_TO_NET_SALES","FQ2 2013","FQ2 2013","Currency=USD","Period=FQ","BEST_FPERIOD_OVERRIDE=FQ","FILING_STATUS=MR","FA_ADJUSTED=GAAP","Sort=A","Dates=H","DateFormat=P","Fill=—","Direction=H","UseDPDF=Y")</f>
        <v>13.905200000000001</v>
      </c>
      <c r="H18" s="21">
        <f>_xll.BDH("NVDA US Equity","PRETAX_INC_TO_NET_SALES","FQ3 2013","FQ3 2013","Currency=USD","Period=FQ","BEST_FPERIOD_OVERRIDE=FQ","FILING_STATUS=MR","FA_ADJUSTED=GAAP","Sort=A","Dates=H","DateFormat=P","Fill=—","Direction=H","UseDPDF=Y")</f>
        <v>21.063500000000001</v>
      </c>
      <c r="I18" s="21">
        <f>_xll.BDH("NVDA US Equity","PRETAX_INC_TO_NET_SALES","FQ4 2013","FQ4 2013","Currency=USD","Period=FQ","BEST_FPERIOD_OVERRIDE=FQ","FILING_STATUS=MR","FA_ADJUSTED=GAAP","Sort=A","Dates=H","DateFormat=P","Fill=—","Direction=H","UseDPDF=Y")</f>
        <v>16.813400000000001</v>
      </c>
      <c r="J18" s="21">
        <f>_xll.BDH("NVDA US Equity","PRETAX_INC_TO_NET_SALES","FQ1 2014","FQ1 2014","Currency=USD","Period=FQ","BEST_FPERIOD_OVERRIDE=FQ","FILING_STATUS=MR","FA_ADJUSTED=GAAP","Sort=A","Dates=H","DateFormat=P","Fill=—","Direction=H","UseDPDF=Y")</f>
        <v>9.2237000000000009</v>
      </c>
      <c r="K18" s="21">
        <f>_xll.BDH("NVDA US Equity","PRETAX_INC_TO_NET_SALES","FQ2 2014","FQ2 2014","Currency=USD","Period=FQ","BEST_FPERIOD_OVERRIDE=FQ","FILING_STATUS=MR","FA_ADJUSTED=GAAP","Sort=A","Dates=H","DateFormat=P","Fill=—","Direction=H","UseDPDF=Y")</f>
        <v>11.442500000000001</v>
      </c>
      <c r="L18" s="21">
        <f>_xll.BDH("NVDA US Equity","PRETAX_INC_TO_NET_SALES","FQ3 2014","FQ3 2014","Currency=USD","Period=FQ","BEST_FPERIOD_OVERRIDE=FQ","FILING_STATUS=MR","FA_ADJUSTED=GAAP","Sort=A","Dates=H","DateFormat=P","Fill=—","Direction=H","UseDPDF=Y")</f>
        <v>13.4239</v>
      </c>
      <c r="M18" s="21">
        <f>_xll.BDH("NVDA US Equity","PRETAX_INC_TO_NET_SALES","FQ4 2014","FQ4 2014","Currency=USD","Period=FQ","BEST_FPERIOD_OVERRIDE=FQ","FILING_STATUS=MR","FA_ADJUSTED=GAAP","Sort=A","Dates=H","DateFormat=P","Fill=—","Direction=H","UseDPDF=Y")</f>
        <v>14.7601</v>
      </c>
      <c r="N18" s="21">
        <f>_xll.BDH("NVDA US Equity","PRETAX_INC_TO_NET_SALES","FQ1 2015","FQ1 2015","Currency=USD","Period=FQ","BEST_FPERIOD_OVERRIDE=FQ","FILING_STATUS=MR","FA_ADJUSTED=GAAP","Sort=A","Dates=H","DateFormat=P","Fill=—","Direction=H","UseDPDF=Y")</f>
        <v>14.777900000000001</v>
      </c>
      <c r="O18" s="21">
        <f>_xll.BDH("NVDA US Equity","PRETAX_INC_TO_NET_SALES","FQ2 2015","FQ2 2015","Currency=USD","Period=FQ","BEST_FPERIOD_OVERRIDE=FQ","FILING_STATUS=MR","FA_ADJUSTED=GAAP","Sort=A","Dates=H","DateFormat=P","Fill=—","Direction=H","UseDPDF=Y")</f>
        <v>14.0526</v>
      </c>
      <c r="P18" s="21">
        <f>_xll.BDH("NVDA US Equity","PRETAX_INC_TO_NET_SALES","FQ3 2015","FQ3 2015","Currency=USD","Period=FQ","BEST_FPERIOD_OVERRIDE=FQ","FILING_STATUS=MR","FA_ADJUSTED=GAAP","Sort=A","Dates=H","DateFormat=P","Fill=—","Direction=H","UseDPDF=Y")</f>
        <v>17.061199999999999</v>
      </c>
      <c r="Q18" s="21">
        <f>_xll.BDH("NVDA US Equity","PRETAX_INC_TO_NET_SALES","FQ4 2015","FQ4 2015","Currency=USD","Period=FQ","BEST_FPERIOD_OVERRIDE=FQ","FILING_STATUS=MR","FA_ADJUSTED=GAAP","Sort=A","Dates=H","DateFormat=P","Fill=—","Direction=H","UseDPDF=Y")</f>
        <v>18.2254</v>
      </c>
      <c r="R18" s="21">
        <f>_xll.BDH("NVDA US Equity","PRETAX_INC_TO_NET_SALES","FQ1 2016","FQ1 2016","Currency=USD","Period=FQ","BEST_FPERIOD_OVERRIDE=FQ","FILING_STATUS=MR","FA_ADJUSTED=GAAP","Sort=A","Dates=H","DateFormat=P","Fill=—","Direction=H","UseDPDF=Y")</f>
        <v>14.9435</v>
      </c>
      <c r="S18" s="21">
        <f>_xll.BDH("NVDA US Equity","PRETAX_INC_TO_NET_SALES","FQ2 2016","FQ2 2016","Currency=USD","Period=FQ","BEST_FPERIOD_OVERRIDE=FQ","FILING_STATUS=MR","FA_ADJUSTED=GAAP","Sort=A","Dates=H","DateFormat=P","Fill=—","Direction=H","UseDPDF=Y")</f>
        <v>6.2446000000000002</v>
      </c>
      <c r="T18" s="21">
        <f>_xll.BDH("NVDA US Equity","PRETAX_INC_TO_NET_SALES","FQ3 2016","FQ3 2016","Currency=USD","Period=FQ","BEST_FPERIOD_OVERRIDE=FQ","FILING_STATUS=MR","FA_ADJUSTED=GAAP","Sort=A","Dates=H","DateFormat=P","Fill=—","Direction=H","UseDPDF=Y")</f>
        <v>18.773900000000001</v>
      </c>
      <c r="U18" s="21">
        <f>_xll.BDH("NVDA US Equity","PRETAX_INC_TO_NET_SALES","FQ4 2016","FQ4 2016","Currency=USD","Period=FQ","BEST_FPERIOD_OVERRIDE=FQ","FILING_STATUS=MR","FA_ADJUSTED=GAAP","Sort=A","Dates=H","DateFormat=P","Fill=—","Direction=H","UseDPDF=Y")</f>
        <v>18.058499999999999</v>
      </c>
      <c r="V18" s="21">
        <f>_xll.BDH("NVDA US Equity","PRETAX_INC_TO_NET_SALES","FQ1 2017","FQ1 2017","Currency=USD","Period=FQ","BEST_FPERIOD_OVERRIDE=FQ","FILING_STATUS=MR","FA_ADJUSTED=GAAP","Sort=A","Dates=H","DateFormat=P","Fill=—","Direction=H","UseDPDF=Y")</f>
        <v>18.467400000000001</v>
      </c>
      <c r="W18" s="21">
        <f>_xll.BDH("NVDA US Equity","PRETAX_INC_TO_NET_SALES","FQ2 2017","FQ2 2017","Currency=USD","Period=FQ","BEST_FPERIOD_OVERRIDE=FQ","FILING_STATUS=MR","FA_ADJUSTED=GAAP","Sort=A","Dates=H","DateFormat=P","Fill=—","Direction=H","UseDPDF=Y")</f>
        <v>22.198899999999998</v>
      </c>
      <c r="X18" s="21">
        <f>_xll.BDH("NVDA US Equity","PRETAX_INC_TO_NET_SALES","FQ3 2017","FQ3 2017","Currency=USD","Period=FQ","BEST_FPERIOD_OVERRIDE=FQ","FILING_STATUS=MR","FA_ADJUSTED=GAAP","Sort=A","Dates=H","DateFormat=P","Fill=—","Direction=H","UseDPDF=Y")</f>
        <v>30.988</v>
      </c>
      <c r="Y18" s="21">
        <f>_xll.BDH("NVDA US Equity","PRETAX_INC_TO_NET_SALES","FQ4 2017","FQ4 2017","Currency=USD","Period=FQ","BEST_FPERIOD_OVERRIDE=FQ","FILING_STATUS=MR","FA_ADJUSTED=GAAP","Sort=A","Dates=H","DateFormat=P","Fill=—","Direction=H","UseDPDF=Y")</f>
        <v>33.409999999999997</v>
      </c>
      <c r="Z18" s="21">
        <f>_xll.BDH("NVDA US Equity","PRETAX_INC_TO_NET_SALES","FQ1 2018","FQ1 2018","Currency=USD","Period=FQ","BEST_FPERIOD_OVERRIDE=FQ","FILING_STATUS=MR","FA_ADJUSTED=GAAP","Sort=A","Dates=H","DateFormat=P","Fill=—","Direction=H","UseDPDF=Y")</f>
        <v>27.671700000000001</v>
      </c>
      <c r="AA18" s="21">
        <f>_xll.BDH("NVDA US Equity","PRETAX_INC_TO_NET_SALES","FQ2 2018","FQ2 2018","Currency=USD","Period=FQ","BEST_FPERIOD_OVERRIDE=FQ","FILING_STATUS=MR","FA_ADJUSTED=GAAP","Sort=A","Dates=H","DateFormat=P","Fill=—","Direction=H","UseDPDF=Y")</f>
        <v>30.672599999999999</v>
      </c>
      <c r="AB18" s="21">
        <f>_xll.BDH("NVDA US Equity","PRETAX_INC_TO_NET_SALES","FQ3 2018","FQ3 2018","Currency=USD","Period=FQ","BEST_FPERIOD_OVERRIDE=FQ","FILING_STATUS=MR","FA_ADJUSTED=GAAP","Sort=A","Dates=H","DateFormat=P","Fill=—","Direction=H","UseDPDF=Y")</f>
        <v>33.990900000000003</v>
      </c>
      <c r="AC18" s="21">
        <f>_xll.BDH("NVDA US Equity","PRETAX_INC_TO_NET_SALES","FQ4 2018","FQ4 2018","Currency=USD","Period=FQ","BEST_FPERIOD_OVERRIDE=FQ","FILING_STATUS=MR","FA_ADJUSTED=GAAP","Sort=A","Dates=H","DateFormat=P","Fill=—","Direction=H","UseDPDF=Y")</f>
        <v>37.0319</v>
      </c>
      <c r="AD18" s="21">
        <f>_xll.BDH("NVDA US Equity","PRETAX_INC_TO_NET_SALES","FQ1 2019","FQ1 2019","Currency=USD","Period=FQ","BEST_FPERIOD_OVERRIDE=FQ","FILING_STATUS=MR","FA_ADJUSTED=GAAP","Sort=A","Dates=H","DateFormat=P","Fill=—","Direction=H","UseDPDF=Y")</f>
        <v>40.879300000000001</v>
      </c>
      <c r="AE18" s="21">
        <f>_xll.BDH("NVDA US Equity","PRETAX_INC_TO_NET_SALES","FQ2 2019","FQ2 2019","Currency=USD","Period=FQ","BEST_FPERIOD_OVERRIDE=FQ","FILING_STATUS=MR","FA_ADJUSTED=GAAP","Sort=A","Dates=H","DateFormat=P","Fill=—","Direction=H","UseDPDF=Y")</f>
        <v>37.784199999999998</v>
      </c>
      <c r="AF18" s="21">
        <f>_xll.BDH("NVDA US Equity","PRETAX_INC_TO_NET_SALES","FQ3 2019","FQ3 2019","Currency=USD","Period=FQ","BEST_FPERIOD_OVERRIDE=FQ","FILING_STATUS=MR","FA_ADJUSTED=GAAP","Sort=A","Dates=H","DateFormat=P","Fill=—","Direction=H","UseDPDF=Y")</f>
        <v>33.982999999999997</v>
      </c>
      <c r="AG18" s="21">
        <f>_xll.BDH("NVDA US Equity","PRETAX_INC_TO_NET_SALES","FQ4 2019","FQ4 2019","Currency=USD","Period=FQ","BEST_FPERIOD_OVERRIDE=FQ","FILING_STATUS=MR","FA_ADJUSTED=GAAP","Sort=A","Dates=H","DateFormat=P","Fill=—","Direction=H","UseDPDF=Y")</f>
        <v>14.693899999999999</v>
      </c>
      <c r="AH18" s="21">
        <f>_xll.BDH("NVDA US Equity","PRETAX_INC_TO_NET_SALES","FQ1 2020","FQ1 2020","Currency=USD","Period=FQ","BEST_FPERIOD_OVERRIDE=FQ","FILING_STATUS=MR","FA_ADJUSTED=GAAP","Sort=A","Dates=H","DateFormat=P","Fill=—","Direction=H","UseDPDF=Y")</f>
        <v>17.522500000000001</v>
      </c>
      <c r="AI18" s="21">
        <f>_xll.BDH("NVDA US Equity","PRETAX_INC_TO_NET_SALES","FQ2 2020","FQ2 2020","Currency=USD","Period=FQ","BEST_FPERIOD_OVERRIDE=FQ","FILING_STATUS=MR","FA_ADJUSTED=GAAP","Sort=A","Dates=H","DateFormat=P","Fill=—","Direction=H","UseDPDF=Y")</f>
        <v>23.497499999999999</v>
      </c>
      <c r="AJ18" s="21">
        <f>_xll.BDH("NVDA US Equity","PRETAX_INC_TO_NET_SALES","FQ3 2020","FQ3 2020","Currency=USD","Period=FQ","BEST_FPERIOD_OVERRIDE=FQ","FILING_STATUS=MR","FA_ADJUSTED=GAAP","Sort=A","Dates=H","DateFormat=P","Fill=—","Direction=H","UseDPDF=Y")</f>
        <v>31.818200000000001</v>
      </c>
      <c r="AK18" s="21">
        <f>_xll.BDH("NVDA US Equity","PRETAX_INC_TO_NET_SALES","FQ4 2020","FQ4 2020","Currency=USD","Period=FQ","BEST_FPERIOD_OVERRIDE=FQ","FILING_STATUS=MR","FA_ADJUSTED=GAAP","Sort=A","Dates=H","DateFormat=P","Fill=—","Direction=H","UseDPDF=Y")</f>
        <v>32.721400000000003</v>
      </c>
      <c r="AL18" s="21">
        <f>_xll.BDH("NVDA US Equity","PRETAX_INC_TO_NET_SALES","FQ1 2021","FQ1 2021","Currency=USD","Period=FQ","BEST_FPERIOD_OVERRIDE=FQ","FILING_STATUS=MR","FA_ADJUSTED=GAAP","Sort=A","Dates=H","DateFormat=P","Fill=—","Direction=H","UseDPDF=Y")</f>
        <v>31.8506</v>
      </c>
      <c r="AM18" s="21">
        <f>_xll.BDH("NVDA US Equity","PRETAX_INC_TO_NET_SALES","FQ2 2021","FQ2 2021","Currency=USD","Period=FQ","BEST_FPERIOD_OVERRIDE=FQ","FILING_STATUS=MR","FA_ADJUSTED=GAAP","Sort=A","Dates=H","DateFormat=P","Fill=—","Direction=H","UseDPDF=Y")</f>
        <v>15.752700000000001</v>
      </c>
      <c r="AN18" s="21">
        <f>_xll.BDH("NVDA US Equity","PRETAX_INC_TO_NET_SALES","FQ3 2021","FQ3 2021","Currency=USD","Period=FQ","BEST_FPERIOD_OVERRIDE=FQ","FILING_STATUS=MR","FA_ADJUSTED=GAAP","Sort=A","Dates=H","DateFormat=P","Fill=—","Direction=H","UseDPDF=Y")</f>
        <v>28.523099999999999</v>
      </c>
      <c r="AO18" s="21">
        <f>_xll.BDH("NVDA US Equity","PRETAX_INC_TO_NET_SALES","FQ4 2021","FQ4 2021","Currency=USD","Period=FQ","BEST_FPERIOD_OVERRIDE=FQ","FILING_STATUS=MR","FA_ADJUSTED=GAAP","Sort=A","Dates=H","DateFormat=P","Fill=—","Direction=H","UseDPDF=Y")</f>
        <v>29.382400000000001</v>
      </c>
      <c r="AP18" s="21">
        <f>_xll.BDH("NVDA US Equity","PRETAX_INC_TO_NET_SALES","FQ1 2022","FQ1 2022","Currency=USD","Period=FQ","BEST_FPERIOD_OVERRIDE=FQ","FILING_STATUS=MR","FA_ADJUSTED=GAAP","Sort=A","Dates=H","DateFormat=P","Fill=—","Direction=H","UseDPDF=Y")</f>
        <v>36.106699999999996</v>
      </c>
    </row>
    <row r="19" spans="1:42" x14ac:dyDescent="0.25">
      <c r="A19" s="7" t="s">
        <v>184</v>
      </c>
      <c r="B19" s="7" t="s">
        <v>183</v>
      </c>
      <c r="C19" s="21">
        <f>_xll.BDH("NVDA US Equity","INC_BEF_XO_ITEMS_TO_NET_SALES","FQ2 2012","FQ2 2012","Currency=USD","Period=FQ","BEST_FPERIOD_OVERRIDE=FQ","FILING_STATUS=MR","FA_ADJUSTED=GAAP","Sort=A","Dates=H","DateFormat=P","Fill=—","Direction=H","UseDPDF=Y")</f>
        <v>14.911</v>
      </c>
      <c r="D19" s="21">
        <f>_xll.BDH("NVDA US Equity","INC_BEF_XO_ITEMS_TO_NET_SALES","FQ3 2012","FQ3 2012","Currency=USD","Period=FQ","BEST_FPERIOD_OVERRIDE=FQ","FILING_STATUS=MR","FA_ADJUSTED=GAAP","Sort=A","Dates=H","DateFormat=P","Fill=—","Direction=H","UseDPDF=Y")</f>
        <v>16.720700000000001</v>
      </c>
      <c r="E19" s="21">
        <f>_xll.BDH("NVDA US Equity","INC_BEF_XO_ITEMS_TO_NET_SALES","FQ4 2012","FQ4 2012","Currency=USD","Period=FQ","BEST_FPERIOD_OVERRIDE=FQ","FILING_STATUS=MR","FA_ADJUSTED=GAAP","Sort=A","Dates=H","DateFormat=P","Fill=—","Direction=H","UseDPDF=Y")</f>
        <v>12.1722</v>
      </c>
      <c r="F19" s="21">
        <f>_xll.BDH("NVDA US Equity","INC_BEF_XO_ITEMS_TO_NET_SALES","FQ1 2013","FQ1 2013","Currency=USD","Period=FQ","BEST_FPERIOD_OVERRIDE=FQ","FILING_STATUS=MR","FA_ADJUSTED=GAAP","Sort=A","Dates=H","DateFormat=P","Fill=—","Direction=H","UseDPDF=Y")</f>
        <v>6.5346000000000002</v>
      </c>
      <c r="G19" s="21">
        <f>_xll.BDH("NVDA US Equity","INC_BEF_XO_ITEMS_TO_NET_SALES","FQ2 2013","FQ2 2013","Currency=USD","Period=FQ","BEST_FPERIOD_OVERRIDE=FQ","FILING_STATUS=MR","FA_ADJUSTED=GAAP","Sort=A","Dates=H","DateFormat=P","Fill=—","Direction=H","UseDPDF=Y")</f>
        <v>11.399900000000001</v>
      </c>
      <c r="H19" s="21">
        <f>_xll.BDH("NVDA US Equity","INC_BEF_XO_ITEMS_TO_NET_SALES","FQ3 2013","FQ3 2013","Currency=USD","Period=FQ","BEST_FPERIOD_OVERRIDE=FQ","FILING_STATUS=MR","FA_ADJUSTED=GAAP","Sort=A","Dates=H","DateFormat=P","Fill=—","Direction=H","UseDPDF=Y")</f>
        <v>17.363900000000001</v>
      </c>
      <c r="I19" s="21">
        <f>_xll.BDH("NVDA US Equity","INC_BEF_XO_ITEMS_TO_NET_SALES","FQ4 2013","FQ4 2013","Currency=USD","Period=FQ","BEST_FPERIOD_OVERRIDE=FQ","FILING_STATUS=MR","FA_ADJUSTED=GAAP","Sort=A","Dates=H","DateFormat=P","Fill=—","Direction=H","UseDPDF=Y")</f>
        <v>15.7171</v>
      </c>
      <c r="J19" s="21">
        <f>_xll.BDH("NVDA US Equity","INC_BEF_XO_ITEMS_TO_NET_SALES","FQ1 2014","FQ1 2014","Currency=USD","Period=FQ","BEST_FPERIOD_OVERRIDE=FQ","FILING_STATUS=MR","FA_ADJUSTED=GAAP","Sort=A","Dates=H","DateFormat=P","Fill=—","Direction=H","UseDPDF=Y")</f>
        <v>8.1584000000000003</v>
      </c>
      <c r="K19" s="21">
        <f>_xll.BDH("NVDA US Equity","INC_BEF_XO_ITEMS_TO_NET_SALES","FQ2 2014","FQ2 2014","Currency=USD","Period=FQ","BEST_FPERIOD_OVERRIDE=FQ","FILING_STATUS=MR","FA_ADJUSTED=GAAP","Sort=A","Dates=H","DateFormat=P","Fill=—","Direction=H","UseDPDF=Y")</f>
        <v>9.8694000000000006</v>
      </c>
      <c r="L19" s="21">
        <f>_xll.BDH("NVDA US Equity","INC_BEF_XO_ITEMS_TO_NET_SALES","FQ3 2014","FQ3 2014","Currency=USD","Period=FQ","BEST_FPERIOD_OVERRIDE=FQ","FILING_STATUS=MR","FA_ADJUSTED=GAAP","Sort=A","Dates=H","DateFormat=P","Fill=—","Direction=H","UseDPDF=Y")</f>
        <v>11.2654</v>
      </c>
      <c r="M19" s="21">
        <f>_xll.BDH("NVDA US Equity","INC_BEF_XO_ITEMS_TO_NET_SALES","FQ4 2014","FQ4 2014","Currency=USD","Period=FQ","BEST_FPERIOD_OVERRIDE=FQ","FILING_STATUS=MR","FA_ADJUSTED=GAAP","Sort=A","Dates=H","DateFormat=P","Fill=—","Direction=H","UseDPDF=Y")</f>
        <v>12.8399</v>
      </c>
      <c r="N19" s="21">
        <f>_xll.BDH("NVDA US Equity","INC_BEF_XO_ITEMS_TO_NET_SALES","FQ1 2015","FQ1 2015","Currency=USD","Period=FQ","BEST_FPERIOD_OVERRIDE=FQ","FILING_STATUS=MR","FA_ADJUSTED=GAAP","Sort=A","Dates=H","DateFormat=P","Fill=—","Direction=H","UseDPDF=Y")</f>
        <v>12.4207</v>
      </c>
      <c r="O19" s="21">
        <f>_xll.BDH("NVDA US Equity","INC_BEF_XO_ITEMS_TO_NET_SALES","FQ2 2015","FQ2 2015","Currency=USD","Period=FQ","BEST_FPERIOD_OVERRIDE=FQ","FILING_STATUS=MR","FA_ADJUSTED=GAAP","Sort=A","Dates=H","DateFormat=P","Fill=—","Direction=H","UseDPDF=Y")</f>
        <v>11.604699999999999</v>
      </c>
      <c r="P19" s="21">
        <f>_xll.BDH("NVDA US Equity","INC_BEF_XO_ITEMS_TO_NET_SALES","FQ3 2015","FQ3 2015","Currency=USD","Period=FQ","BEST_FPERIOD_OVERRIDE=FQ","FILING_STATUS=MR","FA_ADJUSTED=GAAP","Sort=A","Dates=H","DateFormat=P","Fill=—","Direction=H","UseDPDF=Y")</f>
        <v>14.122400000000001</v>
      </c>
      <c r="Q19" s="21">
        <f>_xll.BDH("NVDA US Equity","INC_BEF_XO_ITEMS_TO_NET_SALES","FQ4 2015","FQ4 2015","Currency=USD","Period=FQ","BEST_FPERIOD_OVERRIDE=FQ","FILING_STATUS=MR","FA_ADJUSTED=GAAP","Sort=A","Dates=H","DateFormat=P","Fill=—","Direction=H","UseDPDF=Y")</f>
        <v>15.4277</v>
      </c>
      <c r="R19" s="21">
        <f>_xll.BDH("NVDA US Equity","INC_BEF_XO_ITEMS_TO_NET_SALES","FQ1 2016","FQ1 2016","Currency=USD","Period=FQ","BEST_FPERIOD_OVERRIDE=FQ","FILING_STATUS=MR","FA_ADJUSTED=GAAP","Sort=A","Dates=H","DateFormat=P","Fill=—","Direction=H","UseDPDF=Y")</f>
        <v>11.642099999999999</v>
      </c>
      <c r="S19" s="21">
        <f>_xll.BDH("NVDA US Equity","INC_BEF_XO_ITEMS_TO_NET_SALES","FQ2 2016","FQ2 2016","Currency=USD","Period=FQ","BEST_FPERIOD_OVERRIDE=FQ","FILING_STATUS=MR","FA_ADJUSTED=GAAP","Sort=A","Dates=H","DateFormat=P","Fill=—","Direction=H","UseDPDF=Y")</f>
        <v>2.2549999999999999</v>
      </c>
      <c r="T19" s="21">
        <f>_xll.BDH("NVDA US Equity","INC_BEF_XO_ITEMS_TO_NET_SALES","FQ3 2016","FQ3 2016","Currency=USD","Period=FQ","BEST_FPERIOD_OVERRIDE=FQ","FILING_STATUS=MR","FA_ADJUSTED=GAAP","Sort=A","Dates=H","DateFormat=P","Fill=—","Direction=H","UseDPDF=Y")</f>
        <v>18.8506</v>
      </c>
      <c r="U19" s="21">
        <f>_xll.BDH("NVDA US Equity","INC_BEF_XO_ITEMS_TO_NET_SALES","FQ4 2016","FQ4 2016","Currency=USD","Period=FQ","BEST_FPERIOD_OVERRIDE=FQ","FILING_STATUS=MR","FA_ADJUSTED=GAAP","Sort=A","Dates=H","DateFormat=P","Fill=—","Direction=H","UseDPDF=Y")</f>
        <v>14.7752</v>
      </c>
      <c r="V19" s="21">
        <f>_xll.BDH("NVDA US Equity","INC_BEF_XO_ITEMS_TO_NET_SALES","FQ1 2017","FQ1 2017","Currency=USD","Period=FQ","BEST_FPERIOD_OVERRIDE=FQ","FILING_STATUS=MR","FA_ADJUSTED=GAAP","Sort=A","Dates=H","DateFormat=P","Fill=—","Direction=H","UseDPDF=Y")</f>
        <v>15.938700000000001</v>
      </c>
      <c r="W19" s="21">
        <f>_xll.BDH("NVDA US Equity","INC_BEF_XO_ITEMS_TO_NET_SALES","FQ2 2017","FQ2 2017","Currency=USD","Period=FQ","BEST_FPERIOD_OVERRIDE=FQ","FILING_STATUS=MR","FA_ADJUSTED=GAAP","Sort=A","Dates=H","DateFormat=P","Fill=—","Direction=H","UseDPDF=Y")</f>
        <v>18.2773</v>
      </c>
      <c r="X19" s="21">
        <f>_xll.BDH("NVDA US Equity","INC_BEF_XO_ITEMS_TO_NET_SALES","FQ3 2017","FQ3 2017","Currency=USD","Period=FQ","BEST_FPERIOD_OVERRIDE=FQ","FILING_STATUS=MR","FA_ADJUSTED=GAAP","Sort=A","Dates=H","DateFormat=P","Fill=—","Direction=H","UseDPDF=Y")</f>
        <v>27.0459</v>
      </c>
      <c r="Y19" s="21">
        <f>_xll.BDH("NVDA US Equity","INC_BEF_XO_ITEMS_TO_NET_SALES","FQ4 2017","FQ4 2017","Currency=USD","Period=FQ","BEST_FPERIOD_OVERRIDE=FQ","FILING_STATUS=MR","FA_ADJUSTED=GAAP","Sort=A","Dates=H","DateFormat=P","Fill=—","Direction=H","UseDPDF=Y")</f>
        <v>30.142700000000001</v>
      </c>
      <c r="Z19" s="21">
        <f>_xll.BDH("NVDA US Equity","INC_BEF_XO_ITEMS_TO_NET_SALES","FQ1 2018","FQ1 2018","Currency=USD","Period=FQ","BEST_FPERIOD_OVERRIDE=FQ","FILING_STATUS=MR","FA_ADJUSTED=GAAP","Sort=A","Dates=H","DateFormat=P","Fill=—","Direction=H","UseDPDF=Y")</f>
        <v>26.174499999999998</v>
      </c>
      <c r="AA19" s="21">
        <f>_xll.BDH("NVDA US Equity","INC_BEF_XO_ITEMS_TO_NET_SALES","FQ2 2018","FQ2 2018","Currency=USD","Period=FQ","BEST_FPERIOD_OVERRIDE=FQ","FILING_STATUS=MR","FA_ADJUSTED=GAAP","Sort=A","Dates=H","DateFormat=P","Fill=—","Direction=H","UseDPDF=Y")</f>
        <v>26.1435</v>
      </c>
      <c r="AB19" s="21">
        <f>_xll.BDH("NVDA US Equity","INC_BEF_XO_ITEMS_TO_NET_SALES","FQ3 2018","FQ3 2018","Currency=USD","Period=FQ","BEST_FPERIOD_OVERRIDE=FQ","FILING_STATUS=MR","FA_ADJUSTED=GAAP","Sort=A","Dates=H","DateFormat=P","Fill=—","Direction=H","UseDPDF=Y")</f>
        <v>31.790600000000001</v>
      </c>
      <c r="AC19" s="21">
        <f>_xll.BDH("NVDA US Equity","INC_BEF_XO_ITEMS_TO_NET_SALES","FQ4 2018","FQ4 2018","Currency=USD","Period=FQ","BEST_FPERIOD_OVERRIDE=FQ","FILING_STATUS=MR","FA_ADJUSTED=GAAP","Sort=A","Dates=H","DateFormat=P","Fill=—","Direction=H","UseDPDF=Y")</f>
        <v>38.405999999999999</v>
      </c>
      <c r="AD19" s="21">
        <f>_xll.BDH("NVDA US Equity","INC_BEF_XO_ITEMS_TO_NET_SALES","FQ1 2019","FQ1 2019","Currency=USD","Period=FQ","BEST_FPERIOD_OVERRIDE=FQ","FILING_STATUS=MR","FA_ADJUSTED=GAAP","Sort=A","Dates=H","DateFormat=P","Fill=—","Direction=H","UseDPDF=Y")</f>
        <v>38.790100000000002</v>
      </c>
      <c r="AE19" s="21">
        <f>_xll.BDH("NVDA US Equity","INC_BEF_XO_ITEMS_TO_NET_SALES","FQ2 2019","FQ2 2019","Currency=USD","Period=FQ","BEST_FPERIOD_OVERRIDE=FQ","FILING_STATUS=MR","FA_ADJUSTED=GAAP","Sort=A","Dates=H","DateFormat=P","Fill=—","Direction=H","UseDPDF=Y")</f>
        <v>35.254600000000003</v>
      </c>
      <c r="AF19" s="21">
        <f>_xll.BDH("NVDA US Equity","INC_BEF_XO_ITEMS_TO_NET_SALES","FQ3 2019","FQ3 2019","Currency=USD","Period=FQ","BEST_FPERIOD_OVERRIDE=FQ","FILING_STATUS=MR","FA_ADJUSTED=GAAP","Sort=A","Dates=H","DateFormat=P","Fill=—","Direction=H","UseDPDF=Y")</f>
        <v>38.667099999999998</v>
      </c>
      <c r="AG19" s="21">
        <f>_xll.BDH("NVDA US Equity","INC_BEF_XO_ITEMS_TO_NET_SALES","FQ4 2019","FQ4 2019","Currency=USD","Period=FQ","BEST_FPERIOD_OVERRIDE=FQ","FILING_STATUS=MR","FA_ADJUSTED=GAAP","Sort=A","Dates=H","DateFormat=P","Fill=—","Direction=H","UseDPDF=Y")</f>
        <v>25.714300000000001</v>
      </c>
      <c r="AH19" s="21">
        <f>_xll.BDH("NVDA US Equity","INC_BEF_XO_ITEMS_TO_NET_SALES","FQ1 2020","FQ1 2020","Currency=USD","Period=FQ","BEST_FPERIOD_OVERRIDE=FQ","FILING_STATUS=MR","FA_ADJUSTED=GAAP","Sort=A","Dates=H","DateFormat=P","Fill=—","Direction=H","UseDPDF=Y")</f>
        <v>17.747700000000002</v>
      </c>
      <c r="AI19" s="21">
        <f>_xll.BDH("NVDA US Equity","INC_BEF_XO_ITEMS_TO_NET_SALES","FQ2 2020","FQ2 2020","Currency=USD","Period=FQ","BEST_FPERIOD_OVERRIDE=FQ","FILING_STATUS=MR","FA_ADJUSTED=GAAP","Sort=A","Dates=H","DateFormat=P","Fill=—","Direction=H","UseDPDF=Y")</f>
        <v>21.403600000000001</v>
      </c>
      <c r="AJ19" s="21">
        <f>_xll.BDH("NVDA US Equity","INC_BEF_XO_ITEMS_TO_NET_SALES","FQ3 2020","FQ3 2020","Currency=USD","Period=FQ","BEST_FPERIOD_OVERRIDE=FQ","FILING_STATUS=MR","FA_ADJUSTED=GAAP","Sort=A","Dates=H","DateFormat=P","Fill=—","Direction=H","UseDPDF=Y")</f>
        <v>29.827500000000001</v>
      </c>
      <c r="AK19" s="21">
        <f>_xll.BDH("NVDA US Equity","INC_BEF_XO_ITEMS_TO_NET_SALES","FQ4 2020","FQ4 2020","Currency=USD","Period=FQ","BEST_FPERIOD_OVERRIDE=FQ","FILING_STATUS=MR","FA_ADJUSTED=GAAP","Sort=A","Dates=H","DateFormat=P","Fill=—","Direction=H","UseDPDF=Y")</f>
        <v>30.595800000000001</v>
      </c>
      <c r="AL19" s="21">
        <f>_xll.BDH("NVDA US Equity","INC_BEF_XO_ITEMS_TO_NET_SALES","FQ1 2021","FQ1 2021","Currency=USD","Period=FQ","BEST_FPERIOD_OVERRIDE=FQ","FILING_STATUS=MR","FA_ADJUSTED=GAAP","Sort=A","Dates=H","DateFormat=P","Fill=—","Direction=H","UseDPDF=Y")</f>
        <v>29.7727</v>
      </c>
      <c r="AM19" s="21">
        <f>_xll.BDH("NVDA US Equity","INC_BEF_XO_ITEMS_TO_NET_SALES","FQ2 2021","FQ2 2021","Currency=USD","Period=FQ","BEST_FPERIOD_OVERRIDE=FQ","FILING_STATUS=MR","FA_ADJUSTED=GAAP","Sort=A","Dates=H","DateFormat=P","Fill=—","Direction=H","UseDPDF=Y")</f>
        <v>16.088999999999999</v>
      </c>
      <c r="AN19" s="21">
        <f>_xll.BDH("NVDA US Equity","INC_BEF_XO_ITEMS_TO_NET_SALES","FQ3 2021","FQ3 2021","Currency=USD","Period=FQ","BEST_FPERIOD_OVERRIDE=FQ","FILING_STATUS=MR","FA_ADJUSTED=GAAP","Sort=A","Dates=H","DateFormat=P","Fill=—","Direction=H","UseDPDF=Y")</f>
        <v>28.269100000000002</v>
      </c>
      <c r="AO19" s="21">
        <f>_xll.BDH("NVDA US Equity","INC_BEF_XO_ITEMS_TO_NET_SALES","FQ4 2021","FQ4 2021","Currency=USD","Period=FQ","BEST_FPERIOD_OVERRIDE=FQ","FILING_STATUS=MR","FA_ADJUSTED=GAAP","Sort=A","Dates=H","DateFormat=P","Fill=—","Direction=H","UseDPDF=Y")</f>
        <v>29.122499999999999</v>
      </c>
      <c r="AP19" s="21">
        <f>_xll.BDH("NVDA US Equity","INC_BEF_XO_ITEMS_TO_NET_SALES","FQ1 2022","FQ1 2022","Currency=USD","Period=FQ","BEST_FPERIOD_OVERRIDE=FQ","FILING_STATUS=MR","FA_ADJUSTED=GAAP","Sort=A","Dates=H","DateFormat=P","Fill=—","Direction=H","UseDPDF=Y")</f>
        <v>33.774999999999999</v>
      </c>
    </row>
    <row r="20" spans="1:42" x14ac:dyDescent="0.25">
      <c r="A20" s="7" t="s">
        <v>93</v>
      </c>
      <c r="B20" s="7" t="s">
        <v>94</v>
      </c>
      <c r="C20" s="21">
        <f>_xll.BDH("NVDA US Equity","PROF_MARGIN","FQ2 2012","FQ2 2012","Currency=USD","Period=FQ","BEST_FPERIOD_OVERRIDE=FQ","FILING_STATUS=MR","FA_ADJUSTED=GAAP","Sort=A","Dates=H","DateFormat=P","Fill=—","Direction=H","UseDPDF=Y")</f>
        <v>14.911</v>
      </c>
      <c r="D20" s="21">
        <f>_xll.BDH("NVDA US Equity","PROF_MARGIN","FQ3 2012","FQ3 2012","Currency=USD","Period=FQ","BEST_FPERIOD_OVERRIDE=FQ","FILING_STATUS=MR","FA_ADJUSTED=GAAP","Sort=A","Dates=H","DateFormat=P","Fill=—","Direction=H","UseDPDF=Y")</f>
        <v>16.720700000000001</v>
      </c>
      <c r="E20" s="21">
        <f>_xll.BDH("NVDA US Equity","PROF_MARGIN","FQ4 2012","FQ4 2012","Currency=USD","Period=FQ","BEST_FPERIOD_OVERRIDE=FQ","FILING_STATUS=MR","FA_ADJUSTED=GAAP","Sort=A","Dates=H","DateFormat=P","Fill=—","Direction=H","UseDPDF=Y")</f>
        <v>12.1722</v>
      </c>
      <c r="F20" s="21">
        <f>_xll.BDH("NVDA US Equity","PROF_MARGIN","FQ1 2013","FQ1 2013","Currency=USD","Period=FQ","BEST_FPERIOD_OVERRIDE=FQ","FILING_STATUS=MR","FA_ADJUSTED=GAAP","Sort=A","Dates=H","DateFormat=P","Fill=—","Direction=H","UseDPDF=Y")</f>
        <v>6.5346000000000002</v>
      </c>
      <c r="G20" s="21">
        <f>_xll.BDH("NVDA US Equity","PROF_MARGIN","FQ2 2013","FQ2 2013","Currency=USD","Period=FQ","BEST_FPERIOD_OVERRIDE=FQ","FILING_STATUS=MR","FA_ADJUSTED=GAAP","Sort=A","Dates=H","DateFormat=P","Fill=—","Direction=H","UseDPDF=Y")</f>
        <v>11.399900000000001</v>
      </c>
      <c r="H20" s="21">
        <f>_xll.BDH("NVDA US Equity","PROF_MARGIN","FQ3 2013","FQ3 2013","Currency=USD","Period=FQ","BEST_FPERIOD_OVERRIDE=FQ","FILING_STATUS=MR","FA_ADJUSTED=GAAP","Sort=A","Dates=H","DateFormat=P","Fill=—","Direction=H","UseDPDF=Y")</f>
        <v>17.363900000000001</v>
      </c>
      <c r="I20" s="21">
        <f>_xll.BDH("NVDA US Equity","PROF_MARGIN","FQ4 2013","FQ4 2013","Currency=USD","Period=FQ","BEST_FPERIOD_OVERRIDE=FQ","FILING_STATUS=MR","FA_ADJUSTED=GAAP","Sort=A","Dates=H","DateFormat=P","Fill=—","Direction=H","UseDPDF=Y")</f>
        <v>15.7171</v>
      </c>
      <c r="J20" s="21">
        <f>_xll.BDH("NVDA US Equity","PROF_MARGIN","FQ1 2014","FQ1 2014","Currency=USD","Period=FQ","BEST_FPERIOD_OVERRIDE=FQ","FILING_STATUS=MR","FA_ADJUSTED=GAAP","Sort=A","Dates=H","DateFormat=P","Fill=—","Direction=H","UseDPDF=Y")</f>
        <v>8.1584000000000003</v>
      </c>
      <c r="K20" s="21">
        <f>_xll.BDH("NVDA US Equity","PROF_MARGIN","FQ2 2014","FQ2 2014","Currency=USD","Period=FQ","BEST_FPERIOD_OVERRIDE=FQ","FILING_STATUS=MR","FA_ADJUSTED=GAAP","Sort=A","Dates=H","DateFormat=P","Fill=—","Direction=H","UseDPDF=Y")</f>
        <v>9.8694000000000006</v>
      </c>
      <c r="L20" s="21">
        <f>_xll.BDH("NVDA US Equity","PROF_MARGIN","FQ3 2014","FQ3 2014","Currency=USD","Period=FQ","BEST_FPERIOD_OVERRIDE=FQ","FILING_STATUS=MR","FA_ADJUSTED=GAAP","Sort=A","Dates=H","DateFormat=P","Fill=—","Direction=H","UseDPDF=Y")</f>
        <v>11.2654</v>
      </c>
      <c r="M20" s="21">
        <f>_xll.BDH("NVDA US Equity","PROF_MARGIN","FQ4 2014","FQ4 2014","Currency=USD","Period=FQ","BEST_FPERIOD_OVERRIDE=FQ","FILING_STATUS=MR","FA_ADJUSTED=GAAP","Sort=A","Dates=H","DateFormat=P","Fill=—","Direction=H","UseDPDF=Y")</f>
        <v>12.8399</v>
      </c>
      <c r="N20" s="21">
        <f>_xll.BDH("NVDA US Equity","PROF_MARGIN","FQ1 2015","FQ1 2015","Currency=USD","Period=FQ","BEST_FPERIOD_OVERRIDE=FQ","FILING_STATUS=MR","FA_ADJUSTED=GAAP","Sort=A","Dates=H","DateFormat=P","Fill=—","Direction=H","UseDPDF=Y")</f>
        <v>12.4207</v>
      </c>
      <c r="O20" s="21">
        <f>_xll.BDH("NVDA US Equity","PROF_MARGIN","FQ2 2015","FQ2 2015","Currency=USD","Period=FQ","BEST_FPERIOD_OVERRIDE=FQ","FILING_STATUS=MR","FA_ADJUSTED=GAAP","Sort=A","Dates=H","DateFormat=P","Fill=—","Direction=H","UseDPDF=Y")</f>
        <v>11.604699999999999</v>
      </c>
      <c r="P20" s="21">
        <f>_xll.BDH("NVDA US Equity","PROF_MARGIN","FQ3 2015","FQ3 2015","Currency=USD","Period=FQ","BEST_FPERIOD_OVERRIDE=FQ","FILING_STATUS=MR","FA_ADJUSTED=GAAP","Sort=A","Dates=H","DateFormat=P","Fill=—","Direction=H","UseDPDF=Y")</f>
        <v>14.122400000000001</v>
      </c>
      <c r="Q20" s="21">
        <f>_xll.BDH("NVDA US Equity","PROF_MARGIN","FQ4 2015","FQ4 2015","Currency=USD","Period=FQ","BEST_FPERIOD_OVERRIDE=FQ","FILING_STATUS=MR","FA_ADJUSTED=GAAP","Sort=A","Dates=H","DateFormat=P","Fill=—","Direction=H","UseDPDF=Y")</f>
        <v>15.4277</v>
      </c>
      <c r="R20" s="21">
        <f>_xll.BDH("NVDA US Equity","PROF_MARGIN","FQ1 2016","FQ1 2016","Currency=USD","Period=FQ","BEST_FPERIOD_OVERRIDE=FQ","FILING_STATUS=MR","FA_ADJUSTED=GAAP","Sort=A","Dates=H","DateFormat=P","Fill=—","Direction=H","UseDPDF=Y")</f>
        <v>11.642099999999999</v>
      </c>
      <c r="S20" s="21">
        <f>_xll.BDH("NVDA US Equity","PROF_MARGIN","FQ2 2016","FQ2 2016","Currency=USD","Period=FQ","BEST_FPERIOD_OVERRIDE=FQ","FILING_STATUS=MR","FA_ADJUSTED=GAAP","Sort=A","Dates=H","DateFormat=P","Fill=—","Direction=H","UseDPDF=Y")</f>
        <v>2.2549999999999999</v>
      </c>
      <c r="T20" s="21">
        <f>_xll.BDH("NVDA US Equity","PROF_MARGIN","FQ3 2016","FQ3 2016","Currency=USD","Period=FQ","BEST_FPERIOD_OVERRIDE=FQ","FILING_STATUS=MR","FA_ADJUSTED=GAAP","Sort=A","Dates=H","DateFormat=P","Fill=—","Direction=H","UseDPDF=Y")</f>
        <v>18.8506</v>
      </c>
      <c r="U20" s="21">
        <f>_xll.BDH("NVDA US Equity","PROF_MARGIN","FQ4 2016","FQ4 2016","Currency=USD","Period=FQ","BEST_FPERIOD_OVERRIDE=FQ","FILING_STATUS=MR","FA_ADJUSTED=GAAP","Sort=A","Dates=H","DateFormat=P","Fill=—","Direction=H","UseDPDF=Y")</f>
        <v>14.7752</v>
      </c>
      <c r="V20" s="21">
        <f>_xll.BDH("NVDA US Equity","PROF_MARGIN","FQ1 2017","FQ1 2017","Currency=USD","Period=FQ","BEST_FPERIOD_OVERRIDE=FQ","FILING_STATUS=MR","FA_ADJUSTED=GAAP","Sort=A","Dates=H","DateFormat=P","Fill=—","Direction=H","UseDPDF=Y")</f>
        <v>15.938700000000001</v>
      </c>
      <c r="W20" s="21">
        <f>_xll.BDH("NVDA US Equity","PROF_MARGIN","FQ2 2017","FQ2 2017","Currency=USD","Period=FQ","BEST_FPERIOD_OVERRIDE=FQ","FILING_STATUS=MR","FA_ADJUSTED=GAAP","Sort=A","Dates=H","DateFormat=P","Fill=—","Direction=H","UseDPDF=Y")</f>
        <v>18.2773</v>
      </c>
      <c r="X20" s="21">
        <f>_xll.BDH("NVDA US Equity","PROF_MARGIN","FQ3 2017","FQ3 2017","Currency=USD","Period=FQ","BEST_FPERIOD_OVERRIDE=FQ","FILING_STATUS=MR","FA_ADJUSTED=GAAP","Sort=A","Dates=H","DateFormat=P","Fill=—","Direction=H","UseDPDF=Y")</f>
        <v>27.0459</v>
      </c>
      <c r="Y20" s="21">
        <f>_xll.BDH("NVDA US Equity","PROF_MARGIN","FQ4 2017","FQ4 2017","Currency=USD","Period=FQ","BEST_FPERIOD_OVERRIDE=FQ","FILING_STATUS=MR","FA_ADJUSTED=GAAP","Sort=A","Dates=H","DateFormat=P","Fill=—","Direction=H","UseDPDF=Y")</f>
        <v>30.142700000000001</v>
      </c>
      <c r="Z20" s="21">
        <f>_xll.BDH("NVDA US Equity","PROF_MARGIN","FQ1 2018","FQ1 2018","Currency=USD","Period=FQ","BEST_FPERIOD_OVERRIDE=FQ","FILING_STATUS=MR","FA_ADJUSTED=GAAP","Sort=A","Dates=H","DateFormat=P","Fill=—","Direction=H","UseDPDF=Y")</f>
        <v>26.174499999999998</v>
      </c>
      <c r="AA20" s="21">
        <f>_xll.BDH("NVDA US Equity","PROF_MARGIN","FQ2 2018","FQ2 2018","Currency=USD","Period=FQ","BEST_FPERIOD_OVERRIDE=FQ","FILING_STATUS=MR","FA_ADJUSTED=GAAP","Sort=A","Dates=H","DateFormat=P","Fill=—","Direction=H","UseDPDF=Y")</f>
        <v>26.1435</v>
      </c>
      <c r="AB20" s="21">
        <f>_xll.BDH("NVDA US Equity","PROF_MARGIN","FQ3 2018","FQ3 2018","Currency=USD","Period=FQ","BEST_FPERIOD_OVERRIDE=FQ","FILING_STATUS=MR","FA_ADJUSTED=GAAP","Sort=A","Dates=H","DateFormat=P","Fill=—","Direction=H","UseDPDF=Y")</f>
        <v>31.790600000000001</v>
      </c>
      <c r="AC20" s="21">
        <f>_xll.BDH("NVDA US Equity","PROF_MARGIN","FQ4 2018","FQ4 2018","Currency=USD","Period=FQ","BEST_FPERIOD_OVERRIDE=FQ","FILING_STATUS=MR","FA_ADJUSTED=GAAP","Sort=A","Dates=H","DateFormat=P","Fill=—","Direction=H","UseDPDF=Y")</f>
        <v>38.405999999999999</v>
      </c>
      <c r="AD20" s="21">
        <f>_xll.BDH("NVDA US Equity","PROF_MARGIN","FQ1 2019","FQ1 2019","Currency=USD","Period=FQ","BEST_FPERIOD_OVERRIDE=FQ","FILING_STATUS=MR","FA_ADJUSTED=GAAP","Sort=A","Dates=H","DateFormat=P","Fill=—","Direction=H","UseDPDF=Y")</f>
        <v>38.790100000000002</v>
      </c>
      <c r="AE20" s="21">
        <f>_xll.BDH("NVDA US Equity","PROF_MARGIN","FQ2 2019","FQ2 2019","Currency=USD","Period=FQ","BEST_FPERIOD_OVERRIDE=FQ","FILING_STATUS=MR","FA_ADJUSTED=GAAP","Sort=A","Dates=H","DateFormat=P","Fill=—","Direction=H","UseDPDF=Y")</f>
        <v>35.254600000000003</v>
      </c>
      <c r="AF20" s="21">
        <f>_xll.BDH("NVDA US Equity","PROF_MARGIN","FQ3 2019","FQ3 2019","Currency=USD","Period=FQ","BEST_FPERIOD_OVERRIDE=FQ","FILING_STATUS=MR","FA_ADJUSTED=GAAP","Sort=A","Dates=H","DateFormat=P","Fill=—","Direction=H","UseDPDF=Y")</f>
        <v>38.667099999999998</v>
      </c>
      <c r="AG20" s="21">
        <f>_xll.BDH("NVDA US Equity","PROF_MARGIN","FQ4 2019","FQ4 2019","Currency=USD","Period=FQ","BEST_FPERIOD_OVERRIDE=FQ","FILING_STATUS=MR","FA_ADJUSTED=GAAP","Sort=A","Dates=H","DateFormat=P","Fill=—","Direction=H","UseDPDF=Y")</f>
        <v>25.714300000000001</v>
      </c>
      <c r="AH20" s="21">
        <f>_xll.BDH("NVDA US Equity","PROF_MARGIN","FQ1 2020","FQ1 2020","Currency=USD","Period=FQ","BEST_FPERIOD_OVERRIDE=FQ","FILING_STATUS=MR","FA_ADJUSTED=GAAP","Sort=A","Dates=H","DateFormat=P","Fill=—","Direction=H","UseDPDF=Y")</f>
        <v>17.747700000000002</v>
      </c>
      <c r="AI20" s="21">
        <f>_xll.BDH("NVDA US Equity","PROF_MARGIN","FQ2 2020","FQ2 2020","Currency=USD","Period=FQ","BEST_FPERIOD_OVERRIDE=FQ","FILING_STATUS=MR","FA_ADJUSTED=GAAP","Sort=A","Dates=H","DateFormat=P","Fill=—","Direction=H","UseDPDF=Y")</f>
        <v>21.403600000000001</v>
      </c>
      <c r="AJ20" s="21">
        <f>_xll.BDH("NVDA US Equity","PROF_MARGIN","FQ3 2020","FQ3 2020","Currency=USD","Period=FQ","BEST_FPERIOD_OVERRIDE=FQ","FILING_STATUS=MR","FA_ADJUSTED=GAAP","Sort=A","Dates=H","DateFormat=P","Fill=—","Direction=H","UseDPDF=Y")</f>
        <v>29.827500000000001</v>
      </c>
      <c r="AK20" s="21">
        <f>_xll.BDH("NVDA US Equity","PROF_MARGIN","FQ4 2020","FQ4 2020","Currency=USD","Period=FQ","BEST_FPERIOD_OVERRIDE=FQ","FILING_STATUS=MR","FA_ADJUSTED=GAAP","Sort=A","Dates=H","DateFormat=P","Fill=—","Direction=H","UseDPDF=Y")</f>
        <v>30.595800000000001</v>
      </c>
      <c r="AL20" s="21">
        <f>_xll.BDH("NVDA US Equity","PROF_MARGIN","FQ1 2021","FQ1 2021","Currency=USD","Period=FQ","BEST_FPERIOD_OVERRIDE=FQ","FILING_STATUS=MR","FA_ADJUSTED=GAAP","Sort=A","Dates=H","DateFormat=P","Fill=—","Direction=H","UseDPDF=Y")</f>
        <v>29.7727</v>
      </c>
      <c r="AM20" s="21">
        <f>_xll.BDH("NVDA US Equity","PROF_MARGIN","FQ2 2021","FQ2 2021","Currency=USD","Period=FQ","BEST_FPERIOD_OVERRIDE=FQ","FILING_STATUS=MR","FA_ADJUSTED=GAAP","Sort=A","Dates=H","DateFormat=P","Fill=—","Direction=H","UseDPDF=Y")</f>
        <v>16.088999999999999</v>
      </c>
      <c r="AN20" s="21">
        <f>_xll.BDH("NVDA US Equity","PROF_MARGIN","FQ3 2021","FQ3 2021","Currency=USD","Period=FQ","BEST_FPERIOD_OVERRIDE=FQ","FILING_STATUS=MR","FA_ADJUSTED=GAAP","Sort=A","Dates=H","DateFormat=P","Fill=—","Direction=H","UseDPDF=Y")</f>
        <v>28.269100000000002</v>
      </c>
      <c r="AO20" s="21">
        <f>_xll.BDH("NVDA US Equity","PROF_MARGIN","FQ4 2021","FQ4 2021","Currency=USD","Period=FQ","BEST_FPERIOD_OVERRIDE=FQ","FILING_STATUS=MR","FA_ADJUSTED=GAAP","Sort=A","Dates=H","DateFormat=P","Fill=—","Direction=H","UseDPDF=Y")</f>
        <v>29.122499999999999</v>
      </c>
      <c r="AP20" s="21">
        <f>_xll.BDH("NVDA US Equity","PROF_MARGIN","FQ1 2022","FQ1 2022","Currency=USD","Period=FQ","BEST_FPERIOD_OVERRIDE=FQ","FILING_STATUS=MR","FA_ADJUSTED=GAAP","Sort=A","Dates=H","DateFormat=P","Fill=—","Direction=H","UseDPDF=Y")</f>
        <v>33.774999999999999</v>
      </c>
    </row>
    <row r="21" spans="1:42" x14ac:dyDescent="0.25">
      <c r="A21" s="7" t="s">
        <v>182</v>
      </c>
      <c r="B21" s="7" t="s">
        <v>181</v>
      </c>
      <c r="C21" s="21">
        <f>_xll.BDH("NVDA US Equity","NET_INCOME_TO_COMMON_MARGIN","FQ2 2012","FQ2 2012","Currency=USD","Period=FQ","BEST_FPERIOD_OVERRIDE=FQ","FILING_STATUS=MR","FA_ADJUSTED=GAAP","Sort=A","Dates=H","DateFormat=P","Fill=—","Direction=H","UseDPDF=Y")</f>
        <v>14.911</v>
      </c>
      <c r="D21" s="21">
        <f>_xll.BDH("NVDA US Equity","NET_INCOME_TO_COMMON_MARGIN","FQ3 2012","FQ3 2012","Currency=USD","Period=FQ","BEST_FPERIOD_OVERRIDE=FQ","FILING_STATUS=MR","FA_ADJUSTED=GAAP","Sort=A","Dates=H","DateFormat=P","Fill=—","Direction=H","UseDPDF=Y")</f>
        <v>16.720700000000001</v>
      </c>
      <c r="E21" s="21">
        <f>_xll.BDH("NVDA US Equity","NET_INCOME_TO_COMMON_MARGIN","FQ4 2012","FQ4 2012","Currency=USD","Period=FQ","BEST_FPERIOD_OVERRIDE=FQ","FILING_STATUS=MR","FA_ADJUSTED=GAAP","Sort=A","Dates=H","DateFormat=P","Fill=—","Direction=H","UseDPDF=Y")</f>
        <v>12.1722</v>
      </c>
      <c r="F21" s="21">
        <f>_xll.BDH("NVDA US Equity","NET_INCOME_TO_COMMON_MARGIN","FQ1 2013","FQ1 2013","Currency=USD","Period=FQ","BEST_FPERIOD_OVERRIDE=FQ","FILING_STATUS=MR","FA_ADJUSTED=GAAP","Sort=A","Dates=H","DateFormat=P","Fill=—","Direction=H","UseDPDF=Y")</f>
        <v>6.5346000000000002</v>
      </c>
      <c r="G21" s="21">
        <f>_xll.BDH("NVDA US Equity","NET_INCOME_TO_COMMON_MARGIN","FQ2 2013","FQ2 2013","Currency=USD","Period=FQ","BEST_FPERIOD_OVERRIDE=FQ","FILING_STATUS=MR","FA_ADJUSTED=GAAP","Sort=A","Dates=H","DateFormat=P","Fill=—","Direction=H","UseDPDF=Y")</f>
        <v>11.399900000000001</v>
      </c>
      <c r="H21" s="21">
        <f>_xll.BDH("NVDA US Equity","NET_INCOME_TO_COMMON_MARGIN","FQ3 2013","FQ3 2013","Currency=USD","Period=FQ","BEST_FPERIOD_OVERRIDE=FQ","FILING_STATUS=MR","FA_ADJUSTED=GAAP","Sort=A","Dates=H","DateFormat=P","Fill=—","Direction=H","UseDPDF=Y")</f>
        <v>17.363900000000001</v>
      </c>
      <c r="I21" s="21">
        <f>_xll.BDH("NVDA US Equity","NET_INCOME_TO_COMMON_MARGIN","FQ4 2013","FQ4 2013","Currency=USD","Period=FQ","BEST_FPERIOD_OVERRIDE=FQ","FILING_STATUS=MR","FA_ADJUSTED=GAAP","Sort=A","Dates=H","DateFormat=P","Fill=—","Direction=H","UseDPDF=Y")</f>
        <v>15.7171</v>
      </c>
      <c r="J21" s="21">
        <f>_xll.BDH("NVDA US Equity","NET_INCOME_TO_COMMON_MARGIN","FQ1 2014","FQ1 2014","Currency=USD","Period=FQ","BEST_FPERIOD_OVERRIDE=FQ","FILING_STATUS=MR","FA_ADJUSTED=GAAP","Sort=A","Dates=H","DateFormat=P","Fill=—","Direction=H","UseDPDF=Y")</f>
        <v>8.1584000000000003</v>
      </c>
      <c r="K21" s="21">
        <f>_xll.BDH("NVDA US Equity","NET_INCOME_TO_COMMON_MARGIN","FQ2 2014","FQ2 2014","Currency=USD","Period=FQ","BEST_FPERIOD_OVERRIDE=FQ","FILING_STATUS=MR","FA_ADJUSTED=GAAP","Sort=A","Dates=H","DateFormat=P","Fill=—","Direction=H","UseDPDF=Y")</f>
        <v>9.8694000000000006</v>
      </c>
      <c r="L21" s="21">
        <f>_xll.BDH("NVDA US Equity","NET_INCOME_TO_COMMON_MARGIN","FQ3 2014","FQ3 2014","Currency=USD","Period=FQ","BEST_FPERIOD_OVERRIDE=FQ","FILING_STATUS=MR","FA_ADJUSTED=GAAP","Sort=A","Dates=H","DateFormat=P","Fill=—","Direction=H","UseDPDF=Y")</f>
        <v>11.2654</v>
      </c>
      <c r="M21" s="21">
        <f>_xll.BDH("NVDA US Equity","NET_INCOME_TO_COMMON_MARGIN","FQ4 2014","FQ4 2014","Currency=USD","Period=FQ","BEST_FPERIOD_OVERRIDE=FQ","FILING_STATUS=MR","FA_ADJUSTED=GAAP","Sort=A","Dates=H","DateFormat=P","Fill=—","Direction=H","UseDPDF=Y")</f>
        <v>12.8399</v>
      </c>
      <c r="N21" s="21">
        <f>_xll.BDH("NVDA US Equity","NET_INCOME_TO_COMMON_MARGIN","FQ1 2015","FQ1 2015","Currency=USD","Period=FQ","BEST_FPERIOD_OVERRIDE=FQ","FILING_STATUS=MR","FA_ADJUSTED=GAAP","Sort=A","Dates=H","DateFormat=P","Fill=—","Direction=H","UseDPDF=Y")</f>
        <v>12.4207</v>
      </c>
      <c r="O21" s="21">
        <f>_xll.BDH("NVDA US Equity","NET_INCOME_TO_COMMON_MARGIN","FQ2 2015","FQ2 2015","Currency=USD","Period=FQ","BEST_FPERIOD_OVERRIDE=FQ","FILING_STATUS=MR","FA_ADJUSTED=GAAP","Sort=A","Dates=H","DateFormat=P","Fill=—","Direction=H","UseDPDF=Y")</f>
        <v>11.604699999999999</v>
      </c>
      <c r="P21" s="21">
        <f>_xll.BDH("NVDA US Equity","NET_INCOME_TO_COMMON_MARGIN","FQ3 2015","FQ3 2015","Currency=USD","Period=FQ","BEST_FPERIOD_OVERRIDE=FQ","FILING_STATUS=MR","FA_ADJUSTED=GAAP","Sort=A","Dates=H","DateFormat=P","Fill=—","Direction=H","UseDPDF=Y")</f>
        <v>14.122400000000001</v>
      </c>
      <c r="Q21" s="21">
        <f>_xll.BDH("NVDA US Equity","NET_INCOME_TO_COMMON_MARGIN","FQ4 2015","FQ4 2015","Currency=USD","Period=FQ","BEST_FPERIOD_OVERRIDE=FQ","FILING_STATUS=MR","FA_ADJUSTED=GAAP","Sort=A","Dates=H","DateFormat=P","Fill=—","Direction=H","UseDPDF=Y")</f>
        <v>15.4277</v>
      </c>
      <c r="R21" s="21">
        <f>_xll.BDH("NVDA US Equity","NET_INCOME_TO_COMMON_MARGIN","FQ1 2016","FQ1 2016","Currency=USD","Period=FQ","BEST_FPERIOD_OVERRIDE=FQ","FILING_STATUS=MR","FA_ADJUSTED=GAAP","Sort=A","Dates=H","DateFormat=P","Fill=—","Direction=H","UseDPDF=Y")</f>
        <v>11.642099999999999</v>
      </c>
      <c r="S21" s="21">
        <f>_xll.BDH("NVDA US Equity","NET_INCOME_TO_COMMON_MARGIN","FQ2 2016","FQ2 2016","Currency=USD","Period=FQ","BEST_FPERIOD_OVERRIDE=FQ","FILING_STATUS=MR","FA_ADJUSTED=GAAP","Sort=A","Dates=H","DateFormat=P","Fill=—","Direction=H","UseDPDF=Y")</f>
        <v>2.2549999999999999</v>
      </c>
      <c r="T21" s="21">
        <f>_xll.BDH("NVDA US Equity","NET_INCOME_TO_COMMON_MARGIN","FQ3 2016","FQ3 2016","Currency=USD","Period=FQ","BEST_FPERIOD_OVERRIDE=FQ","FILING_STATUS=MR","FA_ADJUSTED=GAAP","Sort=A","Dates=H","DateFormat=P","Fill=—","Direction=H","UseDPDF=Y")</f>
        <v>18.8506</v>
      </c>
      <c r="U21" s="21">
        <f>_xll.BDH("NVDA US Equity","NET_INCOME_TO_COMMON_MARGIN","FQ4 2016","FQ4 2016","Currency=USD","Period=FQ","BEST_FPERIOD_OVERRIDE=FQ","FILING_STATUS=MR","FA_ADJUSTED=GAAP","Sort=A","Dates=H","DateFormat=P","Fill=—","Direction=H","UseDPDF=Y")</f>
        <v>14.7752</v>
      </c>
      <c r="V21" s="21">
        <f>_xll.BDH("NVDA US Equity","NET_INCOME_TO_COMMON_MARGIN","FQ1 2017","FQ1 2017","Currency=USD","Period=FQ","BEST_FPERIOD_OVERRIDE=FQ","FILING_STATUS=MR","FA_ADJUSTED=GAAP","Sort=A","Dates=H","DateFormat=P","Fill=—","Direction=H","UseDPDF=Y")</f>
        <v>15.938700000000001</v>
      </c>
      <c r="W21" s="21">
        <f>_xll.BDH("NVDA US Equity","NET_INCOME_TO_COMMON_MARGIN","FQ2 2017","FQ2 2017","Currency=USD","Period=FQ","BEST_FPERIOD_OVERRIDE=FQ","FILING_STATUS=MR","FA_ADJUSTED=GAAP","Sort=A","Dates=H","DateFormat=P","Fill=—","Direction=H","UseDPDF=Y")</f>
        <v>18.2773</v>
      </c>
      <c r="X21" s="21">
        <f>_xll.BDH("NVDA US Equity","NET_INCOME_TO_COMMON_MARGIN","FQ3 2017","FQ3 2017","Currency=USD","Period=FQ","BEST_FPERIOD_OVERRIDE=FQ","FILING_STATUS=MR","FA_ADJUSTED=GAAP","Sort=A","Dates=H","DateFormat=P","Fill=—","Direction=H","UseDPDF=Y")</f>
        <v>27.0459</v>
      </c>
      <c r="Y21" s="21">
        <f>_xll.BDH("NVDA US Equity","NET_INCOME_TO_COMMON_MARGIN","FQ4 2017","FQ4 2017","Currency=USD","Period=FQ","BEST_FPERIOD_OVERRIDE=FQ","FILING_STATUS=MR","FA_ADJUSTED=GAAP","Sort=A","Dates=H","DateFormat=P","Fill=—","Direction=H","UseDPDF=Y")</f>
        <v>30.142700000000001</v>
      </c>
      <c r="Z21" s="21">
        <f>_xll.BDH("NVDA US Equity","NET_INCOME_TO_COMMON_MARGIN","FQ1 2018","FQ1 2018","Currency=USD","Period=FQ","BEST_FPERIOD_OVERRIDE=FQ","FILING_STATUS=MR","FA_ADJUSTED=GAAP","Sort=A","Dates=H","DateFormat=P","Fill=—","Direction=H","UseDPDF=Y")</f>
        <v>26.174499999999998</v>
      </c>
      <c r="AA21" s="21">
        <f>_xll.BDH("NVDA US Equity","NET_INCOME_TO_COMMON_MARGIN","FQ2 2018","FQ2 2018","Currency=USD","Period=FQ","BEST_FPERIOD_OVERRIDE=FQ","FILING_STATUS=MR","FA_ADJUSTED=GAAP","Sort=A","Dates=H","DateFormat=P","Fill=—","Direction=H","UseDPDF=Y")</f>
        <v>26.1435</v>
      </c>
      <c r="AB21" s="21">
        <f>_xll.BDH("NVDA US Equity","NET_INCOME_TO_COMMON_MARGIN","FQ3 2018","FQ3 2018","Currency=USD","Period=FQ","BEST_FPERIOD_OVERRIDE=FQ","FILING_STATUS=MR","FA_ADJUSTED=GAAP","Sort=A","Dates=H","DateFormat=P","Fill=—","Direction=H","UseDPDF=Y")</f>
        <v>31.790600000000001</v>
      </c>
      <c r="AC21" s="21">
        <f>_xll.BDH("NVDA US Equity","NET_INCOME_TO_COMMON_MARGIN","FQ4 2018","FQ4 2018","Currency=USD","Period=FQ","BEST_FPERIOD_OVERRIDE=FQ","FILING_STATUS=MR","FA_ADJUSTED=GAAP","Sort=A","Dates=H","DateFormat=P","Fill=—","Direction=H","UseDPDF=Y")</f>
        <v>38.405999999999999</v>
      </c>
      <c r="AD21" s="21">
        <f>_xll.BDH("NVDA US Equity","NET_INCOME_TO_COMMON_MARGIN","FQ1 2019","FQ1 2019","Currency=USD","Period=FQ","BEST_FPERIOD_OVERRIDE=FQ","FILING_STATUS=MR","FA_ADJUSTED=GAAP","Sort=A","Dates=H","DateFormat=P","Fill=—","Direction=H","UseDPDF=Y")</f>
        <v>38.790100000000002</v>
      </c>
      <c r="AE21" s="21">
        <f>_xll.BDH("NVDA US Equity","NET_INCOME_TO_COMMON_MARGIN","FQ2 2019","FQ2 2019","Currency=USD","Period=FQ","BEST_FPERIOD_OVERRIDE=FQ","FILING_STATUS=MR","FA_ADJUSTED=GAAP","Sort=A","Dates=H","DateFormat=P","Fill=—","Direction=H","UseDPDF=Y")</f>
        <v>35.254600000000003</v>
      </c>
      <c r="AF21" s="21">
        <f>_xll.BDH("NVDA US Equity","NET_INCOME_TO_COMMON_MARGIN","FQ3 2019","FQ3 2019","Currency=USD","Period=FQ","BEST_FPERIOD_OVERRIDE=FQ","FILING_STATUS=MR","FA_ADJUSTED=GAAP","Sort=A","Dates=H","DateFormat=P","Fill=—","Direction=H","UseDPDF=Y")</f>
        <v>38.667099999999998</v>
      </c>
      <c r="AG21" s="21">
        <f>_xll.BDH("NVDA US Equity","NET_INCOME_TO_COMMON_MARGIN","FQ4 2019","FQ4 2019","Currency=USD","Period=FQ","BEST_FPERIOD_OVERRIDE=FQ","FILING_STATUS=MR","FA_ADJUSTED=GAAP","Sort=A","Dates=H","DateFormat=P","Fill=—","Direction=H","UseDPDF=Y")</f>
        <v>25.714300000000001</v>
      </c>
      <c r="AH21" s="21">
        <f>_xll.BDH("NVDA US Equity","NET_INCOME_TO_COMMON_MARGIN","FQ1 2020","FQ1 2020","Currency=USD","Period=FQ","BEST_FPERIOD_OVERRIDE=FQ","FILING_STATUS=MR","FA_ADJUSTED=GAAP","Sort=A","Dates=H","DateFormat=P","Fill=—","Direction=H","UseDPDF=Y")</f>
        <v>17.747700000000002</v>
      </c>
      <c r="AI21" s="21">
        <f>_xll.BDH("NVDA US Equity","NET_INCOME_TO_COMMON_MARGIN","FQ2 2020","FQ2 2020","Currency=USD","Period=FQ","BEST_FPERIOD_OVERRIDE=FQ","FILING_STATUS=MR","FA_ADJUSTED=GAAP","Sort=A","Dates=H","DateFormat=P","Fill=—","Direction=H","UseDPDF=Y")</f>
        <v>21.403600000000001</v>
      </c>
      <c r="AJ21" s="21">
        <f>_xll.BDH("NVDA US Equity","NET_INCOME_TO_COMMON_MARGIN","FQ3 2020","FQ3 2020","Currency=USD","Period=FQ","BEST_FPERIOD_OVERRIDE=FQ","FILING_STATUS=MR","FA_ADJUSTED=GAAP","Sort=A","Dates=H","DateFormat=P","Fill=—","Direction=H","UseDPDF=Y")</f>
        <v>29.827500000000001</v>
      </c>
      <c r="AK21" s="21">
        <f>_xll.BDH("NVDA US Equity","NET_INCOME_TO_COMMON_MARGIN","FQ4 2020","FQ4 2020","Currency=USD","Period=FQ","BEST_FPERIOD_OVERRIDE=FQ","FILING_STATUS=MR","FA_ADJUSTED=GAAP","Sort=A","Dates=H","DateFormat=P","Fill=—","Direction=H","UseDPDF=Y")</f>
        <v>30.595800000000001</v>
      </c>
      <c r="AL21" s="21">
        <f>_xll.BDH("NVDA US Equity","NET_INCOME_TO_COMMON_MARGIN","FQ1 2021","FQ1 2021","Currency=USD","Period=FQ","BEST_FPERIOD_OVERRIDE=FQ","FILING_STATUS=MR","FA_ADJUSTED=GAAP","Sort=A","Dates=H","DateFormat=P","Fill=—","Direction=H","UseDPDF=Y")</f>
        <v>29.7727</v>
      </c>
      <c r="AM21" s="21">
        <f>_xll.BDH("NVDA US Equity","NET_INCOME_TO_COMMON_MARGIN","FQ2 2021","FQ2 2021","Currency=USD","Period=FQ","BEST_FPERIOD_OVERRIDE=FQ","FILING_STATUS=MR","FA_ADJUSTED=GAAP","Sort=A","Dates=H","DateFormat=P","Fill=—","Direction=H","UseDPDF=Y")</f>
        <v>16.088999999999999</v>
      </c>
      <c r="AN21" s="21">
        <f>_xll.BDH("NVDA US Equity","NET_INCOME_TO_COMMON_MARGIN","FQ3 2021","FQ3 2021","Currency=USD","Period=FQ","BEST_FPERIOD_OVERRIDE=FQ","FILING_STATUS=MR","FA_ADJUSTED=GAAP","Sort=A","Dates=H","DateFormat=P","Fill=—","Direction=H","UseDPDF=Y")</f>
        <v>28.269100000000002</v>
      </c>
      <c r="AO21" s="21">
        <f>_xll.BDH("NVDA US Equity","NET_INCOME_TO_COMMON_MARGIN","FQ4 2021","FQ4 2021","Currency=USD","Period=FQ","BEST_FPERIOD_OVERRIDE=FQ","FILING_STATUS=MR","FA_ADJUSTED=GAAP","Sort=A","Dates=H","DateFormat=P","Fill=—","Direction=H","UseDPDF=Y")</f>
        <v>29.122499999999999</v>
      </c>
      <c r="AP21" s="21">
        <f>_xll.BDH("NVDA US Equity","NET_INCOME_TO_COMMON_MARGIN","FQ1 2022","FQ1 2022","Currency=USD","Period=FQ","BEST_FPERIOD_OVERRIDE=FQ","FILING_STATUS=MR","FA_ADJUSTED=GAAP","Sort=A","Dates=H","DateFormat=P","Fill=—","Direction=H","UseDPDF=Y")</f>
        <v>33.774999999999999</v>
      </c>
    </row>
    <row r="22" spans="1:42" x14ac:dyDescent="0.25">
      <c r="A22" s="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</row>
    <row r="23" spans="1:42" x14ac:dyDescent="0.25">
      <c r="A23" s="2" t="s">
        <v>95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x14ac:dyDescent="0.25">
      <c r="A24" s="7" t="s">
        <v>96</v>
      </c>
      <c r="B24" s="7" t="s">
        <v>97</v>
      </c>
      <c r="C24" s="21">
        <f>_xll.BDH("NVDA US Equity","EFF_TAX_RATE","FQ2 2012","FQ2 2012","Currency=USD","Period=FQ","BEST_FPERIOD_OVERRIDE=FQ","FILING_STATUS=MR","FA_ADJUSTED=GAAP","Sort=A","Dates=H","DateFormat=P","Fill=—","Direction=H","UseDPDF=Y")</f>
        <v>14.6294</v>
      </c>
      <c r="D24" s="21">
        <f>_xll.BDH("NVDA US Equity","EFF_TAX_RATE","FQ3 2012","FQ3 2012","Currency=USD","Period=FQ","BEST_FPERIOD_OVERRIDE=FQ","FILING_STATUS=MR","FA_ADJUSTED=GAAP","Sort=A","Dates=H","DateFormat=P","Fill=—","Direction=H","UseDPDF=Y")</f>
        <v>12.947100000000001</v>
      </c>
      <c r="E24" s="21">
        <f>_xll.BDH("NVDA US Equity","EFF_TAX_RATE","FQ4 2012","FQ4 2012","Currency=USD","Period=FQ","BEST_FPERIOD_OVERRIDE=FQ","FILING_STATUS=MR","FA_ADJUSTED=GAAP","Sort=A","Dates=H","DateFormat=P","Fill=—","Direction=H","UseDPDF=Y")</f>
        <v>6.8647999999999998</v>
      </c>
      <c r="F24" s="21">
        <f>_xll.BDH("NVDA US Equity","EFF_TAX_RATE","FQ1 2013","FQ1 2013","Currency=USD","Period=FQ","BEST_FPERIOD_OVERRIDE=FQ","FILING_STATUS=MR","FA_ADJUSTED=GAAP","Sort=A","Dates=H","DateFormat=P","Fill=—","Direction=H","UseDPDF=Y")</f>
        <v>21.607099999999999</v>
      </c>
      <c r="G24" s="21">
        <f>_xll.BDH("NVDA US Equity","EFF_TAX_RATE","FQ2 2013","FQ2 2013","Currency=USD","Period=FQ","BEST_FPERIOD_OVERRIDE=FQ","FILING_STATUS=MR","FA_ADJUSTED=GAAP","Sort=A","Dates=H","DateFormat=P","Fill=—","Direction=H","UseDPDF=Y")</f>
        <v>18.0169</v>
      </c>
      <c r="H24" s="21">
        <f>_xll.BDH("NVDA US Equity","EFF_TAX_RATE","FQ3 2013","FQ3 2013","Currency=USD","Period=FQ","BEST_FPERIOD_OVERRIDE=FQ","FILING_STATUS=MR","FA_ADJUSTED=GAAP","Sort=A","Dates=H","DateFormat=P","Fill=—","Direction=H","UseDPDF=Y")</f>
        <v>17.564299999999999</v>
      </c>
      <c r="I24" s="21">
        <f>_xll.BDH("NVDA US Equity","EFF_TAX_RATE","FQ4 2013","FQ4 2013","Currency=USD","Period=FQ","BEST_FPERIOD_OVERRIDE=FQ","FILING_STATUS=MR","FA_ADJUSTED=GAAP","Sort=A","Dates=H","DateFormat=P","Fill=—","Direction=H","UseDPDF=Y")</f>
        <v>6.5204000000000004</v>
      </c>
      <c r="J24" s="21">
        <f>_xll.BDH("NVDA US Equity","EFF_TAX_RATE","FQ1 2014","FQ1 2014","Currency=USD","Period=FQ","BEST_FPERIOD_OVERRIDE=FQ","FILING_STATUS=MR","FA_ADJUSTED=GAAP","Sort=A","Dates=H","DateFormat=P","Fill=—","Direction=H","UseDPDF=Y")</f>
        <v>11.549799999999999</v>
      </c>
      <c r="K24" s="21">
        <f>_xll.BDH("NVDA US Equity","EFF_TAX_RATE","FQ2 2014","FQ2 2014","Currency=USD","Period=FQ","BEST_FPERIOD_OVERRIDE=FQ","FILING_STATUS=MR","FA_ADJUSTED=GAAP","Sort=A","Dates=H","DateFormat=P","Fill=—","Direction=H","UseDPDF=Y")</f>
        <v>13.7471</v>
      </c>
      <c r="L24" s="21">
        <f>_xll.BDH("NVDA US Equity","EFF_TAX_RATE","FQ3 2014","FQ3 2014","Currency=USD","Period=FQ","BEST_FPERIOD_OVERRIDE=FQ","FILING_STATUS=MR","FA_ADJUSTED=GAAP","Sort=A","Dates=H","DateFormat=P","Fill=—","Direction=H","UseDPDF=Y")</f>
        <v>16.079599999999999</v>
      </c>
      <c r="M24" s="21">
        <f>_xll.BDH("NVDA US Equity","EFF_TAX_RATE","FQ4 2014","FQ4 2014","Currency=USD","Period=FQ","BEST_FPERIOD_OVERRIDE=FQ","FILING_STATUS=MR","FA_ADJUSTED=GAAP","Sort=A","Dates=H","DateFormat=P","Fill=—","Direction=H","UseDPDF=Y")</f>
        <v>13.0092</v>
      </c>
      <c r="N24" s="21">
        <f>_xll.BDH("NVDA US Equity","EFF_TAX_RATE","FQ1 2015","FQ1 2015","Currency=USD","Period=FQ","BEST_FPERIOD_OVERRIDE=FQ","FILING_STATUS=MR","FA_ADJUSTED=GAAP","Sort=A","Dates=H","DateFormat=P","Fill=—","Direction=H","UseDPDF=Y")</f>
        <v>15.950900000000001</v>
      </c>
      <c r="O24" s="21">
        <f>_xll.BDH("NVDA US Equity","EFF_TAX_RATE","FQ2 2015","FQ2 2015","Currency=USD","Period=FQ","BEST_FPERIOD_OVERRIDE=FQ","FILING_STATUS=MR","FA_ADJUSTED=GAAP","Sort=A","Dates=H","DateFormat=P","Fill=—","Direction=H","UseDPDF=Y")</f>
        <v>17.4194</v>
      </c>
      <c r="P24" s="21">
        <f>_xll.BDH("NVDA US Equity","EFF_TAX_RATE","FQ3 2015","FQ3 2015","Currency=USD","Period=FQ","BEST_FPERIOD_OVERRIDE=FQ","FILING_STATUS=MR","FA_ADJUSTED=GAAP","Sort=A","Dates=H","DateFormat=P","Fill=—","Direction=H","UseDPDF=Y")</f>
        <v>17.224900000000002</v>
      </c>
      <c r="Q24" s="21">
        <f>_xll.BDH("NVDA US Equity","EFF_TAX_RATE","FQ4 2015","FQ4 2015","Currency=USD","Period=FQ","BEST_FPERIOD_OVERRIDE=FQ","FILING_STATUS=MR","FA_ADJUSTED=GAAP","Sort=A","Dates=H","DateFormat=P","Fill=—","Direction=H","UseDPDF=Y")</f>
        <v>15.350899999999999</v>
      </c>
      <c r="R24" s="21">
        <f>_xll.BDH("NVDA US Equity","EFF_TAX_RATE","FQ1 2016","FQ1 2016","Currency=USD","Period=FQ","BEST_FPERIOD_OVERRIDE=FQ","FILING_STATUS=MR","FA_ADJUSTED=GAAP","Sort=A","Dates=H","DateFormat=P","Fill=—","Direction=H","UseDPDF=Y")</f>
        <v>22.093</v>
      </c>
      <c r="S24" s="21">
        <f>_xll.BDH("NVDA US Equity","EFF_TAX_RATE","FQ2 2016","FQ2 2016","Currency=USD","Period=FQ","BEST_FPERIOD_OVERRIDE=FQ","FILING_STATUS=MR","FA_ADJUSTED=GAAP","Sort=A","Dates=H","DateFormat=P","Fill=—","Direction=H","UseDPDF=Y")</f>
        <v>63.8889</v>
      </c>
      <c r="T24" s="21" t="str">
        <f>_xll.BDH("NVDA US Equity","EFF_TAX_RATE","FQ3 2016","FQ3 2016","Currency=USD","Period=FQ","BEST_FPERIOD_OVERRIDE=FQ","FILING_STATUS=MR","FA_ADJUSTED=GAAP","Sort=A","Dates=H","DateFormat=P","Fill=—","Direction=H","UseDPDF=Y")</f>
        <v>—</v>
      </c>
      <c r="U24" s="21">
        <f>_xll.BDH("NVDA US Equity","EFF_TAX_RATE","FQ4 2016","FQ4 2016","Currency=USD","Period=FQ","BEST_FPERIOD_OVERRIDE=FQ","FILING_STATUS=MR","FA_ADJUSTED=GAAP","Sort=A","Dates=H","DateFormat=P","Fill=—","Direction=H","UseDPDF=Y")</f>
        <v>18.181799999999999</v>
      </c>
      <c r="V24" s="21">
        <f>_xll.BDH("NVDA US Equity","EFF_TAX_RATE","FQ1 2017","FQ1 2017","Currency=USD","Period=FQ","BEST_FPERIOD_OVERRIDE=FQ","FILING_STATUS=MR","FA_ADJUSTED=GAAP","Sort=A","Dates=H","DateFormat=P","Fill=—","Direction=H","UseDPDF=Y")</f>
        <v>13.6929</v>
      </c>
      <c r="W24" s="21">
        <f>_xll.BDH("NVDA US Equity","EFF_TAX_RATE","FQ2 2017","FQ2 2017","Currency=USD","Period=FQ","BEST_FPERIOD_OVERRIDE=FQ","FILING_STATUS=MR","FA_ADJUSTED=GAAP","Sort=A","Dates=H","DateFormat=P","Fill=—","Direction=H","UseDPDF=Y")</f>
        <v>17.665600000000001</v>
      </c>
      <c r="X24" s="21">
        <f>_xll.BDH("NVDA US Equity","EFF_TAX_RATE","FQ3 2017","FQ3 2017","Currency=USD","Period=FQ","BEST_FPERIOD_OVERRIDE=FQ","FILING_STATUS=MR","FA_ADJUSTED=GAAP","Sort=A","Dates=H","DateFormat=P","Fill=—","Direction=H","UseDPDF=Y")</f>
        <v>12.721399999999999</v>
      </c>
      <c r="Y24" s="21">
        <f>_xll.BDH("NVDA US Equity","EFF_TAX_RATE","FQ4 2017","FQ4 2017","Currency=USD","Period=FQ","BEST_FPERIOD_OVERRIDE=FQ","FILING_STATUS=MR","FA_ADJUSTED=GAAP","Sort=A","Dates=H","DateFormat=P","Fill=—","Direction=H","UseDPDF=Y")</f>
        <v>9.7796000000000003</v>
      </c>
      <c r="Z24" s="21">
        <f>_xll.BDH("NVDA US Equity","EFF_TAX_RATE","FQ1 2018","FQ1 2018","Currency=USD","Period=FQ","BEST_FPERIOD_OVERRIDE=FQ","FILING_STATUS=MR","FA_ADJUSTED=GAAP","Sort=A","Dates=H","DateFormat=P","Fill=—","Direction=H","UseDPDF=Y")</f>
        <v>5.4104000000000001</v>
      </c>
      <c r="AA24" s="21">
        <f>_xll.BDH("NVDA US Equity","EFF_TAX_RATE","FQ2 2018","FQ2 2018","Currency=USD","Period=FQ","BEST_FPERIOD_OVERRIDE=FQ","FILING_STATUS=MR","FA_ADJUSTED=GAAP","Sort=A","Dates=H","DateFormat=P","Fill=—","Direction=H","UseDPDF=Y")</f>
        <v>14.7661</v>
      </c>
      <c r="AB24" s="21">
        <f>_xll.BDH("NVDA US Equity","EFF_TAX_RATE","FQ3 2018","FQ3 2018","Currency=USD","Period=FQ","BEST_FPERIOD_OVERRIDE=FQ","FILING_STATUS=MR","FA_ADJUSTED=GAAP","Sort=A","Dates=H","DateFormat=P","Fill=—","Direction=H","UseDPDF=Y")</f>
        <v>6.4732000000000003</v>
      </c>
      <c r="AC24" s="21" t="str">
        <f>_xll.BDH("NVDA US Equity","EFF_TAX_RATE","FQ4 2018","FQ4 2018","Currency=USD","Period=FQ","BEST_FPERIOD_OVERRIDE=FQ","FILING_STATUS=MR","FA_ADJUSTED=GAAP","Sort=A","Dates=H","DateFormat=P","Fill=—","Direction=H","UseDPDF=Y")</f>
        <v>—</v>
      </c>
      <c r="AD24" s="21">
        <f>_xll.BDH("NVDA US Equity","EFF_TAX_RATE","FQ1 2019","FQ1 2019","Currency=USD","Period=FQ","BEST_FPERIOD_OVERRIDE=FQ","FILING_STATUS=MR","FA_ADJUSTED=GAAP","Sort=A","Dates=H","DateFormat=P","Fill=—","Direction=H","UseDPDF=Y")</f>
        <v>5.1105999999999998</v>
      </c>
      <c r="AE24" s="21">
        <f>_xll.BDH("NVDA US Equity","EFF_TAX_RATE","FQ2 2019","FQ2 2019","Currency=USD","Period=FQ","BEST_FPERIOD_OVERRIDE=FQ","FILING_STATUS=MR","FA_ADJUSTED=GAAP","Sort=A","Dates=H","DateFormat=P","Fill=—","Direction=H","UseDPDF=Y")</f>
        <v>6.6948999999999996</v>
      </c>
      <c r="AF24" s="21" t="str">
        <f>_xll.BDH("NVDA US Equity","EFF_TAX_RATE","FQ3 2019","FQ3 2019","Currency=USD","Period=FQ","BEST_FPERIOD_OVERRIDE=FQ","FILING_STATUS=MR","FA_ADJUSTED=GAAP","Sort=A","Dates=H","DateFormat=P","Fill=—","Direction=H","UseDPDF=Y")</f>
        <v>—</v>
      </c>
      <c r="AG24" s="21" t="str">
        <f>_xll.BDH("NVDA US Equity","EFF_TAX_RATE","FQ4 2019","FQ4 2019","Currency=USD","Period=FQ","BEST_FPERIOD_OVERRIDE=FQ","FILING_STATUS=MR","FA_ADJUSTED=GAAP","Sort=A","Dates=H","DateFormat=P","Fill=—","Direction=H","UseDPDF=Y")</f>
        <v>—</v>
      </c>
      <c r="AH24" s="21" t="str">
        <f>_xll.BDH("NVDA US Equity","EFF_TAX_RATE","FQ1 2020","FQ1 2020","Currency=USD","Period=FQ","BEST_FPERIOD_OVERRIDE=FQ","FILING_STATUS=MR","FA_ADJUSTED=GAAP","Sort=A","Dates=H","DateFormat=P","Fill=—","Direction=H","UseDPDF=Y")</f>
        <v>—</v>
      </c>
      <c r="AI24" s="21">
        <f>_xll.BDH("NVDA US Equity","EFF_TAX_RATE","FQ2 2020","FQ2 2020","Currency=USD","Period=FQ","BEST_FPERIOD_OVERRIDE=FQ","FILING_STATUS=MR","FA_ADJUSTED=GAAP","Sort=A","Dates=H","DateFormat=P","Fill=—","Direction=H","UseDPDF=Y")</f>
        <v>8.9108999999999998</v>
      </c>
      <c r="AJ24" s="21">
        <f>_xll.BDH("NVDA US Equity","EFF_TAX_RATE","FQ3 2020","FQ3 2020","Currency=USD","Period=FQ","BEST_FPERIOD_OVERRIDE=FQ","FILING_STATUS=MR","FA_ADJUSTED=GAAP","Sort=A","Dates=H","DateFormat=P","Fill=—","Direction=H","UseDPDF=Y")</f>
        <v>6.2565</v>
      </c>
      <c r="AK24" s="21">
        <f>_xll.BDH("NVDA US Equity","EFF_TAX_RATE","FQ4 2020","FQ4 2020","Currency=USD","Period=FQ","BEST_FPERIOD_OVERRIDE=FQ","FILING_STATUS=MR","FA_ADJUSTED=GAAP","Sort=A","Dates=H","DateFormat=P","Fill=—","Direction=H","UseDPDF=Y")</f>
        <v>6.4961000000000002</v>
      </c>
      <c r="AL24" s="21">
        <f>_xll.BDH("NVDA US Equity","EFF_TAX_RATE","FQ1 2021","FQ1 2021","Currency=USD","Period=FQ","BEST_FPERIOD_OVERRIDE=FQ","FILING_STATUS=MR","FA_ADJUSTED=GAAP","Sort=A","Dates=H","DateFormat=P","Fill=—","Direction=H","UseDPDF=Y")</f>
        <v>6.524</v>
      </c>
      <c r="AM24" s="21" t="str">
        <f>_xll.BDH("NVDA US Equity","EFF_TAX_RATE","FQ2 2021","FQ2 2021","Currency=USD","Period=FQ","BEST_FPERIOD_OVERRIDE=FQ","FILING_STATUS=MR","FA_ADJUSTED=GAAP","Sort=A","Dates=H","DateFormat=P","Fill=—","Direction=H","UseDPDF=Y")</f>
        <v>—</v>
      </c>
      <c r="AN24" s="21">
        <f>_xll.BDH("NVDA US Equity","EFF_TAX_RATE","FQ3 2021","FQ3 2021","Currency=USD","Period=FQ","BEST_FPERIOD_OVERRIDE=FQ","FILING_STATUS=MR","FA_ADJUSTED=GAAP","Sort=A","Dates=H","DateFormat=P","Fill=—","Direction=H","UseDPDF=Y")</f>
        <v>0.89019999999999999</v>
      </c>
      <c r="AO24" s="21">
        <f>_xll.BDH("NVDA US Equity","EFF_TAX_RATE","FQ4 2021","FQ4 2021","Currency=USD","Period=FQ","BEST_FPERIOD_OVERRIDE=FQ","FILING_STATUS=MR","FA_ADJUSTED=GAAP","Sort=A","Dates=H","DateFormat=P","Fill=—","Direction=H","UseDPDF=Y")</f>
        <v>0.88439999999999996</v>
      </c>
      <c r="AP24" s="21">
        <f>_xll.BDH("NVDA US Equity","EFF_TAX_RATE","FQ1 2022","FQ1 2022","Currency=USD","Period=FQ","BEST_FPERIOD_OVERRIDE=FQ","FILING_STATUS=MR","FA_ADJUSTED=GAAP","Sort=A","Dates=H","DateFormat=P","Fill=—","Direction=H","UseDPDF=Y")</f>
        <v>6.4579000000000004</v>
      </c>
    </row>
    <row r="25" spans="1:42" x14ac:dyDescent="0.25">
      <c r="A25" s="7" t="s">
        <v>98</v>
      </c>
      <c r="B25" s="7" t="s">
        <v>99</v>
      </c>
      <c r="C25" s="21">
        <f>_xll.BDH("NVDA US Equity","DVD_PAYOUT_RATIO","FQ2 2012","FQ2 2012","Currency=USD","Period=FQ","BEST_FPERIOD_OVERRIDE=FQ","FILING_STATUS=MR","FA_ADJUSTED=GAAP","Sort=A","Dates=H","DateFormat=P","Fill=—","Direction=H","UseDPDF=Y")</f>
        <v>0</v>
      </c>
      <c r="D25" s="21">
        <f>_xll.BDH("NVDA US Equity","DVD_PAYOUT_RATIO","FQ3 2012","FQ3 2012","Currency=USD","Period=FQ","BEST_FPERIOD_OVERRIDE=FQ","FILING_STATUS=MR","FA_ADJUSTED=GAAP","Sort=A","Dates=H","DateFormat=P","Fill=—","Direction=H","UseDPDF=Y")</f>
        <v>0</v>
      </c>
      <c r="E25" s="21">
        <f>_xll.BDH("NVDA US Equity","DVD_PAYOUT_RATIO","FQ4 2012","FQ4 2012","Currency=USD","Period=FQ","BEST_FPERIOD_OVERRIDE=FQ","FILING_STATUS=MR","FA_ADJUSTED=GAAP","Sort=A","Dates=H","DateFormat=P","Fill=—","Direction=H","UseDPDF=Y")</f>
        <v>0</v>
      </c>
      <c r="F25" s="21">
        <f>_xll.BDH("NVDA US Equity","DVD_PAYOUT_RATIO","FQ1 2013","FQ1 2013","Currency=USD","Period=FQ","BEST_FPERIOD_OVERRIDE=FQ","FILING_STATUS=MR","FA_ADJUSTED=GAAP","Sort=A","Dates=H","DateFormat=P","Fill=—","Direction=H","UseDPDF=Y")</f>
        <v>0</v>
      </c>
      <c r="G25" s="21">
        <f>_xll.BDH("NVDA US Equity","DVD_PAYOUT_RATIO","FQ2 2013","FQ2 2013","Currency=USD","Period=FQ","BEST_FPERIOD_OVERRIDE=FQ","FILING_STATUS=MR","FA_ADJUSTED=GAAP","Sort=A","Dates=H","DateFormat=P","Fill=—","Direction=H","UseDPDF=Y")</f>
        <v>0</v>
      </c>
      <c r="H25" s="21">
        <f>_xll.BDH("NVDA US Equity","DVD_PAYOUT_RATIO","FQ3 2013","FQ3 2013","Currency=USD","Period=FQ","BEST_FPERIOD_OVERRIDE=FQ","FILING_STATUS=MR","FA_ADJUSTED=GAAP","Sort=A","Dates=H","DateFormat=P","Fill=—","Direction=H","UseDPDF=Y")</f>
        <v>0</v>
      </c>
      <c r="I25" s="21">
        <f>_xll.BDH("NVDA US Equity","DVD_PAYOUT_RATIO","FQ4 2013","FQ4 2013","Currency=USD","Period=FQ","BEST_FPERIOD_OVERRIDE=FQ","FILING_STATUS=MR","FA_ADJUSTED=GAAP","Sort=A","Dates=H","DateFormat=P","Fill=—","Direction=H","UseDPDF=Y")</f>
        <v>0</v>
      </c>
      <c r="J25" s="21">
        <f>_xll.BDH("NVDA US Equity","DVD_PAYOUT_RATIO","FQ1 2014","FQ1 2014","Currency=USD","Period=FQ","BEST_FPERIOD_OVERRIDE=FQ","FILING_STATUS=MR","FA_ADJUSTED=GAAP","Sort=A","Dates=H","DateFormat=P","Fill=—","Direction=H","UseDPDF=Y")</f>
        <v>59.442</v>
      </c>
      <c r="K25" s="21">
        <f>_xll.BDH("NVDA US Equity","DVD_PAYOUT_RATIO","FQ2 2014","FQ2 2014","Currency=USD","Period=FQ","BEST_FPERIOD_OVERRIDE=FQ","FILING_STATUS=MR","FA_ADJUSTED=GAAP","Sort=A","Dates=H","DateFormat=P","Fill=—","Direction=H","UseDPDF=Y")</f>
        <v>44.8947</v>
      </c>
      <c r="L25" s="21">
        <f>_xll.BDH("NVDA US Equity","DVD_PAYOUT_RATIO","FQ3 2014","FQ3 2014","Currency=USD","Period=FQ","BEST_FPERIOD_OVERRIDE=FQ","FILING_STATUS=MR","FA_ADJUSTED=GAAP","Sort=A","Dates=H","DateFormat=P","Fill=—","Direction=H","UseDPDF=Y")</f>
        <v>36.691499999999998</v>
      </c>
      <c r="M25" s="21">
        <f>_xll.BDH("NVDA US Equity","DVD_PAYOUT_RATIO","FQ4 2014","FQ4 2014","Currency=USD","Period=FQ","BEST_FPERIOD_OVERRIDE=FQ","FILING_STATUS=MR","FA_ADJUSTED=GAAP","Sort=A","Dates=H","DateFormat=P","Fill=—","Direction=H","UseDPDF=Y")</f>
        <v>32.671500000000002</v>
      </c>
      <c r="N25" s="21">
        <f>_xll.BDH("NVDA US Equity","DVD_PAYOUT_RATIO","FQ1 2015","FQ1 2015","Currency=USD","Period=FQ","BEST_FPERIOD_OVERRIDE=FQ","FILING_STATUS=MR","FA_ADJUSTED=GAAP","Sort=A","Dates=H","DateFormat=P","Fill=—","Direction=H","UseDPDF=Y")</f>
        <v>34.087600000000002</v>
      </c>
      <c r="O25" s="21">
        <f>_xll.BDH("NVDA US Equity","DVD_PAYOUT_RATIO","FQ2 2015","FQ2 2015","Currency=USD","Period=FQ","BEST_FPERIOD_OVERRIDE=FQ","FILING_STATUS=MR","FA_ADJUSTED=GAAP","Sort=A","Dates=H","DateFormat=P","Fill=—","Direction=H","UseDPDF=Y")</f>
        <v>37.031300000000002</v>
      </c>
      <c r="P25" s="21">
        <f>_xll.BDH("NVDA US Equity","DVD_PAYOUT_RATIO","FQ3 2015","FQ3 2015","Currency=USD","Period=FQ","BEST_FPERIOD_OVERRIDE=FQ","FILING_STATUS=MR","FA_ADJUSTED=GAAP","Sort=A","Dates=H","DateFormat=P","Fill=—","Direction=H","UseDPDF=Y")</f>
        <v>26.647400000000001</v>
      </c>
      <c r="Q25" s="21">
        <f>_xll.BDH("NVDA US Equity","DVD_PAYOUT_RATIO","FQ4 2015","FQ4 2015","Currency=USD","Period=FQ","BEST_FPERIOD_OVERRIDE=FQ","FILING_STATUS=MR","FA_ADJUSTED=GAAP","Sort=A","Dates=H","DateFormat=P","Fill=—","Direction=H","UseDPDF=Y")</f>
        <v>23.834199999999999</v>
      </c>
      <c r="R25" s="21">
        <f>_xll.BDH("NVDA US Equity","DVD_PAYOUT_RATIO","FQ1 2016","FQ1 2016","Currency=USD","Period=FQ","BEST_FPERIOD_OVERRIDE=FQ","FILING_STATUS=MR","FA_ADJUSTED=GAAP","Sort=A","Dates=H","DateFormat=P","Fill=—","Direction=H","UseDPDF=Y")</f>
        <v>34.328400000000002</v>
      </c>
      <c r="S25" s="21">
        <f>_xll.BDH("NVDA US Equity","DVD_PAYOUT_RATIO","FQ2 2016","FQ2 2016","Currency=USD","Period=FQ","BEST_FPERIOD_OVERRIDE=FQ","FILING_STATUS=MR","FA_ADJUSTED=GAAP","Sort=A","Dates=H","DateFormat=P","Fill=—","Direction=H","UseDPDF=Y")</f>
        <v>200</v>
      </c>
      <c r="T25" s="21">
        <f>_xll.BDH("NVDA US Equity","DVD_PAYOUT_RATIO","FQ3 2016","FQ3 2016","Currency=USD","Period=FQ","BEST_FPERIOD_OVERRIDE=FQ","FILING_STATUS=MR","FA_ADJUSTED=GAAP","Sort=A","Dates=H","DateFormat=P","Fill=—","Direction=H","UseDPDF=Y")</f>
        <v>21.544699999999999</v>
      </c>
      <c r="U25" s="21">
        <f>_xll.BDH("NVDA US Equity","DVD_PAYOUT_RATIO","FQ4 2016","FQ4 2016","Currency=USD","Period=FQ","BEST_FPERIOD_OVERRIDE=FQ","FILING_STATUS=MR","FA_ADJUSTED=GAAP","Sort=A","Dates=H","DateFormat=P","Fill=—","Direction=H","UseDPDF=Y")</f>
        <v>29.468599999999999</v>
      </c>
      <c r="V25" s="21">
        <f>_xll.BDH("NVDA US Equity","DVD_PAYOUT_RATIO","FQ1 2017","FQ1 2017","Currency=USD","Period=FQ","BEST_FPERIOD_OVERRIDE=FQ","FILING_STATUS=MR","FA_ADJUSTED=GAAP","Sort=A","Dates=H","DateFormat=P","Fill=—","Direction=H","UseDPDF=Y")</f>
        <v>29.807700000000001</v>
      </c>
      <c r="W25" s="21">
        <f>_xll.BDH("NVDA US Equity","DVD_PAYOUT_RATIO","FQ2 2017","FQ2 2017","Currency=USD","Period=FQ","BEST_FPERIOD_OVERRIDE=FQ","FILING_STATUS=MR","FA_ADJUSTED=GAAP","Sort=A","Dates=H","DateFormat=P","Fill=—","Direction=H","UseDPDF=Y")</f>
        <v>23.754799999999999</v>
      </c>
      <c r="X25" s="21">
        <f>_xll.BDH("NVDA US Equity","DVD_PAYOUT_RATIO","FQ3 2017","FQ3 2017","Currency=USD","Period=FQ","BEST_FPERIOD_OVERRIDE=FQ","FILING_STATUS=MR","FA_ADJUSTED=GAAP","Sort=A","Dates=H","DateFormat=P","Fill=—","Direction=H","UseDPDF=Y")</f>
        <v>11.2546</v>
      </c>
      <c r="Y25" s="21">
        <f>_xll.BDH("NVDA US Equity","DVD_PAYOUT_RATIO","FQ4 2017","FQ4 2017","Currency=USD","Period=FQ","BEST_FPERIOD_OVERRIDE=FQ","FILING_STATUS=MR","FA_ADJUSTED=GAAP","Sort=A","Dates=H","DateFormat=P","Fill=—","Direction=H","UseDPDF=Y")</f>
        <v>11.6031</v>
      </c>
      <c r="Z25" s="21">
        <f>_xll.BDH("NVDA US Equity","DVD_PAYOUT_RATIO","FQ1 2018","FQ1 2018","Currency=USD","Period=FQ","BEST_FPERIOD_OVERRIDE=FQ","FILING_STATUS=MR","FA_ADJUSTED=GAAP","Sort=A","Dates=H","DateFormat=P","Fill=—","Direction=H","UseDPDF=Y")</f>
        <v>16.1736</v>
      </c>
      <c r="AA25" s="21">
        <f>_xll.BDH("NVDA US Equity","DVD_PAYOUT_RATIO","FQ2 2018","FQ2 2018","Currency=USD","Period=FQ","BEST_FPERIOD_OVERRIDE=FQ","FILING_STATUS=MR","FA_ADJUSTED=GAAP","Sort=A","Dates=H","DateFormat=P","Fill=—","Direction=H","UseDPDF=Y")</f>
        <v>14.408200000000001</v>
      </c>
      <c r="AB25" s="21">
        <f>_xll.BDH("NVDA US Equity","DVD_PAYOUT_RATIO","FQ3 2018","FQ3 2018","Currency=USD","Period=FQ","BEST_FPERIOD_OVERRIDE=FQ","FILING_STATUS=MR","FA_ADJUSTED=GAAP","Sort=A","Dates=H","DateFormat=P","Fill=—","Direction=H","UseDPDF=Y")</f>
        <v>10.023899999999999</v>
      </c>
      <c r="AC25" s="21">
        <f>_xll.BDH("NVDA US Equity","DVD_PAYOUT_RATIO","FQ4 2018","FQ4 2018","Currency=USD","Period=FQ","BEST_FPERIOD_OVERRIDE=FQ","FILING_STATUS=MR","FA_ADJUSTED=GAAP","Sort=A","Dates=H","DateFormat=P","Fill=—","Direction=H","UseDPDF=Y")</f>
        <v>8.1395</v>
      </c>
      <c r="AD25" s="21">
        <f>_xll.BDH("NVDA US Equity","DVD_PAYOUT_RATIO","FQ1 2019","FQ1 2019","Currency=USD","Period=FQ","BEST_FPERIOD_OVERRIDE=FQ","FILING_STATUS=MR","FA_ADJUSTED=GAAP","Sort=A","Dates=H","DateFormat=P","Fill=—","Direction=H","UseDPDF=Y")</f>
        <v>7.3151000000000002</v>
      </c>
      <c r="AE25" s="21">
        <f>_xll.BDH("NVDA US Equity","DVD_PAYOUT_RATIO","FQ2 2019","FQ2 2019","Currency=USD","Period=FQ","BEST_FPERIOD_OVERRIDE=FQ","FILING_STATUS=MR","FA_ADJUSTED=GAAP","Sort=A","Dates=H","DateFormat=P","Fill=—","Direction=H","UseDPDF=Y")</f>
        <v>8.2698</v>
      </c>
      <c r="AF25" s="21">
        <f>_xll.BDH("NVDA US Equity","DVD_PAYOUT_RATIO","FQ3 2019","FQ3 2019","Currency=USD","Period=FQ","BEST_FPERIOD_OVERRIDE=FQ","FILING_STATUS=MR","FA_ADJUSTED=GAAP","Sort=A","Dates=H","DateFormat=P","Fill=—","Direction=H","UseDPDF=Y")</f>
        <v>7.3983999999999996</v>
      </c>
      <c r="AG25" s="21">
        <f>_xll.BDH("NVDA US Equity","DVD_PAYOUT_RATIO","FQ4 2019","FQ4 2019","Currency=USD","Period=FQ","BEST_FPERIOD_OVERRIDE=FQ","FILING_STATUS=MR","FA_ADJUSTED=GAAP","Sort=A","Dates=H","DateFormat=P","Fill=—","Direction=H","UseDPDF=Y")</f>
        <v>17.283999999999999</v>
      </c>
      <c r="AH25" s="21">
        <f>_xll.BDH("NVDA US Equity","DVD_PAYOUT_RATIO","FQ1 2020","FQ1 2020","Currency=USD","Period=FQ","BEST_FPERIOD_OVERRIDE=FQ","FILING_STATUS=MR","FA_ADJUSTED=GAAP","Sort=A","Dates=H","DateFormat=P","Fill=—","Direction=H","UseDPDF=Y")</f>
        <v>24.619299999999999</v>
      </c>
      <c r="AI25" s="21">
        <f>_xll.BDH("NVDA US Equity","DVD_PAYOUT_RATIO","FQ2 2020","FQ2 2020","Currency=USD","Period=FQ","BEST_FPERIOD_OVERRIDE=FQ","FILING_STATUS=MR","FA_ADJUSTED=GAAP","Sort=A","Dates=H","DateFormat=P","Fill=—","Direction=H","UseDPDF=Y")</f>
        <v>17.572500000000002</v>
      </c>
      <c r="AJ25" s="21">
        <f>_xll.BDH("NVDA US Equity","DVD_PAYOUT_RATIO","FQ3 2020","FQ3 2020","Currency=USD","Period=FQ","BEST_FPERIOD_OVERRIDE=FQ","FILING_STATUS=MR","FA_ADJUSTED=GAAP","Sort=A","Dates=H","DateFormat=P","Fill=—","Direction=H","UseDPDF=Y")</f>
        <v>10.8565</v>
      </c>
      <c r="AK25" s="21">
        <f>_xll.BDH("NVDA US Equity","DVD_PAYOUT_RATIO","FQ4 2020","FQ4 2020","Currency=USD","Period=FQ","BEST_FPERIOD_OVERRIDE=FQ","FILING_STATUS=MR","FA_ADJUSTED=GAAP","Sort=A","Dates=H","DateFormat=P","Fill=—","Direction=H","UseDPDF=Y")</f>
        <v>10.307399999999999</v>
      </c>
      <c r="AL25" s="21">
        <f>_xll.BDH("NVDA US Equity","DVD_PAYOUT_RATIO","FQ1 2021","FQ1 2021","Currency=USD","Period=FQ","BEST_FPERIOD_OVERRIDE=FQ","FILING_STATUS=MR","FA_ADJUSTED=GAAP","Sort=A","Dates=H","DateFormat=P","Fill=—","Direction=H","UseDPDF=Y")</f>
        <v>10.713200000000001</v>
      </c>
      <c r="AM25" s="21">
        <f>_xll.BDH("NVDA US Equity","DVD_PAYOUT_RATIO","FQ2 2021","FQ2 2021","Currency=USD","Period=FQ","BEST_FPERIOD_OVERRIDE=FQ","FILING_STATUS=MR","FA_ADJUSTED=GAAP","Sort=A","Dates=H","DateFormat=P","Fill=—","Direction=H","UseDPDF=Y")</f>
        <v>15.916399999999999</v>
      </c>
      <c r="AN25" s="21">
        <f>_xll.BDH("NVDA US Equity","DVD_PAYOUT_RATIO","FQ3 2021","FQ3 2021","Currency=USD","Period=FQ","BEST_FPERIOD_OVERRIDE=FQ","FILING_STATUS=MR","FA_ADJUSTED=GAAP","Sort=A","Dates=H","DateFormat=P","Fill=—","Direction=H","UseDPDF=Y")</f>
        <v>7.4101999999999997</v>
      </c>
      <c r="AO25" s="21">
        <f>_xll.BDH("NVDA US Equity","DVD_PAYOUT_RATIO","FQ4 2021","FQ4 2021","Currency=USD","Period=FQ","BEST_FPERIOD_OVERRIDE=FQ","FILING_STATUS=MR","FA_ADJUSTED=GAAP","Sort=A","Dates=H","DateFormat=P","Fill=—","Direction=H","UseDPDF=Y")</f>
        <v>6.7948000000000004</v>
      </c>
      <c r="AP25" s="21">
        <f>_xll.BDH("NVDA US Equity","DVD_PAYOUT_RATIO","FQ1 2022","FQ1 2022","Currency=USD","Period=FQ","BEST_FPERIOD_OVERRIDE=FQ","FILING_STATUS=MR","FA_ADJUSTED=GAAP","Sort=A","Dates=H","DateFormat=P","Fill=—","Direction=H","UseDPDF=Y")</f>
        <v>5.1778000000000004</v>
      </c>
    </row>
    <row r="26" spans="1:42" x14ac:dyDescent="0.25">
      <c r="A26" s="7" t="s">
        <v>180</v>
      </c>
      <c r="B26" s="7" t="s">
        <v>179</v>
      </c>
      <c r="C26" s="21">
        <f>_xll.BDH("NVDA US Equity","SUSTAIN_GROWTH_RT","FQ2 2012","FQ2 2012","Currency=USD","Period=FQ","BEST_FPERIOD_OVERRIDE=FQ","FILING_STATUS=MR","FA_ADJUSTED=GAAP","Sort=A","Dates=H","DateFormat=P","Fill=—","Direction=H","UseDPDF=Y")</f>
        <v>16.846699999999998</v>
      </c>
      <c r="D26" s="21">
        <f>_xll.BDH("NVDA US Equity","SUSTAIN_GROWTH_RT","FQ3 2012","FQ3 2012","Currency=USD","Period=FQ","BEST_FPERIOD_OVERRIDE=FQ","FILING_STATUS=MR","FA_ADJUSTED=GAAP","Sort=A","Dates=H","DateFormat=P","Fill=—","Direction=H","UseDPDF=Y")</f>
        <v>18.532499999999999</v>
      </c>
      <c r="E26" s="21">
        <f>_xll.BDH("NVDA US Equity","SUSTAIN_GROWTH_RT","FQ4 2012","FQ4 2012","Currency=USD","Period=FQ","BEST_FPERIOD_OVERRIDE=FQ","FILING_STATUS=MR","FA_ADJUSTED=GAAP","Sort=A","Dates=H","DateFormat=P","Fill=—","Direction=H","UseDPDF=Y")</f>
        <v>15.8612</v>
      </c>
      <c r="F26" s="21">
        <f>_xll.BDH("NVDA US Equity","SUSTAIN_GROWTH_RT","FQ1 2013","FQ1 2013","Currency=USD","Period=FQ","BEST_FPERIOD_OVERRIDE=FQ","FILING_STATUS=MR","FA_ADJUSTED=GAAP","Sort=A","Dates=H","DateFormat=P","Fill=—","Direction=H","UseDPDF=Y")</f>
        <v>13.090999999999999</v>
      </c>
      <c r="G26" s="21">
        <f>_xll.BDH("NVDA US Equity","SUSTAIN_GROWTH_RT","FQ2 2013","FQ2 2013","Currency=USD","Period=FQ","BEST_FPERIOD_OVERRIDE=FQ","FILING_STATUS=MR","FA_ADJUSTED=GAAP","Sort=A","Dates=H","DateFormat=P","Fill=—","Direction=H","UseDPDF=Y")</f>
        <v>11.6363</v>
      </c>
      <c r="H26" s="21">
        <f>_xll.BDH("NVDA US Equity","SUSTAIN_GROWTH_RT","FQ3 2013","FQ3 2013","Currency=USD","Period=FQ","BEST_FPERIOD_OVERRIDE=FQ","FILING_STATUS=MR","FA_ADJUSTED=GAAP","Sort=A","Dates=H","DateFormat=P","Fill=—","Direction=H","UseDPDF=Y")</f>
        <v>11.604699999999999</v>
      </c>
      <c r="I26" s="21">
        <f>_xll.BDH("NVDA US Equity","SUSTAIN_GROWTH_RT","FQ4 2013","FQ4 2013","Currency=USD","Period=FQ","BEST_FPERIOD_OVERRIDE=FQ","FILING_STATUS=MR","FA_ADJUSTED=GAAP","Sort=A","Dates=H","DateFormat=P","Fill=—","Direction=H","UseDPDF=Y")</f>
        <v>12.537800000000001</v>
      </c>
      <c r="J26" s="21">
        <f>_xll.BDH("NVDA US Equity","SUSTAIN_GROWTH_RT","FQ1 2014","FQ1 2014","Currency=USD","Period=FQ","BEST_FPERIOD_OVERRIDE=FQ","FILING_STATUS=MR","FA_ADJUSTED=GAAP","Sort=A","Dates=H","DateFormat=P","Fill=—","Direction=H","UseDPDF=Y")</f>
        <v>5.1628999999999996</v>
      </c>
      <c r="K26" s="21">
        <f>_xll.BDH("NVDA US Equity","SUSTAIN_GROWTH_RT","FQ2 2014","FQ2 2014","Currency=USD","Period=FQ","BEST_FPERIOD_OVERRIDE=FQ","FILING_STATUS=MR","FA_ADJUSTED=GAAP","Sort=A","Dates=H","DateFormat=P","Fill=—","Direction=H","UseDPDF=Y")</f>
        <v>7.1216999999999997</v>
      </c>
      <c r="L26" s="21">
        <f>_xll.BDH("NVDA US Equity","SUSTAIN_GROWTH_RT","FQ3 2014","FQ3 2014","Currency=USD","Period=FQ","BEST_FPERIOD_OVERRIDE=FQ","FILING_STATUS=MR","FA_ADJUSTED=GAAP","Sort=A","Dates=H","DateFormat=P","Fill=—","Direction=H","UseDPDF=Y")</f>
        <v>6.5391000000000004</v>
      </c>
      <c r="M26" s="21">
        <f>_xll.BDH("NVDA US Equity","SUSTAIN_GROWTH_RT","FQ4 2014","FQ4 2014","Currency=USD","Period=FQ","BEST_FPERIOD_OVERRIDE=FQ","FILING_STATUS=MR","FA_ADJUSTED=GAAP","Sort=A","Dates=H","DateFormat=P","Fill=—","Direction=H","UseDPDF=Y")</f>
        <v>6.3815999999999997</v>
      </c>
      <c r="N26" s="21">
        <f>_xll.BDH("NVDA US Equity","SUSTAIN_GROWTH_RT","FQ1 2015","FQ1 2015","Currency=USD","Period=FQ","BEST_FPERIOD_OVERRIDE=FQ","FILING_STATUS=MR","FA_ADJUSTED=GAAP","Sort=A","Dates=H","DateFormat=P","Fill=—","Direction=H","UseDPDF=Y")</f>
        <v>7.3170000000000002</v>
      </c>
      <c r="O26" s="21">
        <f>_xll.BDH("NVDA US Equity","SUSTAIN_GROWTH_RT","FQ2 2015","FQ2 2015","Currency=USD","Period=FQ","BEST_FPERIOD_OVERRIDE=FQ","FILING_STATUS=MR","FA_ADJUSTED=GAAP","Sort=A","Dates=H","DateFormat=P","Fill=—","Direction=H","UseDPDF=Y")</f>
        <v>7.8836000000000004</v>
      </c>
      <c r="P26" s="21">
        <f>_xll.BDH("NVDA US Equity","SUSTAIN_GROWTH_RT","FQ3 2015","FQ3 2015","Currency=USD","Period=FQ","BEST_FPERIOD_OVERRIDE=FQ","FILING_STATUS=MR","FA_ADJUSTED=GAAP","Sort=A","Dates=H","DateFormat=P","Fill=—","Direction=H","UseDPDF=Y")</f>
        <v>10.0654</v>
      </c>
      <c r="Q26" s="21">
        <f>_xll.BDH("NVDA US Equity","SUSTAIN_GROWTH_RT","FQ4 2015","FQ4 2015","Currency=USD","Period=FQ","BEST_FPERIOD_OVERRIDE=FQ","FILING_STATUS=MR","FA_ADJUSTED=GAAP","Sort=A","Dates=H","DateFormat=P","Fill=—","Direction=H","UseDPDF=Y")</f>
        <v>10.831300000000001</v>
      </c>
      <c r="R26" s="21">
        <f>_xll.BDH("NVDA US Equity","SUSTAIN_GROWTH_RT","FQ1 2016","FQ1 2016","Currency=USD","Period=FQ","BEST_FPERIOD_OVERRIDE=FQ","FILING_STATUS=MR","FA_ADJUSTED=GAAP","Sort=A","Dates=H","DateFormat=P","Fill=—","Direction=H","UseDPDF=Y")</f>
        <v>9.4558999999999997</v>
      </c>
      <c r="S26" s="21">
        <f>_xll.BDH("NVDA US Equity","SUSTAIN_GROWTH_RT","FQ2 2016","FQ2 2016","Currency=USD","Period=FQ","BEST_FPERIOD_OVERRIDE=FQ","FILING_STATUS=MR","FA_ADJUSTED=GAAP","Sort=A","Dates=H","DateFormat=P","Fill=—","Direction=H","UseDPDF=Y")</f>
        <v>-12.391400000000001</v>
      </c>
      <c r="T26" s="21">
        <f>_xll.BDH("NVDA US Equity","SUSTAIN_GROWTH_RT","FQ3 2016","FQ3 2016","Currency=USD","Period=FQ","BEST_FPERIOD_OVERRIDE=FQ","FILING_STATUS=MR","FA_ADJUSTED=GAAP","Sort=A","Dates=H","DateFormat=P","Fill=—","Direction=H","UseDPDF=Y")</f>
        <v>10.8413</v>
      </c>
      <c r="U26" s="21">
        <f>_xll.BDH("NVDA US Equity","SUSTAIN_GROWTH_RT","FQ4 2016","FQ4 2016","Currency=USD","Period=FQ","BEST_FPERIOD_OVERRIDE=FQ","FILING_STATUS=MR","FA_ADJUSTED=GAAP","Sort=A","Dates=H","DateFormat=P","Fill=—","Direction=H","UseDPDF=Y")</f>
        <v>9.7301000000000002</v>
      </c>
      <c r="V26" s="21">
        <f>_xll.BDH("NVDA US Equity","SUSTAIN_GROWTH_RT","FQ1 2017","FQ1 2017","Currency=USD","Period=FQ","BEST_FPERIOD_OVERRIDE=FQ","FILING_STATUS=MR","FA_ADJUSTED=GAAP","Sort=A","Dates=H","DateFormat=P","Fill=—","Direction=H","UseDPDF=Y")</f>
        <v>11.0197</v>
      </c>
      <c r="W26" s="21">
        <f>_xll.BDH("NVDA US Equity","SUSTAIN_GROWTH_RT","FQ2 2017","FQ2 2017","Currency=USD","Period=FQ","BEST_FPERIOD_OVERRIDE=FQ","FILING_STATUS=MR","FA_ADJUSTED=GAAP","Sort=A","Dates=H","DateFormat=P","Fill=—","Direction=H","UseDPDF=Y")</f>
        <v>16.2258</v>
      </c>
      <c r="X26" s="21">
        <f>_xll.BDH("NVDA US Equity","SUSTAIN_GROWTH_RT","FQ3 2017","FQ3 2017","Currency=USD","Period=FQ","BEST_FPERIOD_OVERRIDE=FQ","FILING_STATUS=MR","FA_ADJUSTED=GAAP","Sort=A","Dates=H","DateFormat=P","Fill=—","Direction=H","UseDPDF=Y")</f>
        <v>22.084399999999999</v>
      </c>
      <c r="Y26" s="21">
        <f>_xll.BDH("NVDA US Equity","SUSTAIN_GROWTH_RT","FQ4 2017","FQ4 2017","Currency=USD","Period=FQ","BEST_FPERIOD_OVERRIDE=FQ","FILING_STATUS=MR","FA_ADJUSTED=GAAP","Sort=A","Dates=H","DateFormat=P","Fill=—","Direction=H","UseDPDF=Y")</f>
        <v>28.788799999999998</v>
      </c>
      <c r="Z26" s="21">
        <f>_xll.BDH("NVDA US Equity","SUSTAIN_GROWTH_RT","FQ1 2018","FQ1 2018","Currency=USD","Period=FQ","BEST_FPERIOD_OVERRIDE=FQ","FILING_STATUS=MR","FA_ADJUSTED=GAAP","Sort=A","Dates=H","DateFormat=P","Fill=—","Direction=H","UseDPDF=Y")</f>
        <v>31.897500000000001</v>
      </c>
      <c r="AA26" s="21">
        <f>_xll.BDH("NVDA US Equity","SUSTAIN_GROWTH_RT","FQ2 2018","FQ2 2018","Currency=USD","Period=FQ","BEST_FPERIOD_OVERRIDE=FQ","FILING_STATUS=MR","FA_ADJUSTED=GAAP","Sort=A","Dates=H","DateFormat=P","Fill=—","Direction=H","UseDPDF=Y")</f>
        <v>37.453099999999999</v>
      </c>
      <c r="AB26" s="21">
        <f>_xll.BDH("NVDA US Equity","SUSTAIN_GROWTH_RT","FQ3 2018","FQ3 2018","Currency=USD","Period=FQ","BEST_FPERIOD_OVERRIDE=FQ","FILING_STATUS=MR","FA_ADJUSTED=GAAP","Sort=A","Dates=H","DateFormat=P","Fill=—","Direction=H","UseDPDF=Y")</f>
        <v>39.809600000000003</v>
      </c>
      <c r="AC26" s="21">
        <f>_xll.BDH("NVDA US Equity","SUSTAIN_GROWTH_RT","FQ4 2018","FQ4 2018","Currency=USD","Period=FQ","BEST_FPERIOD_OVERRIDE=FQ","FILING_STATUS=MR","FA_ADJUSTED=GAAP","Sort=A","Dates=H","DateFormat=P","Fill=—","Direction=H","UseDPDF=Y")</f>
        <v>42.289299999999997</v>
      </c>
      <c r="AD26" s="21">
        <f>_xll.BDH("NVDA US Equity","SUSTAIN_GROWTH_RT","FQ1 2019","FQ1 2019","Currency=USD","Period=FQ","BEST_FPERIOD_OVERRIDE=FQ","FILING_STATUS=MR","FA_ADJUSTED=GAAP","Sort=A","Dates=H","DateFormat=P","Fill=—","Direction=H","UseDPDF=Y")</f>
        <v>50.6357</v>
      </c>
      <c r="AE26" s="21">
        <f>_xll.BDH("NVDA US Equity","SUSTAIN_GROWTH_RT","FQ2 2019","FQ2 2019","Currency=USD","Period=FQ","BEST_FPERIOD_OVERRIDE=FQ","FILING_STATUS=MR","FA_ADJUSTED=GAAP","Sort=A","Dates=H","DateFormat=P","Fill=—","Direction=H","UseDPDF=Y")</f>
        <v>53.430599999999998</v>
      </c>
      <c r="AF26" s="21">
        <f>_xll.BDH("NVDA US Equity","SUSTAIN_GROWTH_RT","FQ3 2019","FQ3 2019","Currency=USD","Period=FQ","BEST_FPERIOD_OVERRIDE=FQ","FILING_STATUS=MR","FA_ADJUSTED=GAAP","Sort=A","Dates=H","DateFormat=P","Fill=—","Direction=H","UseDPDF=Y")</f>
        <v>54.916200000000003</v>
      </c>
      <c r="AG26" s="21">
        <f>_xll.BDH("NVDA US Equity","SUSTAIN_GROWTH_RT","FQ4 2019","FQ4 2019","Currency=USD","Period=FQ","BEST_FPERIOD_OVERRIDE=FQ","FILING_STATUS=MR","FA_ADJUSTED=GAAP","Sort=A","Dates=H","DateFormat=P","Fill=—","Direction=H","UseDPDF=Y")</f>
        <v>40.755400000000002</v>
      </c>
      <c r="AH26" s="21">
        <f>_xll.BDH("NVDA US Equity","SUSTAIN_GROWTH_RT","FQ1 2020","FQ1 2020","Currency=USD","Period=FQ","BEST_FPERIOD_OVERRIDE=FQ","FILING_STATUS=MR","FA_ADJUSTED=GAAP","Sort=A","Dates=H","DateFormat=P","Fill=—","Direction=H","UseDPDF=Y")</f>
        <v>28.489000000000001</v>
      </c>
      <c r="AI26" s="21">
        <f>_xll.BDH("NVDA US Equity","SUSTAIN_GROWTH_RT","FQ2 2020","FQ2 2020","Currency=USD","Period=FQ","BEST_FPERIOD_OVERRIDE=FQ","FILING_STATUS=MR","FA_ADJUSTED=GAAP","Sort=A","Dates=H","DateFormat=P","Fill=—","Direction=H","UseDPDF=Y")</f>
        <v>23.636900000000001</v>
      </c>
      <c r="AJ26" s="21">
        <f>_xll.BDH("NVDA US Equity","SUSTAIN_GROWTH_RT","FQ3 2020","FQ3 2020","Currency=USD","Period=FQ","BEST_FPERIOD_OVERRIDE=FQ","FILING_STATUS=MR","FA_ADJUSTED=GAAP","Sort=A","Dates=H","DateFormat=P","Fill=—","Direction=H","UseDPDF=Y")</f>
        <v>20.785399999999999</v>
      </c>
      <c r="AK26" s="21">
        <f>_xll.BDH("NVDA US Equity","SUSTAIN_GROWTH_RT","FQ4 2020","FQ4 2020","Currency=USD","Period=FQ","BEST_FPERIOD_OVERRIDE=FQ","FILING_STATUS=MR","FA_ADJUSTED=GAAP","Sort=A","Dates=H","DateFormat=P","Fill=—","Direction=H","UseDPDF=Y")</f>
        <v>23.270299999999999</v>
      </c>
      <c r="AL26" s="21">
        <f>_xll.BDH("NVDA US Equity","SUSTAIN_GROWTH_RT","FQ1 2021","FQ1 2021","Currency=USD","Period=FQ","BEST_FPERIOD_OVERRIDE=FQ","FILING_STATUS=MR","FA_ADJUSTED=GAAP","Sort=A","Dates=H","DateFormat=P","Fill=—","Direction=H","UseDPDF=Y")</f>
        <v>25.983699999999999</v>
      </c>
      <c r="AM26" s="21">
        <f>_xll.BDH("NVDA US Equity","SUSTAIN_GROWTH_RT","FQ2 2021","FQ2 2021","Currency=USD","Period=FQ","BEST_FPERIOD_OVERRIDE=FQ","FILING_STATUS=MR","FA_ADJUSTED=GAAP","Sort=A","Dates=H","DateFormat=P","Fill=—","Direction=H","UseDPDF=Y")</f>
        <v>23.494900000000001</v>
      </c>
      <c r="AN26" s="21">
        <f>_xll.BDH("NVDA US Equity","SUSTAIN_GROWTH_RT","FQ3 2021","FQ3 2021","Currency=USD","Period=FQ","BEST_FPERIOD_OVERRIDE=FQ","FILING_STATUS=MR","FA_ADJUSTED=GAAP","Sort=A","Dates=H","DateFormat=P","Fill=—","Direction=H","UseDPDF=Y")</f>
        <v>26.680399999999999</v>
      </c>
      <c r="AO26" s="21">
        <f>_xll.BDH("NVDA US Equity","SUSTAIN_GROWTH_RT","FQ4 2021","FQ4 2021","Currency=USD","Period=FQ","BEST_FPERIOD_OVERRIDE=FQ","FILING_STATUS=MR","FA_ADJUSTED=GAAP","Sort=A","Dates=H","DateFormat=P","Fill=—","Direction=H","UseDPDF=Y")</f>
        <v>27.753</v>
      </c>
      <c r="AP26" s="21">
        <f>_xll.BDH("NVDA US Equity","SUSTAIN_GROWTH_RT","FQ1 2022","FQ1 2022","Currency=USD","Period=FQ","BEST_FPERIOD_OVERRIDE=FQ","FILING_STATUS=MR","FA_ADJUSTED=GAAP","Sort=A","Dates=H","DateFormat=P","Fill=—","Direction=H","UseDPDF=Y")</f>
        <v>31.695699999999999</v>
      </c>
    </row>
    <row r="27" spans="1:42" x14ac:dyDescent="0.25">
      <c r="A27" s="15" t="s">
        <v>100</v>
      </c>
      <c r="B27" s="15"/>
      <c r="C27" s="15" t="s"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14" t="s">
        <v>85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18" t="s">
        <v>86</v>
      </c>
      <c r="B9" s="18" t="s">
        <v>87</v>
      </c>
      <c r="C9" s="21">
        <f>_xll.BDP("NVDA US Equity","GROSS_MARGIN","EQY_FUND_YEAR=2012","FUND_PER=C2","EQY_FUND_CRNCY=USD","FILING_STATUS=MR","FA_ADJUSTED=GAAP","Fill=—")</f>
        <v>51.03656403963295</v>
      </c>
      <c r="D9" s="21">
        <f>_xll.BDP("NVDA US Equity","GROSS_MARGIN","EQY_FUND_YEAR=2012","FUND_PER=C3","EQY_FUND_CRNCY=USD","FILING_STATUS=MR","FA_ADJUSTED=GAAP","Fill=—")</f>
        <v>51.449583806280742</v>
      </c>
      <c r="E9" s="21">
        <f>_xll.BDP("NVDA US Equity","GROSS_MARGIN","EQY_FUND_YEAR=2012","FUND_PER=C4","EQY_FUND_CRNCY=USD","FILING_STATUS=MR","FA_ADJUSTED=GAAP","Fill=—")</f>
        <v>51.439544964519136</v>
      </c>
      <c r="F9" s="21">
        <f>_xll.BDP("NVDA US Equity","GROSS_MARGIN","EQY_FUND_YEAR=2013","FUND_PER=C1","EQY_FUND_CRNCY=USD","FILING_STATUS=MR","FA_ADJUSTED=GAAP","Fill=—")</f>
        <v>50.100067360308451</v>
      </c>
      <c r="G9" s="21">
        <f>_xll.BDP("NVDA US Equity","GROSS_MARGIN","EQY_FUND_YEAR=2013","FUND_PER=C2","EQY_FUND_CRNCY=USD","FILING_STATUS=MR","FA_ADJUSTED=GAAP","Fill=—")</f>
        <v>50.99075894283159</v>
      </c>
      <c r="H9" s="21">
        <f>_xll.BDP("NVDA US Equity","GROSS_MARGIN","EQY_FUND_YEAR=2013","FUND_PER=C3","EQY_FUND_CRNCY=USD","FILING_STATUS=MR","FA_ADJUSTED=GAAP","Fill=—")</f>
        <v>51.705266859885604</v>
      </c>
      <c r="I9" s="21">
        <f>_xll.BDP("NVDA US Equity","GROSS_MARGIN","EQY_FUND_YEAR=2013","FUND_PER=C4","EQY_FUND_CRNCY=USD","FILING_STATUS=MR","FA_ADJUSTED=GAAP","Fill=—")</f>
        <v>52.015427464260085</v>
      </c>
      <c r="J9" s="21">
        <f>_xll.BDP("NVDA US Equity","GROSS_MARGIN","EQY_FUND_YEAR=2014","FUND_PER=C1","EQY_FUND_CRNCY=USD","FILING_STATUS=MR","FA_ADJUSTED=GAAP","Fill=—")</f>
        <v>54.315158383600128</v>
      </c>
      <c r="K9" s="21">
        <f>_xll.BDP("NVDA US Equity","GROSS_MARGIN","EQY_FUND_YEAR=2014","FUND_PER=C2","EQY_FUND_CRNCY=USD","FILING_STATUS=MR","FA_ADJUSTED=GAAP","Fill=—")</f>
        <v>55.078606008249587</v>
      </c>
      <c r="L9" s="21">
        <f>_xll.BDP("NVDA US Equity","GROSS_MARGIN","EQY_FUND_YEAR=2014","FUND_PER=C3","EQY_FUND_CRNCY=USD","FILING_STATUS=MR","FA_ADJUSTED=GAAP","Fill=—")</f>
        <v>55.209374321822516</v>
      </c>
      <c r="M9" s="21">
        <f>_xll.BDP("NVDA US Equity","GROSS_MARGIN","EQY_FUND_YEAR=2014","FUND_PER=C4","EQY_FUND_CRNCY=USD","FILING_STATUS=MR","FA_ADJUSTED=GAAP","Fill=—")</f>
        <v>54.915254237288138</v>
      </c>
      <c r="N9" s="21">
        <f>_xll.BDP("NVDA US Equity","GROSS_MARGIN","EQY_FUND_YEAR=2015","FUND_PER=C1","EQY_FUND_CRNCY=USD","FILING_STATUS=MR","FA_ADJUSTED=GAAP","Fill=—")</f>
        <v>54.759746146872168</v>
      </c>
      <c r="O9" s="21">
        <f>_xll.BDP("NVDA US Equity","GROSS_MARGIN","EQY_FUND_YEAR=2015","FUND_PER=C2","EQY_FUND_CRNCY=USD","FILING_STATUS=MR","FA_ADJUSTED=GAAP","Fill=—")</f>
        <v>55.439709882139624</v>
      </c>
      <c r="P9" s="21">
        <f>_xll.BDP("NVDA US Equity","GROSS_MARGIN","EQY_FUND_YEAR=2015","FUND_PER=C3","EQY_FUND_CRNCY=USD","FILING_STATUS=MR","FA_ADJUSTED=GAAP","Fill=—")</f>
        <v>55.377440979306328</v>
      </c>
      <c r="Q9" s="21">
        <f>_xll.BDP("NVDA US Equity","GROSS_MARGIN","EQY_FUND_YEAR=2015","FUND_PER=C4","EQY_FUND_CRNCY=USD","FILING_STATUS=MR","FA_ADJUSTED=GAAP","Fill=—")</f>
        <v>55.510465612985904</v>
      </c>
      <c r="R9" s="21">
        <f>_xll.BDP("NVDA US Equity","GROSS_MARGIN","EQY_FUND_YEAR=2016","FUND_PER=C1","EQY_FUND_CRNCY=USD","FILING_STATUS=MR","FA_ADJUSTED=GAAP","Fill=—")</f>
        <v>56.733275412684627</v>
      </c>
      <c r="S9" s="21">
        <f>_xll.BDP("NVDA US Equity","GROSS_MARGIN","EQY_FUND_YEAR=2016","FUND_PER=C2","EQY_FUND_CRNCY=USD","FILING_STATUS=MR","FA_ADJUSTED=GAAP","Fill=—")</f>
        <v>55.815972222222221</v>
      </c>
      <c r="T9" s="21">
        <f>_xll.BDP("NVDA US Equity","GROSS_MARGIN","EQY_FUND_YEAR=2016","FUND_PER=C3","EQY_FUND_CRNCY=USD","FILING_STATUS=MR","FA_ADJUSTED=GAAP","Fill=—")</f>
        <v>55.97118315322804</v>
      </c>
      <c r="U9" s="21">
        <f>_xll.BDP("NVDA US Equity","GROSS_MARGIN","EQY_FUND_YEAR=2016","FUND_PER=C4","EQY_FUND_CRNCY=USD","FILING_STATUS=MR","FA_ADJUSTED=GAAP","Fill=—")</f>
        <v>56.107784431137731</v>
      </c>
      <c r="V9" s="21">
        <f>_xll.BDP("NVDA US Equity","GROSS_MARGIN","EQY_FUND_YEAR=2017","FUND_PER=C1","EQY_FUND_CRNCY=USD","FILING_STATUS=MR","FA_ADJUSTED=GAAP","Fill=—")</f>
        <v>57.547892720306514</v>
      </c>
      <c r="W9" s="21">
        <f>_xll.BDP("NVDA US Equity","GROSS_MARGIN","EQY_FUND_YEAR=2017","FUND_PER=C2","EQY_FUND_CRNCY=USD","FILING_STATUS=MR","FA_ADJUSTED=GAAP","Fill=—")</f>
        <v>57.702158799853642</v>
      </c>
      <c r="X9" s="21">
        <f>_xll.BDP("NVDA US Equity","GROSS_MARGIN","EQY_FUND_YEAR=2017","FUND_PER=C3","EQY_FUND_CRNCY=USD","FILING_STATUS=MR","FA_ADJUSTED=GAAP","Fill=—")</f>
        <v>58.264724509183033</v>
      </c>
      <c r="Y9" s="21">
        <f>_xll.BDP("NVDA US Equity","GROSS_MARGIN","EQY_FUND_YEAR=2017","FUND_PER=C4","EQY_FUND_CRNCY=USD","FILING_STATUS=MR","FA_ADJUSTED=GAAP","Fill=—")</f>
        <v>58.798842257597684</v>
      </c>
      <c r="Z9" s="21">
        <f>_xll.BDP("NVDA US Equity","GROSS_MARGIN","EQY_FUND_YEAR=2018","FUND_PER=C1","EQY_FUND_CRNCY=USD","FILING_STATUS=MR","FA_ADJUSTED=GAAP","Fill=—")</f>
        <v>59.370160041300977</v>
      </c>
      <c r="AA9" s="21">
        <f>_xll.BDP("NVDA US Equity","GROSS_MARGIN","EQY_FUND_YEAR=2018","FUND_PER=C2","EQY_FUND_CRNCY=USD","FILING_STATUS=MR","FA_ADJUSTED=GAAP","Fill=—")</f>
        <v>58.843292536597083</v>
      </c>
      <c r="AB9" s="21">
        <f>_xll.BDP("NVDA US Equity","GROSS_MARGIN","EQY_FUND_YEAR=2018","FUND_PER=C3","EQY_FUND_CRNCY=USD","FILING_STATUS=MR","FA_ADJUSTED=GAAP","Fill=—")</f>
        <v>59.106276642657654</v>
      </c>
      <c r="AC9" s="21">
        <f>_xll.BDP("NVDA US Equity","GROSS_MARGIN","EQY_FUND_YEAR=2018","FUND_PER=C4","EQY_FUND_CRNCY=USD","FILING_STATUS=MR","FA_ADJUSTED=GAAP","Fill=—")</f>
        <v>59.934115709285571</v>
      </c>
      <c r="AD9" s="21">
        <f>_xll.BDP("NVDA US Equity","GROSS_MARGIN","EQY_FUND_YEAR=2019","FUND_PER=C1","EQY_FUND_CRNCY=USD","FILING_STATUS=MR","FA_ADJUSTED=GAAP","Fill=—")</f>
        <v>64.483941378235116</v>
      </c>
      <c r="AE9" s="21">
        <f>_xll.BDP("NVDA US Equity","GROSS_MARGIN","EQY_FUND_YEAR=2019","FUND_PER=C2","EQY_FUND_CRNCY=USD","FILING_STATUS=MR","FA_ADJUSTED=GAAP","Fill=—")</f>
        <v>63.870458135860986</v>
      </c>
      <c r="AF9" s="21">
        <f>_xll.BDP("NVDA US Equity","GROSS_MARGIN","EQY_FUND_YEAR=2019","FUND_PER=C3","EQY_FUND_CRNCY=USD","FILING_STATUS=MR","FA_ADJUSTED=GAAP","Fill=—")</f>
        <v>62.706340027336772</v>
      </c>
      <c r="AG9" s="21">
        <f>_xll.BDP("NVDA US Equity","GROSS_MARGIN","EQY_FUND_YEAR=2019","FUND_PER=C4","EQY_FUND_CRNCY=USD","FILING_STATUS=MR","FA_ADJUSTED=GAAP","Fill=—")</f>
        <v>61.206896551724135</v>
      </c>
      <c r="AH9" s="21">
        <f>_xll.BDP("NVDA US Equity","GROSS_MARGIN","EQY_FUND_YEAR=2020","FUND_PER=C1","EQY_FUND_CRNCY=USD","FILING_STATUS=MR","FA_ADJUSTED=GAAP","Fill=—")</f>
        <v>58.378378378378379</v>
      </c>
      <c r="AI9" s="21">
        <f>_xll.BDP("NVDA US Equity","GROSS_MARGIN","EQY_FUND_YEAR=2020","FUND_PER=C2","EQY_FUND_CRNCY=USD","FILING_STATUS=MR","FA_ADJUSTED=GAAP","Fill=—")</f>
        <v>59.116482600541786</v>
      </c>
      <c r="AJ9" s="21">
        <f>_xll.BDP("NVDA US Equity","GROSS_MARGIN","EQY_FUND_YEAR=2020","FUND_PER=C3","EQY_FUND_CRNCY=USD","FILING_STATUS=MR","FA_ADJUSTED=GAAP","Fill=—")</f>
        <v>60.83450659157814</v>
      </c>
      <c r="AK9" s="21">
        <f>_xll.BDP("NVDA US Equity","GROSS_MARGIN","EQY_FUND_YEAR=2020","FUND_PER=C4","EQY_FUND_CRNCY=USD","FILING_STATUS=MR","FA_ADJUSTED=GAAP","Fill=—")</f>
        <v>61.989375343469497</v>
      </c>
      <c r="AL9" s="21">
        <f>_xll.BDP("NVDA US Equity","GROSS_MARGIN","EQY_FUND_YEAR=2021","FUND_PER=C1","EQY_FUND_CRNCY=USD","FILING_STATUS=MR","FA_ADJUSTED=GAAP","Fill=—")</f>
        <v>65.064935064935071</v>
      </c>
      <c r="AM9" s="21">
        <f>_xll.BDP("NVDA US Equity","GROSS_MARGIN","EQY_FUND_YEAR=2021","FUND_PER=C2","EQY_FUND_CRNCY=USD","FILING_STATUS=MR","FA_ADJUSTED=GAAP","Fill=—")</f>
        <v>61.603800748632295</v>
      </c>
      <c r="AN9" s="21">
        <f>_xll.BDP("NVDA US Equity","GROSS_MARGIN","EQY_FUND_YEAR=2021","FUND_PER=C3","EQY_FUND_CRNCY=USD","FILING_STATUS=MR","FA_ADJUSTED=GAAP","Fill=—")</f>
        <v>62.028786840301578</v>
      </c>
      <c r="AO9" s="21">
        <f>_xll.BDP("NVDA US Equity","GROSS_MARGIN","EQY_FUND_YEAR=2021","FUND_PER=C4","EQY_FUND_CRNCY=USD","FILING_STATUS=MR","FA_ADJUSTED=GAAP","Fill=—")</f>
        <v>62.344827586206897</v>
      </c>
      <c r="AP9" s="21">
        <f>_xll.BDP("NVDA US Equity","GROSS_MARGIN","EQY_FUND_YEAR=2022","FUND_PER=C1","EQY_FUND_CRNCY=USD","FILING_STATUS=MR","FA_ADJUSTED=GAAP","Fill=—")</f>
        <v>64.105281752340588</v>
      </c>
    </row>
    <row r="10" spans="1:42" x14ac:dyDescent="0.25">
      <c r="A10" s="18" t="s">
        <v>88</v>
      </c>
      <c r="B10" s="18" t="s">
        <v>89</v>
      </c>
      <c r="C10" s="21">
        <f>_xll.BDP("NVDA US Equity","EBITDA_TO_REVENUE","EQY_FUND_YEAR=2012","FUND_PER=C2","EQY_FUND_CRNCY=USD","FILING_STATUS=MR","FA_ADJUSTED=GAAP","Fill=—")</f>
        <v>21.673129292271735</v>
      </c>
      <c r="D10" s="21">
        <f>_xll.BDP("NVDA US Equity","EBITDA_TO_REVENUE","EQY_FUND_YEAR=2012","FUND_PER=C3","EQY_FUND_CRNCY=USD","FILING_STATUS=MR","FA_ADJUSTED=GAAP","Fill=—")</f>
        <v>22.277530794131245</v>
      </c>
      <c r="E10" s="21">
        <f>_xll.BDP("NVDA US Equity","EBITDA_TO_REVENUE","EQY_FUND_YEAR=2012","FUND_PER=C4","EQY_FUND_CRNCY=USD","FILING_STATUS=MR","FA_ADJUSTED=GAAP","Fill=—")</f>
        <v>21.323634981102721</v>
      </c>
      <c r="F10" s="21">
        <f>_xll.BDP("NVDA US Equity","EBITDA_TO_REVENUE","EQY_FUND_YEAR=2013","FUND_PER=C1","EQY_FUND_CRNCY=USD","FILING_STATUS=MR","FA_ADJUSTED=GAAP","Fill=—")</f>
        <v>13.76583048340482</v>
      </c>
      <c r="G10" s="21">
        <f>_xll.BDP("NVDA US Equity","EBITDA_TO_REVENUE","EQY_FUND_YEAR=2013","FUND_PER=C2","EQY_FUND_CRNCY=USD","FILING_STATUS=MR","FA_ADJUSTED=GAAP","Fill=—")</f>
        <v>16.409897280396031</v>
      </c>
      <c r="H10" s="21">
        <f>_xll.BDP("NVDA US Equity","EBITDA_TO_REVENUE","EQY_FUND_YEAR=2013","FUND_PER=C3","EQY_FUND_CRNCY=USD","FILING_STATUS=MR","FA_ADJUSTED=GAAP","Fill=—")</f>
        <v>19.932202150660977</v>
      </c>
      <c r="I10" s="21">
        <f>_xll.BDP("NVDA US Equity","EBITDA_TO_REVENUE","EQY_FUND_YEAR=2013","FUND_PER=C4","EQY_FUND_CRNCY=USD","FILING_STATUS=MR","FA_ADJUSTED=GAAP","Fill=—")</f>
        <v>20.430876516503243</v>
      </c>
      <c r="J10" s="21">
        <f>_xll.BDP("NVDA US Equity","EBITDA_TO_REVENUE","EQY_FUND_YEAR=2014","FUND_PER=C1","EQY_FUND_CRNCY=USD","FILING_STATUS=MR","FA_ADJUSTED=GAAP","Fill=—")</f>
        <v>14.928163613301646</v>
      </c>
      <c r="K10" s="21">
        <f>_xll.BDP("NVDA US Equity","EBITDA_TO_REVENUE","EQY_FUND_YEAR=2014","FUND_PER=C2","EQY_FUND_CRNCY=USD","FILING_STATUS=MR","FA_ADJUSTED=GAAP","Fill=—")</f>
        <v>16.04051186944772</v>
      </c>
      <c r="L10" s="21">
        <f>_xll.BDP("NVDA US Equity","EBITDA_TO_REVENUE","EQY_FUND_YEAR=2014","FUND_PER=C3","EQY_FUND_CRNCY=USD","FILING_STATUS=MR","FA_ADJUSTED=GAAP","Fill=—")</f>
        <v>17.201025873224683</v>
      </c>
      <c r="M10" s="21">
        <f>_xll.BDP("NVDA US Equity","EBITDA_TO_REVENUE","EQY_FUND_YEAR=2014","FUND_PER=C4","EQY_FUND_CRNCY=USD","FILING_STATUS=MR","FA_ADJUSTED=GAAP","Fill=—")</f>
        <v>17.796610169491526</v>
      </c>
      <c r="N10" s="21">
        <f>_xll.BDP("NVDA US Equity","EBITDA_TO_REVENUE","EQY_FUND_YEAR=2015","FUND_PER=C1","EQY_FUND_CRNCY=USD","FILING_STATUS=MR","FA_ADJUSTED=GAAP","Fill=—")</f>
        <v>18.676337262012694</v>
      </c>
      <c r="O10" s="21">
        <f>_xll.BDP("NVDA US Equity","EBITDA_TO_REVENUE","EQY_FUND_YEAR=2015","FUND_PER=C2","EQY_FUND_CRNCY=USD","FILING_STATUS=MR","FA_ADJUSTED=GAAP","Fill=—")</f>
        <v>19.265639165911153</v>
      </c>
      <c r="P10" s="21">
        <f>_xll.BDP("NVDA US Equity","EBITDA_TO_REVENUE","EQY_FUND_YEAR=2015","FUND_PER=C3","EQY_FUND_CRNCY=USD","FILING_STATUS=MR","FA_ADJUSTED=GAAP","Fill=—")</f>
        <v>20.227338968230839</v>
      </c>
      <c r="Q10" s="21">
        <f>_xll.BDP("NVDA US Equity","EBITDA_TO_REVENUE","EQY_FUND_YEAR=2015","FUND_PER=C4","EQY_FUND_CRNCY=USD","FILING_STATUS=MR","FA_ADJUSTED=GAAP","Fill=—")</f>
        <v>20.909867577958138</v>
      </c>
      <c r="R10" s="21">
        <f>_xll.BDP("NVDA US Equity","EBITDA_TO_REVENUE","EQY_FUND_YEAR=2016","FUND_PER=C1","EQY_FUND_CRNCY=USD","FILING_STATUS=MR","FA_ADJUSTED=GAAP","Fill=—")</f>
        <v>19.98262380538662</v>
      </c>
      <c r="S10" s="21">
        <f>_xll.BDP("NVDA US Equity","EBITDA_TO_REVENUE","EQY_FUND_YEAR=2016","FUND_PER=C2","EQY_FUND_CRNCY=USD","FILING_STATUS=MR","FA_ADJUSTED=GAAP","Fill=—")</f>
        <v>15.321180555555555</v>
      </c>
      <c r="T10" s="21">
        <f>_xll.BDP("NVDA US Equity","EBITDA_TO_REVENUE","EQY_FUND_YEAR=2016","FUND_PER=C3","EQY_FUND_CRNCY=USD","FILING_STATUS=MR","FA_ADJUSTED=GAAP","Fill=—")</f>
        <v>17.899695206428373</v>
      </c>
      <c r="U10" s="21">
        <f>_xll.BDP("NVDA US Equity","EBITDA_TO_REVENUE","EQY_FUND_YEAR=2016","FUND_PER=C4","EQY_FUND_CRNCY=USD","FILING_STATUS=MR","FA_ADJUSTED=GAAP","Fill=—")</f>
        <v>18.842315369261478</v>
      </c>
      <c r="V10" s="21">
        <f>_xll.BDP("NVDA US Equity","EBITDA_TO_REVENUE","EQY_FUND_YEAR=2017","FUND_PER=C1","EQY_FUND_CRNCY=USD","FILING_STATUS=MR","FA_ADJUSTED=GAAP","Fill=—")</f>
        <v>22.222222222222221</v>
      </c>
      <c r="W10" s="21">
        <f>_xll.BDP("NVDA US Equity","EBITDA_TO_REVENUE","EQY_FUND_YEAR=2017","FUND_PER=C2","EQY_FUND_CRNCY=USD","FILING_STATUS=MR","FA_ADJUSTED=GAAP","Fill=—")</f>
        <v>23.893157702158799</v>
      </c>
      <c r="X10" s="21">
        <f>_xll.BDP("NVDA US Equity","EBITDA_TO_REVENUE","EQY_FUND_YEAR=2017","FUND_PER=C3","EQY_FUND_CRNCY=USD","FILING_STATUS=MR","FA_ADJUSTED=GAAP","Fill=—")</f>
        <v>28.309056364787839</v>
      </c>
      <c r="Y10" s="21">
        <f>_xll.BDP("NVDA US Equity","EBITDA_TO_REVENUE","EQY_FUND_YEAR=2017","FUND_PER=C4","EQY_FUND_CRNCY=USD","FILING_STATUS=MR","FA_ADJUSTED=GAAP","Fill=—")</f>
        <v>30.694645441389291</v>
      </c>
      <c r="Z10" s="21">
        <f>_xll.BDP("NVDA US Equity","EBITDA_TO_REVENUE","EQY_FUND_YEAR=2018","FUND_PER=C1","EQY_FUND_CRNCY=USD","FILING_STATUS=MR","FA_ADJUSTED=GAAP","Fill=—")</f>
        <v>31.027361899845125</v>
      </c>
      <c r="AA10" s="21">
        <f>_xll.BDP("NVDA US Equity","EBITDA_TO_REVENUE","EQY_FUND_YEAR=2018","FUND_PER=C2","EQY_FUND_CRNCY=USD","FILING_STATUS=MR","FA_ADJUSTED=GAAP","Fill=—")</f>
        <v>32.10943124550036</v>
      </c>
      <c r="AB10" s="21">
        <f>_xll.BDP("NVDA US Equity","EBITDA_TO_REVENUE","EQY_FUND_YEAR=2018","FUND_PER=C3","EQY_FUND_CRNCY=USD","FILING_STATUS=MR","FA_ADJUSTED=GAAP","Fill=—")</f>
        <v>33.544024694987506</v>
      </c>
      <c r="AC10" s="21">
        <f>_xll.BDP("NVDA US Equity","EBITDA_TO_REVENUE","EQY_FUND_YEAR=2018","FUND_PER=C4","EQY_FUND_CRNCY=USD","FILING_STATUS=MR","FA_ADJUSTED=GAAP","Fill=—")</f>
        <v>35.093679225859589</v>
      </c>
      <c r="AD10" s="21">
        <f>_xll.BDP("NVDA US Equity","EBITDA_TO_REVENUE","EQY_FUND_YEAR=2019","FUND_PER=C1","EQY_FUND_CRNCY=USD","FILING_STATUS=MR","FA_ADJUSTED=GAAP","Fill=—")</f>
        <v>42.157779856563764</v>
      </c>
      <c r="AE10" s="21">
        <f>_xll.BDP("NVDA US Equity","EBITDA_TO_REVENUE","EQY_FUND_YEAR=2019","FUND_PER=C2","EQY_FUND_CRNCY=USD","FILING_STATUS=MR","FA_ADJUSTED=GAAP","Fill=—")</f>
        <v>40.568720379146924</v>
      </c>
      <c r="AF10" s="21">
        <f>_xll.BDP("NVDA US Equity","EBITDA_TO_REVENUE","EQY_FUND_YEAR=2019","FUND_PER=C3","EQY_FUND_CRNCY=USD","FILING_STATUS=MR","FA_ADJUSTED=GAAP","Fill=—")</f>
        <v>38.839238776153927</v>
      </c>
      <c r="AG10" s="21">
        <f>_xll.BDP("NVDA US Equity","EBITDA_TO_REVENUE","EQY_FUND_YEAR=2019","FUND_PER=C4","EQY_FUND_CRNCY=USD","FILING_STATUS=MR","FA_ADJUSTED=GAAP","Fill=—")</f>
        <v>34.704677364288159</v>
      </c>
      <c r="AH10" s="21">
        <f>_xll.BDP("NVDA US Equity","EBITDA_TO_REVENUE","EQY_FUND_YEAR=2020","FUND_PER=C1","EQY_FUND_CRNCY=USD","FILING_STATUS=MR","FA_ADJUSTED=GAAP","Fill=—")</f>
        <v>21.441441441441441</v>
      </c>
      <c r="AI10" s="21">
        <f>_xll.BDP("NVDA US Equity","EBITDA_TO_REVENUE","EQY_FUND_YEAR=2020","FUND_PER=C2","EQY_FUND_CRNCY=USD","FILING_STATUS=MR","FA_ADJUSTED=GAAP","Fill=—")</f>
        <v>24.317566159616586</v>
      </c>
      <c r="AJ10" s="21">
        <f>_xll.BDP("NVDA US Equity","EBITDA_TO_REVENUE","EQY_FUND_YEAR=2020","FUND_PER=C3","EQY_FUND_CRNCY=USD","FILING_STATUS=MR","FA_ADJUSTED=GAAP","Fill=—")</f>
        <v>28.337386407269932</v>
      </c>
      <c r="AK10" s="21">
        <f>_xll.BDP("NVDA US Equity","EBITDA_TO_REVENUE","EQY_FUND_YEAR=2020","FUND_PER=C4","EQY_FUND_CRNCY=USD","FILING_STATUS=MR","FA_ADJUSTED=GAAP","Fill=—")</f>
        <v>30.60084264517311</v>
      </c>
      <c r="AL10" s="21">
        <f>_xll.BDP("NVDA US Equity","EBITDA_TO_REVENUE","EQY_FUND_YEAR=2021","FUND_PER=C1","EQY_FUND_CRNCY=USD","FILING_STATUS=MR","FA_ADJUSTED=GAAP","Fill=—")</f>
        <v>36.168831168831169</v>
      </c>
      <c r="AM10" s="21">
        <f>_xll.BDP("NVDA US Equity","EBITDA_TO_REVENUE","EQY_FUND_YEAR=2021","FUND_PER=C2","EQY_FUND_CRNCY=USD","FILING_STATUS=MR","FA_ADJUSTED=GAAP","Fill=—")</f>
        <v>31.744889144831557</v>
      </c>
      <c r="AN10" s="21">
        <f>_xll.BDP("NVDA US Equity","EBITDA_TO_REVENUE","EQY_FUND_YEAR=2021","FUND_PER=C3","EQY_FUND_CRNCY=USD","FILING_STATUS=MR","FA_ADJUSTED=GAAP","Fill=—")</f>
        <v>33.74742974640165</v>
      </c>
      <c r="AO10" s="21">
        <f>_xll.BDP("NVDA US Equity","EBITDA_TO_REVENUE","EQY_FUND_YEAR=2021","FUND_PER=C4","EQY_FUND_CRNCY=USD","FILING_STATUS=MR","FA_ADJUSTED=GAAP","Fill=—")</f>
        <v>34.632683658170919</v>
      </c>
      <c r="AP10" s="21">
        <f>_xll.BDP("NVDA US Equity","EBITDA_TO_REVENUE","EQY_FUND_YEAR=2022","FUND_PER=C1","EQY_FUND_CRNCY=USD","FILING_STATUS=MR","FA_ADJUSTED=GAAP","Fill=—")</f>
        <v>40.204910793146084</v>
      </c>
    </row>
    <row r="11" spans="1:42" x14ac:dyDescent="0.25">
      <c r="A11" s="19" t="s">
        <v>90</v>
      </c>
      <c r="B11" s="19" t="s">
        <v>89</v>
      </c>
      <c r="C11" s="23">
        <v>496.21036062355603</v>
      </c>
      <c r="D11" s="23">
        <v>173.31244903194599</v>
      </c>
      <c r="E11" s="23">
        <v>70.657520492018094</v>
      </c>
      <c r="F11" s="23">
        <v>-34.641826519052699</v>
      </c>
      <c r="G11" s="23">
        <v>-24.284596838785902</v>
      </c>
      <c r="H11" s="23">
        <v>-10.527777966059199</v>
      </c>
      <c r="I11" s="23">
        <v>-4.1867064409984502</v>
      </c>
      <c r="J11" s="23">
        <v>8.4436172755293395</v>
      </c>
      <c r="K11" s="23">
        <v>-2.2509891439294298</v>
      </c>
      <c r="L11" s="23">
        <v>-13.7023295268631</v>
      </c>
      <c r="M11" s="23">
        <v>-12.893558117940801</v>
      </c>
      <c r="N11" s="23">
        <v>25.108064193292599</v>
      </c>
      <c r="O11" s="23">
        <v>20.106135016139099</v>
      </c>
      <c r="P11" s="23">
        <v>17.593793533013699</v>
      </c>
      <c r="Q11" s="23">
        <v>17.493545118986098</v>
      </c>
      <c r="R11" s="23">
        <v>6.9943426272507399</v>
      </c>
      <c r="S11" s="23">
        <v>-20.474057465729501</v>
      </c>
      <c r="T11" s="23">
        <v>-11.5074157801973</v>
      </c>
      <c r="U11" s="23">
        <v>-9.8879294694734607</v>
      </c>
      <c r="V11" s="23">
        <v>11.2077272734552</v>
      </c>
      <c r="W11" s="23">
        <v>55.948539476166999</v>
      </c>
      <c r="X11" s="23">
        <v>58.1538456381519</v>
      </c>
      <c r="Y11" s="23">
        <v>62.9027271861234</v>
      </c>
      <c r="Z11" s="23">
        <v>39.623130396231304</v>
      </c>
      <c r="AA11" s="23">
        <v>34.387555634127601</v>
      </c>
      <c r="AB11" s="23">
        <v>18.492206168937599</v>
      </c>
      <c r="AC11" s="23">
        <v>14.331600837866</v>
      </c>
      <c r="AD11" s="23">
        <v>35.872911142107398</v>
      </c>
      <c r="AE11" s="23">
        <v>26.345185001876899</v>
      </c>
      <c r="AF11" s="23">
        <v>15.785863503261799</v>
      </c>
      <c r="AG11" s="23">
        <v>-1.1084674251451501</v>
      </c>
      <c r="AH11" s="23">
        <v>-49.1400140140207</v>
      </c>
      <c r="AI11" s="23">
        <v>-40.0583355846573</v>
      </c>
      <c r="AJ11" s="23">
        <v>-27.039286222884002</v>
      </c>
      <c r="AK11" s="23">
        <v>-11.825017129535601</v>
      </c>
      <c r="AL11" s="23">
        <v>68.686568220857893</v>
      </c>
      <c r="AM11" s="23">
        <v>30.543036256177899</v>
      </c>
      <c r="AN11" s="23">
        <v>19.091542176826099</v>
      </c>
      <c r="AO11" s="23">
        <v>13.175588005859799</v>
      </c>
      <c r="AP11" s="23">
        <v>11.1590004111551</v>
      </c>
    </row>
    <row r="12" spans="1:42" x14ac:dyDescent="0.25">
      <c r="A12" s="18" t="s">
        <v>91</v>
      </c>
      <c r="B12" s="18" t="s">
        <v>92</v>
      </c>
      <c r="C12" s="21">
        <f>_xll.BDP("NVDA US Equity","OPER_MARGIN","EQY_FUND_YEAR=2012","FUND_PER=C2","EQY_FUND_CRNCY=USD","FILING_STATUS=MR","FA_ADJUSTED=GAAP","Fill=—")</f>
        <v>16.622829983078567</v>
      </c>
      <c r="D12" s="21">
        <f>_xll.BDP("NVDA US Equity","OPER_MARGIN","EQY_FUND_YEAR=2012","FUND_PER=C3","EQY_FUND_CRNCY=USD","FILING_STATUS=MR","FA_ADJUSTED=GAAP","Fill=—")</f>
        <v>17.275126644805987</v>
      </c>
      <c r="E12" s="21">
        <f>_xll.BDP("NVDA US Equity","OPER_MARGIN","EQY_FUND_YEAR=2012","FUND_PER=C4","EQY_FUND_CRNCY=USD","FILING_STATUS=MR","FA_ADJUSTED=GAAP","Fill=—")</f>
        <v>16.215866711022954</v>
      </c>
      <c r="F12" s="21">
        <f>_xll.BDP("NVDA US Equity","OPER_MARGIN","EQY_FUND_YEAR=2013","FUND_PER=C1","EQY_FUND_CRNCY=USD","FILING_STATUS=MR","FA_ADJUSTED=GAAP","Fill=—")</f>
        <v>7.8741281273077393</v>
      </c>
      <c r="G12" s="21">
        <f>_xll.BDP("NVDA US Equity","OPER_MARGIN","EQY_FUND_YEAR=2013","FUND_PER=C2","EQY_FUND_CRNCY=USD","FILING_STATUS=MR","FA_ADJUSTED=GAAP","Fill=—")</f>
        <v>10.788884730291848</v>
      </c>
      <c r="H12" s="21">
        <f>_xll.BDP("NVDA US Equity","OPER_MARGIN","EQY_FUND_YEAR=2013","FUND_PER=C3","EQY_FUND_CRNCY=USD","FILING_STATUS=MR","FA_ADJUSTED=GAAP","Fill=—")</f>
        <v>14.643188370812702</v>
      </c>
      <c r="I12" s="21">
        <f>_xll.BDP("NVDA US Equity","OPER_MARGIN","EQY_FUND_YEAR=2013","FUND_PER=C4","EQY_FUND_CRNCY=USD","FILING_STATUS=MR","FA_ADJUSTED=GAAP","Fill=—")</f>
        <v>15.145208390622875</v>
      </c>
      <c r="J12" s="21">
        <f>_xll.BDP("NVDA US Equity","OPER_MARGIN","EQY_FUND_YEAR=2014","FUND_PER=C1","EQY_FUND_CRNCY=USD","FILING_STATUS=MR","FA_ADJUSTED=GAAP","Fill=—")</f>
        <v>8.6705371834606115</v>
      </c>
      <c r="K12" s="21">
        <f>_xll.BDP("NVDA US Equity","OPER_MARGIN","EQY_FUND_YEAR=2014","FUND_PER=C2","EQY_FUND_CRNCY=USD","FILING_STATUS=MR","FA_ADJUSTED=GAAP","Fill=—")</f>
        <v>9.7472692480293492</v>
      </c>
      <c r="L12" s="21">
        <f>_xll.BDP("NVDA US Equity","OPER_MARGIN","EQY_FUND_YEAR=2014","FUND_PER=C3","EQY_FUND_CRNCY=USD","FILING_STATUS=MR","FA_ADJUSTED=GAAP","Fill=—")</f>
        <v>11.028438577548675</v>
      </c>
      <c r="M12" s="21">
        <f>_xll.BDP("NVDA US Equity","OPER_MARGIN","EQY_FUND_YEAR=2014","FUND_PER=C4","EQY_FUND_CRNCY=USD","FILING_STATUS=MR","FA_ADJUSTED=GAAP","Fill=—")</f>
        <v>12.009685230024212</v>
      </c>
      <c r="N12" s="21">
        <f>_xll.BDP("NVDA US Equity","OPER_MARGIN","EQY_FUND_YEAR=2015","FUND_PER=C1","EQY_FUND_CRNCY=USD","FILING_STATUS=MR","FA_ADJUSTED=GAAP","Fill=—")</f>
        <v>13.689936536718042</v>
      </c>
      <c r="O12" s="21">
        <f>_xll.BDP("NVDA US Equity","OPER_MARGIN","EQY_FUND_YEAR=2015","FUND_PER=C2","EQY_FUND_CRNCY=USD","FILING_STATUS=MR","FA_ADJUSTED=GAAP","Fill=—")</f>
        <v>14.233907524932004</v>
      </c>
      <c r="P12" s="21">
        <f>_xll.BDP("NVDA US Equity","OPER_MARGIN","EQY_FUND_YEAR=2015","FUND_PER=C3","EQY_FUND_CRNCY=USD","FILING_STATUS=MR","FA_ADJUSTED=GAAP","Fill=—")</f>
        <v>15.389099387933546</v>
      </c>
      <c r="Q12" s="21">
        <f>_xll.BDP("NVDA US Equity","OPER_MARGIN","EQY_FUND_YEAR=2015","FUND_PER=C4","EQY_FUND_CRNCY=USD","FILING_STATUS=MR","FA_ADJUSTED=GAAP","Fill=—")</f>
        <v>16.211020931225974</v>
      </c>
      <c r="R12" s="21">
        <f>_xll.BDP("NVDA US Equity","OPER_MARGIN","EQY_FUND_YEAR=2016","FUND_PER=C1","EQY_FUND_CRNCY=USD","FILING_STATUS=MR","FA_ADJUSTED=GAAP","Fill=—")</f>
        <v>15.291051259774111</v>
      </c>
      <c r="S12" s="21">
        <f>_xll.BDP("NVDA US Equity","OPER_MARGIN","EQY_FUND_YEAR=2016","FUND_PER=C2","EQY_FUND_CRNCY=USD","FILING_STATUS=MR","FA_ADJUSTED=GAAP","Fill=—")</f>
        <v>10.850694444444445</v>
      </c>
      <c r="T12" s="21">
        <f>_xll.BDP("NVDA US Equity","OPER_MARGIN","EQY_FUND_YEAR=2016","FUND_PER=C3","EQY_FUND_CRNCY=USD","FILING_STATUS=MR","FA_ADJUSTED=GAAP","Fill=—")</f>
        <v>13.715710723192021</v>
      </c>
      <c r="U12" s="21">
        <f>_xll.BDP("NVDA US Equity","OPER_MARGIN","EQY_FUND_YEAR=2016","FUND_PER=C4","EQY_FUND_CRNCY=USD","FILING_STATUS=MR","FA_ADJUSTED=GAAP","Fill=—")</f>
        <v>14.910179640718562</v>
      </c>
      <c r="V12" s="21">
        <f>_xll.BDP("NVDA US Equity","OPER_MARGIN","EQY_FUND_YEAR=2017","FUND_PER=C1","EQY_FUND_CRNCY=USD","FILING_STATUS=MR","FA_ADJUSTED=GAAP","Fill=—")</f>
        <v>18.773946360153257</v>
      </c>
      <c r="W12" s="21">
        <f>_xll.BDP("NVDA US Equity","OPER_MARGIN","EQY_FUND_YEAR=2017","FUND_PER=C2","EQY_FUND_CRNCY=USD","FILING_STATUS=MR","FA_ADJUSTED=GAAP","Fill=—")</f>
        <v>20.526893523600439</v>
      </c>
      <c r="X12" s="21">
        <f>_xll.BDP("NVDA US Equity","OPER_MARGIN","EQY_FUND_YEAR=2017","FUND_PER=C3","EQY_FUND_CRNCY=USD","FILING_STATUS=MR","FA_ADJUSTED=GAAP","Fill=—")</f>
        <v>25.353599324466963</v>
      </c>
      <c r="Y12" s="21">
        <f>_xll.BDP("NVDA US Equity","OPER_MARGIN","EQY_FUND_YEAR=2017","FUND_PER=C4","EQY_FUND_CRNCY=USD","FILING_STATUS=MR","FA_ADJUSTED=GAAP","Fill=—")</f>
        <v>27.988422575976845</v>
      </c>
      <c r="Z12" s="21">
        <f>_xll.BDP("NVDA US Equity","OPER_MARGIN","EQY_FUND_YEAR=2018","FUND_PER=C1","EQY_FUND_CRNCY=USD","FILING_STATUS=MR","FA_ADJUSTED=GAAP","Fill=—")</f>
        <v>28.600929272070214</v>
      </c>
      <c r="AA12" s="21">
        <f>_xll.BDP("NVDA US Equity","OPER_MARGIN","EQY_FUND_YEAR=2018","FUND_PER=C2","EQY_FUND_CRNCY=USD","FILING_STATUS=MR","FA_ADJUSTED=GAAP","Fill=—")</f>
        <v>29.805615550755938</v>
      </c>
      <c r="AB12" s="21">
        <f>_xll.BDP("NVDA US Equity","OPER_MARGIN","EQY_FUND_YEAR=2018","FUND_PER=C3","EQY_FUND_CRNCY=USD","FILING_STATUS=MR","FA_ADJUSTED=GAAP","Fill=—")</f>
        <v>31.412612082904602</v>
      </c>
      <c r="AC12" s="21">
        <f>_xll.BDP("NVDA US Equity","OPER_MARGIN","EQY_FUND_YEAR=2018","FUND_PER=C4","EQY_FUND_CRNCY=USD","FILING_STATUS=MR","FA_ADJUSTED=GAAP","Fill=—")</f>
        <v>33.045089561457694</v>
      </c>
      <c r="AD12" s="21">
        <f>_xll.BDP("NVDA US Equity","OPER_MARGIN","EQY_FUND_YEAR=2019","FUND_PER=C1","EQY_FUND_CRNCY=USD","FILING_STATUS=MR","FA_ADJUSTED=GAAP","Fill=—")</f>
        <v>40.380417835983785</v>
      </c>
      <c r="AE12" s="21">
        <f>_xll.BDP("NVDA US Equity","OPER_MARGIN","EQY_FUND_YEAR=2019","FUND_PER=C2","EQY_FUND_CRNCY=USD","FILING_STATUS=MR","FA_ADJUSTED=GAAP","Fill=—")</f>
        <v>38.736176935229068</v>
      </c>
      <c r="AF12" s="21">
        <f>_xll.BDP("NVDA US Equity","OPER_MARGIN","EQY_FUND_YEAR=2019","FUND_PER=C3","EQY_FUND_CRNCY=USD","FILING_STATUS=MR","FA_ADJUSTED=GAAP","Fill=—")</f>
        <v>36.904636736410474</v>
      </c>
      <c r="AG12" s="21">
        <f>_xll.BDP("NVDA US Equity","OPER_MARGIN","EQY_FUND_YEAR=2019","FUND_PER=C4","EQY_FUND_CRNCY=USD","FILING_STATUS=MR","FA_ADJUSTED=GAAP","Fill=—")</f>
        <v>32.468419255718679</v>
      </c>
      <c r="AH12" s="21">
        <f>_xll.BDP("NVDA US Equity","OPER_MARGIN","EQY_FUND_YEAR=2020","FUND_PER=C1","EQY_FUND_CRNCY=USD","FILING_STATUS=MR","FA_ADJUSTED=GAAP","Fill=—")</f>
        <v>16.126126126126124</v>
      </c>
      <c r="AI12" s="21">
        <f>_xll.BDP("NVDA US Equity","OPER_MARGIN","EQY_FUND_YEAR=2020","FUND_PER=C2","EQY_FUND_CRNCY=USD","FILING_STATUS=MR","FA_ADJUSTED=GAAP","Fill=—")</f>
        <v>19.358199624921859</v>
      </c>
      <c r="AJ12" s="21">
        <f>_xll.BDP("NVDA US Equity","OPER_MARGIN","EQY_FUND_YEAR=2020","FUND_PER=C3","EQY_FUND_CRNCY=USD","FILING_STATUS=MR","FA_ADJUSTED=GAAP","Fill=—")</f>
        <v>23.755279662101625</v>
      </c>
      <c r="AK12" s="21">
        <f>_xll.BDP("NVDA US Equity","OPER_MARGIN","EQY_FUND_YEAR=2020","FUND_PER=C4","EQY_FUND_CRNCY=USD","FILING_STATUS=MR","FA_ADJUSTED=GAAP","Fill=—")</f>
        <v>26.067045246382119</v>
      </c>
      <c r="AL12" s="21">
        <f>_xll.BDP("NVDA US Equity","OPER_MARGIN","EQY_FUND_YEAR=2021","FUND_PER=C1","EQY_FUND_CRNCY=USD","FILING_STATUS=MR","FA_ADJUSTED=GAAP","Fill=—")</f>
        <v>31.688311688311689</v>
      </c>
      <c r="AM12" s="21">
        <f>_xll.BDP("NVDA US Equity","OPER_MARGIN","EQY_FUND_YEAR=2021","FUND_PER=C2","EQY_FUND_CRNCY=USD","FILING_STATUS=MR","FA_ADJUSTED=GAAP","Fill=—")</f>
        <v>23.423553124100202</v>
      </c>
      <c r="AN12" s="21">
        <f>_xll.BDP("NVDA US Equity","OPER_MARGIN","EQY_FUND_YEAR=2021","FUND_PER=C3","EQY_FUND_CRNCY=USD","FILING_STATUS=MR","FA_ADJUSTED=GAAP","Fill=—")</f>
        <v>25.916723783413296</v>
      </c>
      <c r="AO12" s="21">
        <f>_xll.BDP("NVDA US Equity","OPER_MARGIN","EQY_FUND_YEAR=2021","FUND_PER=C4","EQY_FUND_CRNCY=USD","FILING_STATUS=MR","FA_ADJUSTED=GAAP","Fill=—")</f>
        <v>27.178410794602698</v>
      </c>
      <c r="AP12" s="21">
        <f>_xll.BDP("NVDA US Equity","OPER_MARGIN","EQY_FUND_YEAR=2022","FUND_PER=C1","EQY_FUND_CRNCY=USD","FILING_STATUS=MR","FA_ADJUSTED=GAAP","Fill=—")</f>
        <v>34.552199258081615</v>
      </c>
    </row>
    <row r="13" spans="1:42" x14ac:dyDescent="0.25">
      <c r="A13" s="18" t="s">
        <v>93</v>
      </c>
      <c r="B13" s="18" t="s">
        <v>94</v>
      </c>
      <c r="C13" s="21">
        <f>_xll.BDP("NVDA US Equity","PROF_MARGIN","EQY_FUND_YEAR=2012","FUND_PER=C2","EQY_FUND_CRNCY=USD","FILING_STATUS=MR","FA_ADJUSTED=GAAP","Fill=—")</f>
        <v>14.495015556800009</v>
      </c>
      <c r="D13" s="21">
        <f>_xll.BDP("NVDA US Equity","PROF_MARGIN","EQY_FUND_YEAR=2012","FUND_PER=C3","EQY_FUND_CRNCY=USD","FILING_STATUS=MR","FA_ADJUSTED=GAAP","Fill=—")</f>
        <v>15.274394890066004</v>
      </c>
      <c r="E13" s="21">
        <f>_xll.BDP("NVDA US Equity","PROF_MARGIN","EQY_FUND_YEAR=2012","FUND_PER=C4","EQY_FUND_CRNCY=USD","FILING_STATUS=MR","FA_ADJUSTED=GAAP","Fill=—")</f>
        <v>14.534771744377718</v>
      </c>
      <c r="F13" s="21">
        <f>_xll.BDP("NVDA US Equity","PROF_MARGIN","EQY_FUND_YEAR=2013","FUND_PER=C1","EQY_FUND_CRNCY=USD","FILING_STATUS=MR","FA_ADJUSTED=GAAP","Fill=—")</f>
        <v>6.5345986547400354</v>
      </c>
      <c r="G13" s="21">
        <f>_xll.BDP("NVDA US Equity","PROF_MARGIN","EQY_FUND_YEAR=2013","FUND_PER=C2","EQY_FUND_CRNCY=USD","FILING_STATUS=MR","FA_ADJUSTED=GAAP","Fill=—")</f>
        <v>9.1147588270454154</v>
      </c>
      <c r="H13" s="21">
        <f>_xll.BDP("NVDA US Equity","PROF_MARGIN","EQY_FUND_YEAR=2013","FUND_PER=C3","EQY_FUND_CRNCY=USD","FILING_STATUS=MR","FA_ADJUSTED=GAAP","Fill=—")</f>
        <v>12.244926900027322</v>
      </c>
      <c r="I13" s="21">
        <f>_xll.BDP("NVDA US Equity","PROF_MARGIN","EQY_FUND_YEAR=2013","FUND_PER=C4","EQY_FUND_CRNCY=USD","FILING_STATUS=MR","FA_ADJUSTED=GAAP","Fill=—")</f>
        <v>13.142876234270737</v>
      </c>
      <c r="J13" s="21">
        <f>_xll.BDP("NVDA US Equity","PROF_MARGIN","EQY_FUND_YEAR=2014","FUND_PER=C1","EQY_FUND_CRNCY=USD","FILING_STATUS=MR","FA_ADJUSTED=GAAP","Fill=—")</f>
        <v>8.1583553201450876</v>
      </c>
      <c r="K13" s="21">
        <f>_xll.BDP("NVDA US Equity","PROF_MARGIN","EQY_FUND_YEAR=2014","FUND_PER=C2","EQY_FUND_CRNCY=USD","FILING_STATUS=MR","FA_ADJUSTED=GAAP","Fill=—")</f>
        <v>9.0238651909417147</v>
      </c>
      <c r="L13" s="21">
        <f>_xll.BDP("NVDA US Equity","PROF_MARGIN","EQY_FUND_YEAR=2014","FUND_PER=C3","EQY_FUND_CRNCY=USD","FILING_STATUS=MR","FA_ADJUSTED=GAAP","Fill=—")</f>
        <v>9.815086954075495</v>
      </c>
      <c r="M13" s="21">
        <f>_xll.BDP("NVDA US Equity","PROF_MARGIN","EQY_FUND_YEAR=2014","FUND_PER=C4","EQY_FUND_CRNCY=USD","FILING_STATUS=MR","FA_ADJUSTED=GAAP","Fill=—")</f>
        <v>10.653753026634384</v>
      </c>
      <c r="N13" s="21">
        <f>_xll.BDP("NVDA US Equity","PROF_MARGIN","EQY_FUND_YEAR=2015","FUND_PER=C1","EQY_FUND_CRNCY=USD","FILING_STATUS=MR","FA_ADJUSTED=GAAP","Fill=—")</f>
        <v>12.42067089755213</v>
      </c>
      <c r="O13" s="21">
        <f>_xll.BDP("NVDA US Equity","PROF_MARGIN","EQY_FUND_YEAR=2015","FUND_PER=C2","EQY_FUND_CRNCY=USD","FILING_STATUS=MR","FA_ADJUSTED=GAAP","Fill=—")</f>
        <v>12.012692656391659</v>
      </c>
      <c r="P13" s="21">
        <f>_xll.BDP("NVDA US Equity","PROF_MARGIN","EQY_FUND_YEAR=2015","FUND_PER=C3","EQY_FUND_CRNCY=USD","FILING_STATUS=MR","FA_ADJUSTED=GAAP","Fill=—")</f>
        <v>12.736811425240454</v>
      </c>
      <c r="Q13" s="21">
        <f>_xll.BDP("NVDA US Equity","PROF_MARGIN","EQY_FUND_YEAR=2015","FUND_PER=C4","EQY_FUND_CRNCY=USD","FILING_STATUS=MR","FA_ADJUSTED=GAAP","Fill=—")</f>
        <v>13.477146518581803</v>
      </c>
      <c r="R13" s="21">
        <f>_xll.BDP("NVDA US Equity","PROF_MARGIN","EQY_FUND_YEAR=2016","FUND_PER=C1","EQY_FUND_CRNCY=USD","FILING_STATUS=MR","FA_ADJUSTED=GAAP","Fill=—")</f>
        <v>11.642050390964378</v>
      </c>
      <c r="S13" s="21">
        <f>_xll.BDP("NVDA US Equity","PROF_MARGIN","EQY_FUND_YEAR=2016","FUND_PER=C2","EQY_FUND_CRNCY=USD","FILING_STATUS=MR","FA_ADJUSTED=GAAP","Fill=—")</f>
        <v>6.9444444444444446</v>
      </c>
      <c r="T13" s="21">
        <f>_xll.BDP("NVDA US Equity","PROF_MARGIN","EQY_FUND_YEAR=2016","FUND_PER=C3","EQY_FUND_CRNCY=USD","FILING_STATUS=MR","FA_ADJUSTED=GAAP","Fill=—")</f>
        <v>11.249653643668605</v>
      </c>
      <c r="U13" s="21">
        <f>_xll.BDP("NVDA US Equity","PROF_MARGIN","EQY_FUND_YEAR=2016","FUND_PER=C4","EQY_FUND_CRNCY=USD","FILING_STATUS=MR","FA_ADJUSTED=GAAP","Fill=—")</f>
        <v>12.255489021956087</v>
      </c>
      <c r="V13" s="21">
        <f>_xll.BDP("NVDA US Equity","PROF_MARGIN","EQY_FUND_YEAR=2017","FUND_PER=C1","EQY_FUND_CRNCY=USD","FILING_STATUS=MR","FA_ADJUSTED=GAAP","Fill=—")</f>
        <v>15.938697318007664</v>
      </c>
      <c r="W13" s="21">
        <f>_xll.BDP("NVDA US Equity","PROF_MARGIN","EQY_FUND_YEAR=2017","FUND_PER=C2","EQY_FUND_CRNCY=USD","FILING_STATUS=MR","FA_ADJUSTED=GAAP","Fill=—")</f>
        <v>17.160629345042079</v>
      </c>
      <c r="X13" s="21">
        <f>_xll.BDP("NVDA US Equity","PROF_MARGIN","EQY_FUND_YEAR=2017","FUND_PER=C3","EQY_FUND_CRNCY=USD","FILING_STATUS=MR","FA_ADJUSTED=GAAP","Fill=—")</f>
        <v>21.363732320033776</v>
      </c>
      <c r="Y13" s="21">
        <f>_xll.BDP("NVDA US Equity","PROF_MARGIN","EQY_FUND_YEAR=2017","FUND_PER=C4","EQY_FUND_CRNCY=USD","FILING_STATUS=MR","FA_ADJUSTED=GAAP","Fill=—")</f>
        <v>24.109985528219973</v>
      </c>
      <c r="Z13" s="21">
        <f>_xll.BDP("NVDA US Equity","PROF_MARGIN","EQY_FUND_YEAR=2018","FUND_PER=C1","EQY_FUND_CRNCY=USD","FILING_STATUS=MR","FA_ADJUSTED=GAAP","Fill=—")</f>
        <v>26.174496644295303</v>
      </c>
      <c r="AA13" s="21">
        <f>_xll.BDP("NVDA US Equity","PROF_MARGIN","EQY_FUND_YEAR=2018","FUND_PER=C2","EQY_FUND_CRNCY=USD","FILING_STATUS=MR","FA_ADJUSTED=GAAP","Fill=—")</f>
        <v>26.181905447564198</v>
      </c>
      <c r="AB13" s="21">
        <f>_xll.BDP("NVDA US Equity","PROF_MARGIN","EQY_FUND_YEAR=2018","FUND_PER=C3","EQY_FUND_CRNCY=USD","FILING_STATUS=MR","FA_ADJUSTED=GAAP","Fill=—")</f>
        <v>28.340438042040279</v>
      </c>
      <c r="AC13" s="21">
        <f>_xll.BDP("NVDA US Equity","PROF_MARGIN","EQY_FUND_YEAR=2018","FUND_PER=C4","EQY_FUND_CRNCY=USD","FILING_STATUS=MR","FA_ADJUSTED=GAAP","Fill=—")</f>
        <v>31.367099032324479</v>
      </c>
      <c r="AD13" s="21">
        <f>_xll.BDP("NVDA US Equity","PROF_MARGIN","EQY_FUND_YEAR=2019","FUND_PER=C1","EQY_FUND_CRNCY=USD","FILING_STATUS=MR","FA_ADJUSTED=GAAP","Fill=—")</f>
        <v>38.790146554412225</v>
      </c>
      <c r="AE13" s="21">
        <f>_xll.BDP("NVDA US Equity","PROF_MARGIN","EQY_FUND_YEAR=2019","FUND_PER=C2","EQY_FUND_CRNCY=USD","FILING_STATUS=MR","FA_ADJUSTED=GAAP","Fill=—")</f>
        <v>37.04581358609795</v>
      </c>
      <c r="AF13" s="21">
        <f>_xll.BDP("NVDA US Equity","PROF_MARGIN","EQY_FUND_YEAR=2019","FUND_PER=C3","EQY_FUND_CRNCY=USD","FILING_STATUS=MR","FA_ADJUSTED=GAAP","Fill=—")</f>
        <v>37.588055935232887</v>
      </c>
      <c r="AG13" s="21">
        <f>_xll.BDP("NVDA US Equity","PROF_MARGIN","EQY_FUND_YEAR=2019","FUND_PER=C4","EQY_FUND_CRNCY=USD","FILING_STATUS=MR","FA_ADJUSTED=GAAP","Fill=—")</f>
        <v>35.344827586206897</v>
      </c>
      <c r="AH13" s="21">
        <f>_xll.BDP("NVDA US Equity","PROF_MARGIN","EQY_FUND_YEAR=2020","FUND_PER=C1","EQY_FUND_CRNCY=USD","FILING_STATUS=MR","FA_ADJUSTED=GAAP","Fill=—")</f>
        <v>17.747747747747749</v>
      </c>
      <c r="AI13" s="21">
        <f>_xll.BDP("NVDA US Equity","PROF_MARGIN","EQY_FUND_YEAR=2020","FUND_PER=C2","EQY_FUND_CRNCY=USD","FILING_STATUS=MR","FA_ADJUSTED=GAAP","Fill=—")</f>
        <v>19.733277766201294</v>
      </c>
      <c r="AJ13" s="21">
        <f>_xll.BDP("NVDA US Equity","PROF_MARGIN","EQY_FUND_YEAR=2020","FUND_PER=C3","EQY_FUND_CRNCY=USD","FILING_STATUS=MR","FA_ADJUSTED=GAAP","Fill=—")</f>
        <v>23.614488672724946</v>
      </c>
      <c r="AK13" s="21">
        <f>_xll.BDP("NVDA US Equity","PROF_MARGIN","EQY_FUND_YEAR=2020","FUND_PER=C4","EQY_FUND_CRNCY=USD","FILING_STATUS=MR","FA_ADJUSTED=GAAP","Fill=—")</f>
        <v>25.609085913170908</v>
      </c>
      <c r="AL13" s="21">
        <f>_xll.BDP("NVDA US Equity","PROF_MARGIN","EQY_FUND_YEAR=2021","FUND_PER=C1","EQY_FUND_CRNCY=USD","FILING_STATUS=MR","FA_ADJUSTED=GAAP","Fill=—")</f>
        <v>29.772727272727273</v>
      </c>
      <c r="AM13" s="21">
        <f>_xll.BDP("NVDA US Equity","PROF_MARGIN","EQY_FUND_YEAR=2021","FUND_PER=C2","EQY_FUND_CRNCY=USD","FILING_STATUS=MR","FA_ADJUSTED=GAAP","Fill=—")</f>
        <v>22.156636913331415</v>
      </c>
      <c r="AN13" s="21">
        <f>_xll.BDP("NVDA US Equity","PROF_MARGIN","EQY_FUND_YEAR=2021","FUND_PER=C3","EQY_FUND_CRNCY=USD","FILING_STATUS=MR","FA_ADJUSTED=GAAP","Fill=—")</f>
        <v>24.631596984235777</v>
      </c>
      <c r="AO13" s="21">
        <f>_xll.BDP("NVDA US Equity","PROF_MARGIN","EQY_FUND_YEAR=2021","FUND_PER=C4","EQY_FUND_CRNCY=USD","FILING_STATUS=MR","FA_ADJUSTED=GAAP","Fill=—")</f>
        <v>25.979010494752625</v>
      </c>
      <c r="AP13" s="21">
        <f>_xll.BDP("NVDA US Equity","PROF_MARGIN","EQY_FUND_YEAR=2022","FUND_PER=C1","EQY_FUND_CRNCY=USD","FILING_STATUS=MR","FA_ADJUSTED=GAAP","Fill=—")</f>
        <v>33.774951422010247</v>
      </c>
    </row>
    <row r="14" spans="1:42" x14ac:dyDescent="0.25">
      <c r="A14" s="1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1:42" x14ac:dyDescent="0.25">
      <c r="A15" s="14" t="s">
        <v>95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x14ac:dyDescent="0.25">
      <c r="A16" s="18" t="s">
        <v>96</v>
      </c>
      <c r="B16" s="18" t="s">
        <v>97</v>
      </c>
      <c r="C16" s="21">
        <f>_xll.BDP("NVDA US Equity","EFF_TAX_RATE","EQY_FUND_YEAR=2012","FUND_PER=C2","EQY_FUND_CRNCY=USD","FILING_STATUS=MR","FA_ADJUSTED=GAAP","Fill=—")</f>
        <v>14.14235761843177</v>
      </c>
      <c r="D16" s="21">
        <f>_xll.BDP("NVDA US Equity","EFF_TAX_RATE","EQY_FUND_YEAR=2012","FUND_PER=C3","EQY_FUND_CRNCY=USD","FILING_STATUS=MR","FA_ADJUSTED=GAAP","Fill=—")</f>
        <v>13.688084495906791</v>
      </c>
      <c r="E16" s="21">
        <f>_xll.BDP("NVDA US Equity","EFF_TAX_RATE","EQY_FUND_YEAR=2012","FUND_PER=C4","EQY_FUND_CRNCY=USD","FILING_STATUS=MR","FA_ADJUSTED=GAAP","Fill=—")</f>
        <v>12.4067676018547</v>
      </c>
      <c r="F16" s="21">
        <f>_xll.BDP("NVDA US Equity","EFF_TAX_RATE","EQY_FUND_YEAR=2013","FUND_PER=C1","EQY_FUND_CRNCY=USD","FILING_STATUS=MR","FA_ADJUSTED=GAAP","Fill=—")</f>
        <v>21.607108113366628</v>
      </c>
      <c r="G16" s="21">
        <f>_xll.BDP("NVDA US Equity","EFF_TAX_RATE","EQY_FUND_YEAR=2013","FUND_PER=C2","EQY_FUND_CRNCY=USD","FILING_STATUS=MR","FA_ADJUSTED=GAAP","Fill=—")</f>
        <v>19.26199826363117</v>
      </c>
      <c r="H16" s="21">
        <f>_xll.BDP("NVDA US Equity","EFF_TAX_RATE","EQY_FUND_YEAR=2013","FUND_PER=C3","EQY_FUND_CRNCY=USD","FILING_STATUS=MR","FA_ADJUSTED=GAAP","Fill=—")</f>
        <v>18.357282883443187</v>
      </c>
      <c r="I16" s="21">
        <f>_xll.BDP("NVDA US Equity","EFF_TAX_RATE","EQY_FUND_YEAR=2013","FUND_PER=C4","EQY_FUND_CRNCY=USD","FILING_STATUS=MR","FA_ADJUSTED=GAAP","Fill=—")</f>
        <v>15.029779212402893</v>
      </c>
      <c r="J16" s="21">
        <f>_xll.BDP("NVDA US Equity","EFF_TAX_RATE","EQY_FUND_YEAR=2014","FUND_PER=C1","EQY_FUND_CRNCY=USD","FILING_STATUS=MR","FA_ADJUSTED=GAAP","Fill=—")</f>
        <v>11.549817174263586</v>
      </c>
      <c r="K16" s="21">
        <f>_xll.BDP("NVDA US Equity","EFF_TAX_RATE","EQY_FUND_YEAR=2014","FUND_PER=C2","EQY_FUND_CRNCY=USD","FILING_STATUS=MR","FA_ADJUSTED=GAAP","Fill=—")</f>
        <v>12.779039633383697</v>
      </c>
      <c r="L16" s="21">
        <f>_xll.BDP("NVDA US Equity","EFF_TAX_RATE","EQY_FUND_YEAR=2014","FUND_PER=C3","EQY_FUND_CRNCY=USD","FILING_STATUS=MR","FA_ADJUSTED=GAAP","Fill=—")</f>
        <v>14.146985932986883</v>
      </c>
      <c r="M16" s="21">
        <f>_xll.BDP("NVDA US Equity","EFF_TAX_RATE","EQY_FUND_YEAR=2014","FUND_PER=C4","EQY_FUND_CRNCY=USD","FILING_STATUS=MR","FA_ADJUSTED=GAAP","Fill=—")</f>
        <v>13.725490196078432</v>
      </c>
      <c r="N16" s="21">
        <f>_xll.BDP("NVDA US Equity","EFF_TAX_RATE","EQY_FUND_YEAR=2015","FUND_PER=C1","EQY_FUND_CRNCY=USD","FILING_STATUS=MR","FA_ADJUSTED=GAAP","Fill=—")</f>
        <v>15.950920245398773</v>
      </c>
      <c r="O16" s="21">
        <f>_xll.BDP("NVDA US Equity","EFF_TAX_RATE","EQY_FUND_YEAR=2015","FUND_PER=C2","EQY_FUND_CRNCY=USD","FILING_STATUS=MR","FA_ADJUSTED=GAAP","Fill=—")</f>
        <v>16.666666666666664</v>
      </c>
      <c r="P16" s="21">
        <f>_xll.BDP("NVDA US Equity","EFF_TAX_RATE","EQY_FUND_YEAR=2015","FUND_PER=C3","EQY_FUND_CRNCY=USD","FILING_STATUS=MR","FA_ADJUSTED=GAAP","Fill=—")</f>
        <v>17.077798861480076</v>
      </c>
      <c r="Q16" s="21">
        <f>_xll.BDP("NVDA US Equity","EFF_TAX_RATE","EQY_FUND_YEAR=2015","FUND_PER=C4","EQY_FUND_CRNCY=USD","FILING_STATUS=MR","FA_ADJUSTED=GAAP","Fill=—")</f>
        <v>16.423841059602648</v>
      </c>
      <c r="R16" s="21">
        <f>_xll.BDP("NVDA US Equity","EFF_TAX_RATE","EQY_FUND_YEAR=2016","FUND_PER=C1","EQY_FUND_CRNCY=USD","FILING_STATUS=MR","FA_ADJUSTED=GAAP","Fill=—")</f>
        <v>22.093023255813954</v>
      </c>
      <c r="S16" s="21">
        <f>_xll.BDP("NVDA US Equity","EFF_TAX_RATE","EQY_FUND_YEAR=2016","FUND_PER=C2","EQY_FUND_CRNCY=USD","FILING_STATUS=MR","FA_ADJUSTED=GAAP","Fill=—")</f>
        <v>34.42622950819672</v>
      </c>
      <c r="T16" s="21">
        <f>_xll.BDP("NVDA US Equity","EFF_TAX_RATE","EQY_FUND_YEAR=2016","FUND_PER=C3","EQY_FUND_CRNCY=USD","FILING_STATUS=MR","FA_ADJUSTED=GAAP","Fill=—")</f>
        <v>16.973415132924334</v>
      </c>
      <c r="U16" s="21">
        <f>_xll.BDP("NVDA US Equity","EFF_TAX_RATE","EQY_FUND_YEAR=2016","FUND_PER=C4","EQY_FUND_CRNCY=USD","FILING_STATUS=MR","FA_ADJUSTED=GAAP","Fill=—")</f>
        <v>17.362045760430686</v>
      </c>
      <c r="V16" s="21">
        <f>_xll.BDP("NVDA US Equity","EFF_TAX_RATE","EQY_FUND_YEAR=2017","FUND_PER=C1","EQY_FUND_CRNCY=USD","FILING_STATUS=MR","FA_ADJUSTED=GAAP","Fill=—")</f>
        <v>13.692946058091287</v>
      </c>
      <c r="W16" s="21">
        <f>_xll.BDP("NVDA US Equity","EFF_TAX_RATE","EQY_FUND_YEAR=2017","FUND_PER=C2","EQY_FUND_CRNCY=USD","FILING_STATUS=MR","FA_ADJUSTED=GAAP","Fill=—")</f>
        <v>15.949820788530467</v>
      </c>
      <c r="X16" s="21">
        <f>_xll.BDP("NVDA US Equity","EFF_TAX_RATE","EQY_FUND_YEAR=2017","FUND_PER=C3","EQY_FUND_CRNCY=USD","FILING_STATUS=MR","FA_ADJUSTED=GAAP","Fill=—")</f>
        <v>14.237288135593221</v>
      </c>
      <c r="Y16" s="21">
        <f>_xll.BDP("NVDA US Equity","EFF_TAX_RATE","EQY_FUND_YEAR=2017","FUND_PER=C4","EQY_FUND_CRNCY=USD","FILING_STATUS=MR","FA_ADJUSTED=GAAP","Fill=—")</f>
        <v>12.545931758530186</v>
      </c>
      <c r="Z16" s="21">
        <f>_xll.BDP("NVDA US Equity","EFF_TAX_RATE","EQY_FUND_YEAR=2018","FUND_PER=C1","EQY_FUND_CRNCY=USD","FILING_STATUS=MR","FA_ADJUSTED=GAAP","Fill=—")</f>
        <v>5.4104477611940291</v>
      </c>
      <c r="AA16" s="21">
        <f>_xll.BDP("NVDA US Equity","EFF_TAX_RATE","EQY_FUND_YEAR=2018","FUND_PER=C2","EQY_FUND_CRNCY=USD","FILING_STATUS=MR","FA_ADJUSTED=GAAP","Fill=—")</f>
        <v>10.647010647010648</v>
      </c>
      <c r="AB16" s="21">
        <f>_xll.BDP("NVDA US Equity","EFF_TAX_RATE","EQY_FUND_YEAR=2018","FUND_PER=C3","EQY_FUND_CRNCY=USD","FILING_STATUS=MR","FA_ADJUSTED=GAAP","Fill=—")</f>
        <v>8.9277279168634855</v>
      </c>
      <c r="AC16" s="21">
        <f>_xll.BDP("NVDA US Equity","EFF_TAX_RATE","EQY_FUND_YEAR=2018","FUND_PER=C4","EQY_FUND_CRNCY=USD","FILING_STATUS=MR","FA_ADJUSTED=GAAP","Fill=—")</f>
        <v>4.6620775969962454</v>
      </c>
      <c r="AD16" s="21">
        <f>_xll.BDP("NVDA US Equity","EFF_TAX_RATE","EQY_FUND_YEAR=2019","FUND_PER=C1","EQY_FUND_CRNCY=USD","FILING_STATUS=MR","FA_ADJUSTED=GAAP","Fill=—")</f>
        <v>5.110602593440122</v>
      </c>
      <c r="AE16" s="21">
        <f>_xll.BDP("NVDA US Equity","EFF_TAX_RATE","EQY_FUND_YEAR=2019","FUND_PER=C2","EQY_FUND_CRNCY=USD","FILING_STATUS=MR","FA_ADJUSTED=GAAP","Fill=—")</f>
        <v>5.8610999598554798</v>
      </c>
      <c r="AF16" s="21" t="str">
        <f>_xll.BDP("NVDA US Equity","EFF_TAX_RATE","EQY_FUND_YEAR=2019","FUND_PER=C3","EQY_FUND_CRNCY=USD","FILING_STATUS=MR","FA_ADJUSTED=GAAP","Fill=—")</f>
        <v>—</v>
      </c>
      <c r="AG16" s="21" t="str">
        <f>_xll.BDP("NVDA US Equity","EFF_TAX_RATE","EQY_FUND_YEAR=2019","FUND_PER=C4","EQY_FUND_CRNCY=USD","FILING_STATUS=MR","FA_ADJUSTED=GAAP","Fill=—")</f>
        <v>—</v>
      </c>
      <c r="AH16" s="21" t="str">
        <f>_xll.BDP("NVDA US Equity","EFF_TAX_RATE","EQY_FUND_YEAR=2020","FUND_PER=C1","EQY_FUND_CRNCY=USD","FILING_STATUS=MR","FA_ADJUSTED=GAAP","Fill=—")</f>
        <v>—</v>
      </c>
      <c r="AI16" s="21">
        <f>_xll.BDP("NVDA US Equity","EFF_TAX_RATE","EQY_FUND_YEAR=2020","FUND_PER=C2","EQY_FUND_CRNCY=USD","FILING_STATUS=MR","FA_ADJUSTED=GAAP","Fill=—")</f>
        <v>4.8241206030150749</v>
      </c>
      <c r="AJ16" s="21">
        <f>_xll.BDP("NVDA US Equity","EFF_TAX_RATE","EQY_FUND_YEAR=2020","FUND_PER=C3","EQY_FUND_CRNCY=USD","FILING_STATUS=MR","FA_ADJUSTED=GAAP","Fill=—")</f>
        <v>5.5783009211873082</v>
      </c>
      <c r="AK16" s="21">
        <f>_xll.BDP("NVDA US Equity","EFF_TAX_RATE","EQY_FUND_YEAR=2020","FUND_PER=C4","EQY_FUND_CRNCY=USD","FILING_STATUS=MR","FA_ADJUSTED=GAAP","Fill=—")</f>
        <v>5.858585858585859</v>
      </c>
      <c r="AL16" s="21">
        <f>_xll.BDP("NVDA US Equity","EFF_TAX_RATE","EQY_FUND_YEAR=2021","FUND_PER=C1","EQY_FUND_CRNCY=USD","FILING_STATUS=MR","FA_ADJUSTED=GAAP","Fill=—")</f>
        <v>6.5239551478083593</v>
      </c>
      <c r="AM16" s="21">
        <f>_xll.BDP("NVDA US Equity","EFF_TAX_RATE","EQY_FUND_YEAR=2021","FUND_PER=C2","EQY_FUND_CRNCY=USD","FILING_STATUS=MR","FA_ADJUSTED=GAAP","Fill=—")</f>
        <v>3.2683846637335008</v>
      </c>
      <c r="AN16" s="21">
        <f>_xll.BDP("NVDA US Equity","EFF_TAX_RATE","EQY_FUND_YEAR=2021","FUND_PER=C3","EQY_FUND_CRNCY=USD","FILING_STATUS=MR","FA_ADJUSTED=GAAP","Fill=—")</f>
        <v>2.1776114324600204</v>
      </c>
      <c r="AO16" s="21">
        <f>_xll.BDP("NVDA US Equity","EFF_TAX_RATE","EQY_FUND_YEAR=2021","FUND_PER=C4","EQY_FUND_CRNCY=USD","FILING_STATUS=MR","FA_ADJUSTED=GAAP","Fill=—")</f>
        <v>1.7464277613971422</v>
      </c>
      <c r="AP16" s="21">
        <f>_xll.BDP("NVDA US Equity","EFF_TAX_RATE","EQY_FUND_YEAR=2022","FUND_PER=C1","EQY_FUND_CRNCY=USD","FILING_STATUS=MR","FA_ADJUSTED=GAAP","Fill=—")</f>
        <v>6.4579256360078272</v>
      </c>
    </row>
    <row r="17" spans="1:42" x14ac:dyDescent="0.25">
      <c r="A17" s="18" t="s">
        <v>98</v>
      </c>
      <c r="B17" s="18" t="s">
        <v>99</v>
      </c>
      <c r="C17" s="21">
        <f>_xll.BDP("NVDA US Equity","DVD_PAYOUT_RATIO","EQY_FUND_YEAR=2012","FUND_PER=C2","EQY_FUND_CRNCY=USD","FILING_STATUS=MR","FA_ADJUSTED=GAAP","Fill=—")</f>
        <v>0</v>
      </c>
      <c r="D17" s="21">
        <f>_xll.BDP("NVDA US Equity","DVD_PAYOUT_RATIO","EQY_FUND_YEAR=2012","FUND_PER=C3","EQY_FUND_CRNCY=USD","FILING_STATUS=MR","FA_ADJUSTED=GAAP","Fill=—")</f>
        <v>0</v>
      </c>
      <c r="E17" s="21">
        <f>_xll.BDP("NVDA US Equity","DVD_PAYOUT_RATIO","EQY_FUND_YEAR=2012","FUND_PER=C4","EQY_FUND_CRNCY=USD","FILING_STATUS=MR","FA_ADJUSTED=GAAP","Fill=—")</f>
        <v>0</v>
      </c>
      <c r="F17" s="21">
        <f>_xll.BDP("NVDA US Equity","DVD_PAYOUT_RATIO","EQY_FUND_YEAR=2013","FUND_PER=C1","EQY_FUND_CRNCY=USD","FILING_STATUS=MR","FA_ADJUSTED=GAAP","Fill=—")</f>
        <v>0</v>
      </c>
      <c r="G17" s="21">
        <f>_xll.BDP("NVDA US Equity","DVD_PAYOUT_RATIO","EQY_FUND_YEAR=2013","FUND_PER=C2","EQY_FUND_CRNCY=USD","FILING_STATUS=MR","FA_ADJUSTED=GAAP","Fill=—")</f>
        <v>0</v>
      </c>
      <c r="H17" s="21">
        <f>_xll.BDP("NVDA US Equity","DVD_PAYOUT_RATIO","EQY_FUND_YEAR=2013","FUND_PER=C3","EQY_FUND_CRNCY=USD","FILING_STATUS=MR","FA_ADJUSTED=GAAP","Fill=—")</f>
        <v>0</v>
      </c>
      <c r="I17" s="21">
        <f>_xll.BDP("NVDA US Equity","DVD_PAYOUT_RATIO","EQY_FUND_YEAR=2013","FUND_PER=C4","EQY_FUND_CRNCY=USD","FILING_STATUS=MR","FA_ADJUSTED=GAAP","Fill=—")</f>
        <v>8.3312001365245969</v>
      </c>
      <c r="J17" s="21">
        <f>_xll.BDP("NVDA US Equity","DVD_PAYOUT_RATIO","EQY_FUND_YEAR=2014","FUND_PER=C1","EQY_FUND_CRNCY=USD","FILING_STATUS=MR","FA_ADJUSTED=GAAP","Fill=—")</f>
        <v>59.397619750677237</v>
      </c>
      <c r="K17" s="21">
        <f>_xll.BDP("NVDA US Equity","DVD_PAYOUT_RATIO","EQY_FUND_YEAR=2014","FUND_PER=C2","EQY_FUND_CRNCY=USD","FILING_STATUS=MR","FA_ADJUSTED=GAAP","Fill=—")</f>
        <v>51.718978541806479</v>
      </c>
      <c r="L17" s="21">
        <f>_xll.BDP("NVDA US Equity","DVD_PAYOUT_RATIO","EQY_FUND_YEAR=2014","FUND_PER=C3","EQY_FUND_CRNCY=USD","FILING_STATUS=MR","FA_ADJUSTED=GAAP","Fill=—")</f>
        <v>45.63084112149533</v>
      </c>
      <c r="M17" s="21">
        <f>_xll.BDP("NVDA US Equity","DVD_PAYOUT_RATIO","EQY_FUND_YEAR=2014","FUND_PER=C4","EQY_FUND_CRNCY=USD","FILING_STATUS=MR","FA_ADJUSTED=GAAP","Fill=—")</f>
        <v>41.13636363636364</v>
      </c>
      <c r="N17" s="21">
        <f>_xll.BDP("NVDA US Equity","DVD_PAYOUT_RATIO","EQY_FUND_YEAR=2015","FUND_PER=C1","EQY_FUND_CRNCY=USD","FILING_STATUS=MR","FA_ADJUSTED=GAAP","Fill=—")</f>
        <v>34.087591240875916</v>
      </c>
      <c r="O17" s="21">
        <f>_xll.BDP("NVDA US Equity","DVD_PAYOUT_RATIO","EQY_FUND_YEAR=2015","FUND_PER=C2","EQY_FUND_CRNCY=USD","FILING_STATUS=MR","FA_ADJUSTED=GAAP","Fill=—")</f>
        <v>35.860377358490567</v>
      </c>
      <c r="P17" s="21">
        <f>_xll.BDP("NVDA US Equity","DVD_PAYOUT_RATIO","EQY_FUND_YEAR=2015","FUND_PER=C3","EQY_FUND_CRNCY=USD","FILING_STATUS=MR","FA_ADJUSTED=GAAP","Fill=—")</f>
        <v>32.38558352402746</v>
      </c>
      <c r="Q17" s="21">
        <f>_xll.BDP("NVDA US Equity","DVD_PAYOUT_RATIO","EQY_FUND_YEAR=2015","FUND_PER=C4","EQY_FUND_CRNCY=USD","FILING_STATUS=MR","FA_ADJUSTED=GAAP","Fill=—")</f>
        <v>29.477020602218701</v>
      </c>
      <c r="R17" s="21">
        <f>_xll.BDP("NVDA US Equity","DVD_PAYOUT_RATIO","EQY_FUND_YEAR=2016","FUND_PER=C1","EQY_FUND_CRNCY=USD","FILING_STATUS=MR","FA_ADJUSTED=GAAP","Fill=—")</f>
        <v>34.328358208955223</v>
      </c>
      <c r="S17" s="21">
        <f>_xll.BDP("NVDA US Equity","DVD_PAYOUT_RATIO","EQY_FUND_YEAR=2016","FUND_PER=C2","EQY_FUND_CRNCY=USD","FILING_STATUS=MR","FA_ADJUSTED=GAAP","Fill=—")</f>
        <v>61.875</v>
      </c>
      <c r="T17" s="21">
        <f>_xll.BDP("NVDA US Equity","DVD_PAYOUT_RATIO","EQY_FUND_YEAR=2016","FUND_PER=C3","EQY_FUND_CRNCY=USD","FILING_STATUS=MR","FA_ADJUSTED=GAAP","Fill=—")</f>
        <v>37.438423645320199</v>
      </c>
      <c r="U17" s="21">
        <f>_xll.BDP("NVDA US Equity","DVD_PAYOUT_RATIO","EQY_FUND_YEAR=2016","FUND_PER=C4","EQY_FUND_CRNCY=USD","FILING_STATUS=MR","FA_ADJUSTED=GAAP","Fill=—")</f>
        <v>34.690553745928341</v>
      </c>
      <c r="V17" s="21">
        <f>_xll.BDP("NVDA US Equity","DVD_PAYOUT_RATIO","EQY_FUND_YEAR=2017","FUND_PER=C1","EQY_FUND_CRNCY=USD","FILING_STATUS=MR","FA_ADJUSTED=GAAP","Fill=—")</f>
        <v>29.807692307692307</v>
      </c>
      <c r="W17" s="21">
        <f>_xll.BDP("NVDA US Equity","DVD_PAYOUT_RATIO","EQY_FUND_YEAR=2017","FUND_PER=C2","EQY_FUND_CRNCY=USD","FILING_STATUS=MR","FA_ADJUSTED=GAAP","Fill=—")</f>
        <v>26.439232409381663</v>
      </c>
      <c r="X17" s="21">
        <f>_xll.BDP("NVDA US Equity","DVD_PAYOUT_RATIO","EQY_FUND_YEAR=2017","FUND_PER=C3","EQY_FUND_CRNCY=USD","FILING_STATUS=MR","FA_ADJUSTED=GAAP","Fill=—")</f>
        <v>18.280632411067195</v>
      </c>
      <c r="Y17" s="21">
        <f>_xll.BDP("NVDA US Equity","DVD_PAYOUT_RATIO","EQY_FUND_YEAR=2017","FUND_PER=C4","EQY_FUND_CRNCY=USD","FILING_STATUS=MR","FA_ADJUSTED=GAAP","Fill=—")</f>
        <v>15.666266506602641</v>
      </c>
      <c r="Z17" s="21">
        <f>_xll.BDP("NVDA US Equity","DVD_PAYOUT_RATIO","EQY_FUND_YEAR=2018","FUND_PER=C1","EQY_FUND_CRNCY=USD","FILING_STATUS=MR","FA_ADJUSTED=GAAP","Fill=—")</f>
        <v>16.173570019723865</v>
      </c>
      <c r="AA17" s="21">
        <f>_xll.BDP("NVDA US Equity","DVD_PAYOUT_RATIO","EQY_FUND_YEAR=2018","FUND_PER=C2","EQY_FUND_CRNCY=USD","FILING_STATUS=MR","FA_ADJUSTED=GAAP","Fill=—")</f>
        <v>15.215398716773601</v>
      </c>
      <c r="AB17" s="21">
        <f>_xll.BDP("NVDA US Equity","DVD_PAYOUT_RATIO","EQY_FUND_YEAR=2018","FUND_PER=C3","EQY_FUND_CRNCY=USD","FILING_STATUS=MR","FA_ADJUSTED=GAAP","Fill=—")</f>
        <v>12.966804979253114</v>
      </c>
      <c r="AC17" s="21">
        <f>_xll.BDP("NVDA US Equity","DVD_PAYOUT_RATIO","EQY_FUND_YEAR=2018","FUND_PER=C4","EQY_FUND_CRNCY=USD","FILING_STATUS=MR","FA_ADJUSTED=GAAP","Fill=—")</f>
        <v>11.191335740072201</v>
      </c>
      <c r="AD17" s="21">
        <f>_xll.BDP("NVDA US Equity","DVD_PAYOUT_RATIO","EQY_FUND_YEAR=2019","FUND_PER=C1","EQY_FUND_CRNCY=USD","FILING_STATUS=MR","FA_ADJUSTED=GAAP","Fill=—")</f>
        <v>7.3151125401929269</v>
      </c>
      <c r="AE17" s="21">
        <f>_xll.BDP("NVDA US Equity","DVD_PAYOUT_RATIO","EQY_FUND_YEAR=2019","FUND_PER=C2","EQY_FUND_CRNCY=USD","FILING_STATUS=MR","FA_ADJUSTED=GAAP","Fill=—")</f>
        <v>7.7654584221748397</v>
      </c>
      <c r="AF17" s="21">
        <f>_xll.BDP("NVDA US Equity","DVD_PAYOUT_RATIO","EQY_FUND_YEAR=2019","FUND_PER=C3","EQY_FUND_CRNCY=USD","FILING_STATUS=MR","FA_ADJUSTED=GAAP","Fill=—")</f>
        <v>7.6643356643356642</v>
      </c>
      <c r="AG17" s="21">
        <f>_xll.BDP("NVDA US Equity","DVD_PAYOUT_RATIO","EQY_FUND_YEAR=2019","FUND_PER=C4","EQY_FUND_CRNCY=USD","FILING_STATUS=MR","FA_ADJUSTED=GAAP","Fill=—")</f>
        <v>8.959188601787007</v>
      </c>
      <c r="AH17" s="21">
        <f>_xll.BDP("NVDA US Equity","DVD_PAYOUT_RATIO","EQY_FUND_YEAR=2020","FUND_PER=C1","EQY_FUND_CRNCY=USD","FILING_STATUS=MR","FA_ADJUSTED=GAAP","Fill=—")</f>
        <v>24.61928934010152</v>
      </c>
      <c r="AI17" s="21">
        <f>_xll.BDP("NVDA US Equity","DVD_PAYOUT_RATIO","EQY_FUND_YEAR=2020","FUND_PER=C2","EQY_FUND_CRNCY=USD","FILING_STATUS=MR","FA_ADJUSTED=GAAP","Fill=—")</f>
        <v>20.4857444561774</v>
      </c>
      <c r="AJ17" s="21">
        <f>_xll.BDP("NVDA US Equity","DVD_PAYOUT_RATIO","EQY_FUND_YEAR=2020","FUND_PER=C3","EQY_FUND_CRNCY=USD","FILING_STATUS=MR","FA_ADJUSTED=GAAP","Fill=—")</f>
        <v>15.84390243902439</v>
      </c>
      <c r="AK17" s="21">
        <f>_xll.BDP("NVDA US Equity","DVD_PAYOUT_RATIO","EQY_FUND_YEAR=2020","FUND_PER=C4","EQY_FUND_CRNCY=USD","FILING_STATUS=MR","FA_ADJUSTED=GAAP","Fill=—")</f>
        <v>13.939914163090128</v>
      </c>
      <c r="AL17" s="21">
        <f>_xll.BDP("NVDA US Equity","DVD_PAYOUT_RATIO","EQY_FUND_YEAR=2021","FUND_PER=C1","EQY_FUND_CRNCY=USD","FILING_STATUS=MR","FA_ADJUSTED=GAAP","Fill=—")</f>
        <v>10.713195201744821</v>
      </c>
      <c r="AM17" s="21">
        <f>_xll.BDP("NVDA US Equity","DVD_PAYOUT_RATIO","EQY_FUND_YEAR=2021","FUND_PER=C2","EQY_FUND_CRNCY=USD","FILING_STATUS=MR","FA_ADJUSTED=GAAP","Fill=—")</f>
        <v>12.800519818063677</v>
      </c>
      <c r="AN17" s="21">
        <f>_xll.BDP("NVDA US Equity","DVD_PAYOUT_RATIO","EQY_FUND_YEAR=2021","FUND_PER=C3","EQY_FUND_CRNCY=USD","FILING_STATUS=MR","FA_ADJUSTED=GAAP","Fill=—")</f>
        <v>10.295652173913043</v>
      </c>
      <c r="AO17" s="21">
        <f>_xll.BDP("NVDA US Equity","DVD_PAYOUT_RATIO","EQY_FUND_YEAR=2021","FUND_PER=C4","EQY_FUND_CRNCY=USD","FILING_STATUS=MR","FA_ADJUSTED=GAAP","Fill=—")</f>
        <v>9.1181902123730385</v>
      </c>
      <c r="AP17" s="21">
        <f>_xll.BDP("NVDA US Equity","DVD_PAYOUT_RATIO","EQY_FUND_YEAR=2022","FUND_PER=C1","EQY_FUND_CRNCY=USD","FILING_STATUS=MR","FA_ADJUSTED=GAAP","Fill=—")</f>
        <v>5.1778242677824267</v>
      </c>
    </row>
    <row r="18" spans="1:42" x14ac:dyDescent="0.25">
      <c r="A18" s="15" t="s">
        <v>100</v>
      </c>
      <c r="B18" s="15"/>
      <c r="C18" s="15" t="s"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3" t="s">
        <v>2</v>
      </c>
      <c r="B4" s="3"/>
      <c r="C4" s="4" t="s">
        <v>177</v>
      </c>
      <c r="D4" s="4" t="s">
        <v>176</v>
      </c>
      <c r="E4" s="4" t="s">
        <v>175</v>
      </c>
      <c r="F4" s="4" t="s">
        <v>174</v>
      </c>
      <c r="G4" s="4" t="s">
        <v>173</v>
      </c>
      <c r="H4" s="4" t="s">
        <v>172</v>
      </c>
      <c r="I4" s="4" t="s">
        <v>171</v>
      </c>
      <c r="J4" s="4" t="s">
        <v>170</v>
      </c>
      <c r="K4" s="4" t="s">
        <v>169</v>
      </c>
      <c r="L4" s="4" t="s">
        <v>168</v>
      </c>
      <c r="M4" s="4" t="s">
        <v>167</v>
      </c>
      <c r="N4" s="4" t="s">
        <v>166</v>
      </c>
      <c r="O4" s="4" t="s">
        <v>165</v>
      </c>
      <c r="P4" s="4" t="s">
        <v>164</v>
      </c>
      <c r="Q4" s="4" t="s">
        <v>163</v>
      </c>
      <c r="R4" s="4" t="s">
        <v>162</v>
      </c>
      <c r="S4" s="4" t="s">
        <v>161</v>
      </c>
      <c r="T4" s="4" t="s">
        <v>160</v>
      </c>
      <c r="U4" s="4" t="s">
        <v>159</v>
      </c>
      <c r="V4" s="4" t="s">
        <v>158</v>
      </c>
      <c r="W4" s="4" t="s">
        <v>157</v>
      </c>
      <c r="X4" s="4" t="s">
        <v>156</v>
      </c>
      <c r="Y4" s="4" t="s">
        <v>155</v>
      </c>
      <c r="Z4" s="4" t="s">
        <v>154</v>
      </c>
      <c r="AA4" s="4" t="s">
        <v>153</v>
      </c>
      <c r="AB4" s="4" t="s">
        <v>152</v>
      </c>
      <c r="AC4" s="4" t="s">
        <v>151</v>
      </c>
      <c r="AD4" s="4" t="s">
        <v>150</v>
      </c>
      <c r="AE4" s="4" t="s">
        <v>149</v>
      </c>
      <c r="AF4" s="4" t="s">
        <v>148</v>
      </c>
      <c r="AG4" s="4" t="s">
        <v>147</v>
      </c>
      <c r="AH4" s="4" t="s">
        <v>146</v>
      </c>
      <c r="AI4" s="4" t="s">
        <v>145</v>
      </c>
      <c r="AJ4" s="4" t="s">
        <v>144</v>
      </c>
      <c r="AK4" s="4" t="s">
        <v>143</v>
      </c>
      <c r="AL4" s="4" t="s">
        <v>142</v>
      </c>
      <c r="AM4" s="4" t="s">
        <v>141</v>
      </c>
      <c r="AN4" s="4" t="s">
        <v>140</v>
      </c>
      <c r="AO4" s="4" t="s">
        <v>139</v>
      </c>
      <c r="AP4" s="4" t="s">
        <v>138</v>
      </c>
    </row>
    <row r="5" spans="1:42" x14ac:dyDescent="0.25">
      <c r="A5" s="5" t="s">
        <v>137</v>
      </c>
      <c r="B5" s="5"/>
      <c r="C5" s="6" t="s">
        <v>44</v>
      </c>
      <c r="D5" s="6" t="s">
        <v>45</v>
      </c>
      <c r="E5" s="6" t="s">
        <v>46</v>
      </c>
      <c r="F5" s="6" t="s">
        <v>47</v>
      </c>
      <c r="G5" s="6" t="s">
        <v>48</v>
      </c>
      <c r="H5" s="6" t="s">
        <v>49</v>
      </c>
      <c r="I5" s="6" t="s">
        <v>50</v>
      </c>
      <c r="J5" s="6" t="s">
        <v>51</v>
      </c>
      <c r="K5" s="6" t="s">
        <v>52</v>
      </c>
      <c r="L5" s="6" t="s">
        <v>53</v>
      </c>
      <c r="M5" s="6" t="s">
        <v>54</v>
      </c>
      <c r="N5" s="6" t="s">
        <v>55</v>
      </c>
      <c r="O5" s="6" t="s">
        <v>56</v>
      </c>
      <c r="P5" s="6" t="s">
        <v>57</v>
      </c>
      <c r="Q5" s="6" t="s">
        <v>58</v>
      </c>
      <c r="R5" s="6" t="s">
        <v>59</v>
      </c>
      <c r="S5" s="6" t="s">
        <v>60</v>
      </c>
      <c r="T5" s="6" t="s">
        <v>61</v>
      </c>
      <c r="U5" s="6" t="s">
        <v>62</v>
      </c>
      <c r="V5" s="6" t="s">
        <v>63</v>
      </c>
      <c r="W5" s="6" t="s">
        <v>64</v>
      </c>
      <c r="X5" s="6" t="s">
        <v>65</v>
      </c>
      <c r="Y5" s="6" t="s">
        <v>66</v>
      </c>
      <c r="Z5" s="6" t="s">
        <v>67</v>
      </c>
      <c r="AA5" s="6" t="s">
        <v>68</v>
      </c>
      <c r="AB5" s="6" t="s">
        <v>69</v>
      </c>
      <c r="AC5" s="6" t="s">
        <v>70</v>
      </c>
      <c r="AD5" s="6" t="s">
        <v>71</v>
      </c>
      <c r="AE5" s="6" t="s">
        <v>72</v>
      </c>
      <c r="AF5" s="6" t="s">
        <v>73</v>
      </c>
      <c r="AG5" s="6" t="s">
        <v>74</v>
      </c>
      <c r="AH5" s="6" t="s">
        <v>75</v>
      </c>
      <c r="AI5" s="6" t="s">
        <v>76</v>
      </c>
      <c r="AJ5" s="6" t="s">
        <v>77</v>
      </c>
      <c r="AK5" s="6" t="s">
        <v>78</v>
      </c>
      <c r="AL5" s="6" t="s">
        <v>79</v>
      </c>
      <c r="AM5" s="6" t="s">
        <v>80</v>
      </c>
      <c r="AN5" s="6" t="s">
        <v>81</v>
      </c>
      <c r="AO5" s="6" t="s">
        <v>82</v>
      </c>
      <c r="AP5" s="6" t="s">
        <v>83</v>
      </c>
    </row>
    <row r="6" spans="1:42" x14ac:dyDescent="0.25">
      <c r="A6" s="7" t="s">
        <v>136</v>
      </c>
      <c r="B6" s="7" t="s">
        <v>135</v>
      </c>
      <c r="C6" s="21">
        <f>_xll.BDH("NVDA US Equity","CASH_RATIO","FQ2 2012","FQ2 2012","Currency=USD","Period=FQ","BEST_FPERIOD_OVERRIDE=FQ","FILING_STATUS=MR","Sort=A","Dates=H","DateFormat=P","Fill=—","Direction=H","UseDPDF=Y")</f>
        <v>2.5768</v>
      </c>
      <c r="D6" s="21">
        <f>_xll.BDH("NVDA US Equity","CASH_RATIO","FQ3 2012","FQ3 2012","Currency=USD","Period=FQ","BEST_FPERIOD_OVERRIDE=FQ","FILING_STATUS=MR","Sort=A","Dates=H","DateFormat=P","Fill=—","Direction=H","UseDPDF=Y")</f>
        <v>3.0996000000000001</v>
      </c>
      <c r="E6" s="21">
        <f>_xll.BDH("NVDA US Equity","CASH_RATIO","FQ4 2012","FQ4 2012","Currency=USD","Period=FQ","BEST_FPERIOD_OVERRIDE=FQ","FILING_STATUS=MR","Sort=A","Dates=H","DateFormat=P","Fill=—","Direction=H","UseDPDF=Y")</f>
        <v>3.3653</v>
      </c>
      <c r="F6" s="21">
        <f>_xll.BDH("NVDA US Equity","CASH_RATIO","FQ1 2013","FQ1 2013","Currency=USD","Period=FQ","BEST_FPERIOD_OVERRIDE=FQ","FILING_STATUS=MR","Sort=A","Dates=H","DateFormat=P","Fill=—","Direction=H","UseDPDF=Y")</f>
        <v>3.3045999999999998</v>
      </c>
      <c r="G6" s="21">
        <f>_xll.BDH("NVDA US Equity","CASH_RATIO","FQ2 2013","FQ2 2013","Currency=USD","Period=FQ","BEST_FPERIOD_OVERRIDE=FQ","FILING_STATUS=MR","Sort=A","Dates=H","DateFormat=P","Fill=—","Direction=H","UseDPDF=Y")</f>
        <v>3.2077</v>
      </c>
      <c r="H6" s="21">
        <f>_xll.BDH("NVDA US Equity","CASH_RATIO","FQ3 2013","FQ3 2013","Currency=USD","Period=FQ","BEST_FPERIOD_OVERRIDE=FQ","FILING_STATUS=MR","Sort=A","Dates=H","DateFormat=P","Fill=—","Direction=H","UseDPDF=Y")</f>
        <v>3.4647000000000001</v>
      </c>
      <c r="I6" s="21">
        <f>_xll.BDH("NVDA US Equity","CASH_RATIO","FQ4 2013","FQ4 2013","Currency=USD","Period=FQ","BEST_FPERIOD_OVERRIDE=FQ","FILING_STATUS=MR","Sort=A","Dates=H","DateFormat=P","Fill=—","Direction=H","UseDPDF=Y")</f>
        <v>3.8186999999999998</v>
      </c>
      <c r="J6" s="21">
        <f>_xll.BDH("NVDA US Equity","CASH_RATIO","FQ1 2014","FQ1 2014","Currency=USD","Period=FQ","BEST_FPERIOD_OVERRIDE=FQ","FILING_STATUS=MR","Sort=A","Dates=H","DateFormat=P","Fill=—","Direction=H","UseDPDF=Y")</f>
        <v>4.0118999999999998</v>
      </c>
      <c r="K6" s="21">
        <f>_xll.BDH("NVDA US Equity","CASH_RATIO","FQ2 2014","FQ2 2014","Currency=USD","Period=FQ","BEST_FPERIOD_OVERRIDE=FQ","FILING_STATUS=MR","Sort=A","Dates=H","DateFormat=P","Fill=—","Direction=H","UseDPDF=Y")</f>
        <v>3.1373000000000002</v>
      </c>
      <c r="L6" s="21">
        <f>_xll.BDH("NVDA US Equity","CASH_RATIO","FQ3 2014","FQ3 2014","Currency=USD","Period=FQ","BEST_FPERIOD_OVERRIDE=FQ","FILING_STATUS=MR","Sort=A","Dates=H","DateFormat=P","Fill=—","Direction=H","UseDPDF=Y")</f>
        <v>3.0762</v>
      </c>
      <c r="M6" s="21">
        <f>_xll.BDH("NVDA US Equity","CASH_RATIO","FQ4 2014","FQ4 2014","Currency=USD","Period=FQ","BEST_FPERIOD_OVERRIDE=FQ","FILING_STATUS=MR","Sort=A","Dates=H","DateFormat=P","Fill=—","Direction=H","UseDPDF=Y")</f>
        <v>4.9411000000000005</v>
      </c>
      <c r="N6" s="21">
        <f>_xll.BDH("NVDA US Equity","CASH_RATIO","FQ1 2015","FQ1 2015","Currency=USD","Period=FQ","BEST_FPERIOD_OVERRIDE=FQ","FILING_STATUS=MR","Sort=A","Dates=H","DateFormat=P","Fill=—","Direction=H","UseDPDF=Y")</f>
        <v>4.8419999999999996</v>
      </c>
      <c r="O6" s="21">
        <f>_xll.BDH("NVDA US Equity","CASH_RATIO","FQ2 2015","FQ2 2015","Currency=USD","Period=FQ","BEST_FPERIOD_OVERRIDE=FQ","FILING_STATUS=MR","Sort=A","Dates=H","DateFormat=P","Fill=—","Direction=H","UseDPDF=Y")</f>
        <v>5.0488</v>
      </c>
      <c r="P6" s="21">
        <f>_xll.BDH("NVDA US Equity","CASH_RATIO","FQ3 2015","FQ3 2015","Currency=USD","Period=FQ","BEST_FPERIOD_OVERRIDE=FQ","FILING_STATUS=MR","Sort=A","Dates=H","DateFormat=P","Fill=—","Direction=H","UseDPDF=Y")</f>
        <v>4.5408999999999997</v>
      </c>
      <c r="Q6" s="21">
        <f>_xll.BDH("NVDA US Equity","CASH_RATIO","FQ4 2015","FQ4 2015","Currency=USD","Period=FQ","BEST_FPERIOD_OVERRIDE=FQ","FILING_STATUS=MR","Sort=A","Dates=H","DateFormat=P","Fill=—","Direction=H","UseDPDF=Y")</f>
        <v>5.1596000000000002</v>
      </c>
      <c r="R6" s="21">
        <f>_xll.BDH("NVDA US Equity","CASH_RATIO","FQ1 2016","FQ1 2016","Currency=USD","Period=FQ","BEST_FPERIOD_OVERRIDE=FQ","FILING_STATUS=MR","Sort=A","Dates=H","DateFormat=P","Fill=—","Direction=H","UseDPDF=Y")</f>
        <v>5.4269999999999996</v>
      </c>
      <c r="S6" s="21">
        <f>_xll.BDH("NVDA US Equity","CASH_RATIO","FQ2 2016","FQ2 2016","Currency=USD","Period=FQ","BEST_FPERIOD_OVERRIDE=FQ","FILING_STATUS=MR","Sort=A","Dates=H","DateFormat=P","Fill=—","Direction=H","UseDPDF=Y")</f>
        <v>4.8129999999999997</v>
      </c>
      <c r="T6" s="21">
        <f>_xll.BDH("NVDA US Equity","CASH_RATIO","FQ3 2016","FQ3 2016","Currency=USD","Period=FQ","BEST_FPERIOD_OVERRIDE=FQ","FILING_STATUS=MR","Sort=A","Dates=H","DateFormat=P","Fill=—","Direction=H","UseDPDF=Y")</f>
        <v>5.5297999999999998</v>
      </c>
      <c r="U6" s="21">
        <f>_xll.BDH("NVDA US Equity","CASH_RATIO","FQ4 2016","FQ4 2016","Currency=USD","Period=FQ","BEST_FPERIOD_OVERRIDE=FQ","FILING_STATUS=MR","Sort=A","Dates=H","DateFormat=P","Fill=—","Direction=H","UseDPDF=Y")</f>
        <v>2.1425000000000001</v>
      </c>
      <c r="V6" s="21">
        <f>_xll.BDH("NVDA US Equity","CASH_RATIO","FQ1 2017","FQ1 2017","Currency=USD","Period=FQ","BEST_FPERIOD_OVERRIDE=FQ","FILING_STATUS=MR","Sort=A","Dates=H","DateFormat=P","Fill=—","Direction=H","UseDPDF=Y")</f>
        <v>2</v>
      </c>
      <c r="W6" s="21">
        <f>_xll.BDH("NVDA US Equity","CASH_RATIO","FQ2 2017","FQ2 2017","Currency=USD","Period=FQ","BEST_FPERIOD_OVERRIDE=FQ","FILING_STATUS=MR","Sort=A","Dates=H","DateFormat=P","Fill=—","Direction=H","UseDPDF=Y")</f>
        <v>2.0270000000000001</v>
      </c>
      <c r="X6" s="21">
        <f>_xll.BDH("NVDA US Equity","CASH_RATIO","FQ3 2017","FQ3 2017","Currency=USD","Period=FQ","BEST_FPERIOD_OVERRIDE=FQ","FILING_STATUS=MR","Sort=A","Dates=H","DateFormat=P","Fill=—","Direction=H","UseDPDF=Y")</f>
        <v>3.2685</v>
      </c>
      <c r="Y6" s="21">
        <f>_xll.BDH("NVDA US Equity","CASH_RATIO","FQ4 2017","FQ4 2017","Currency=USD","Period=FQ","BEST_FPERIOD_OVERRIDE=FQ","FILING_STATUS=MR","Sort=A","Dates=H","DateFormat=P","Fill=—","Direction=H","UseDPDF=Y")</f>
        <v>3.802</v>
      </c>
      <c r="Z6" s="21">
        <f>_xll.BDH("NVDA US Equity","CASH_RATIO","FQ1 2018","FQ1 2018","Currency=USD","Period=FQ","BEST_FPERIOD_OVERRIDE=FQ","FILING_STATUS=MR","Sort=A","Dates=H","DateFormat=P","Fill=—","Direction=H","UseDPDF=Y")</f>
        <v>6.3132999999999999</v>
      </c>
      <c r="AA6" s="21">
        <f>_xll.BDH("NVDA US Equity","CASH_RATIO","FQ2 2018","FQ2 2018","Currency=USD","Period=FQ","BEST_FPERIOD_OVERRIDE=FQ","FILING_STATUS=MR","Sort=A","Dates=H","DateFormat=P","Fill=—","Direction=H","UseDPDF=Y")</f>
        <v>5.6947999999999999</v>
      </c>
      <c r="AB6" s="21">
        <f>_xll.BDH("NVDA US Equity","CASH_RATIO","FQ3 2018","FQ3 2018","Currency=USD","Period=FQ","BEST_FPERIOD_OVERRIDE=FQ","FILING_STATUS=MR","Sort=A","Dates=H","DateFormat=P","Fill=—","Direction=H","UseDPDF=Y")</f>
        <v>6.1538000000000004</v>
      </c>
      <c r="AC6" s="21">
        <f>_xll.BDH("NVDA US Equity","CASH_RATIO","FQ4 2018","FQ4 2018","Currency=USD","Period=FQ","BEST_FPERIOD_OVERRIDE=FQ","FILING_STATUS=MR","Sort=A","Dates=H","DateFormat=P","Fill=—","Direction=H","UseDPDF=Y")</f>
        <v>6.1647999999999996</v>
      </c>
      <c r="AD6" s="21">
        <f>_xll.BDH("NVDA US Equity","CASH_RATIO","FQ1 2019","FQ1 2019","Currency=USD","Period=FQ","BEST_FPERIOD_OVERRIDE=FQ","FILING_STATUS=MR","Sort=A","Dates=H","DateFormat=P","Fill=—","Direction=H","UseDPDF=Y")</f>
        <v>6.6004000000000005</v>
      </c>
      <c r="AE6" s="21">
        <f>_xll.BDH("NVDA US Equity","CASH_RATIO","FQ2 2019","FQ2 2019","Currency=USD","Period=FQ","BEST_FPERIOD_OVERRIDE=FQ","FILING_STATUS=MR","Sort=A","Dates=H","DateFormat=P","Fill=—","Direction=H","UseDPDF=Y")</f>
        <v>5.4329999999999998</v>
      </c>
      <c r="AF6" s="21">
        <f>_xll.BDH("NVDA US Equity","CASH_RATIO","FQ3 2019","FQ3 2019","Currency=USD","Period=FQ","BEST_FPERIOD_OVERRIDE=FQ","FILING_STATUS=MR","Sort=A","Dates=H","DateFormat=P","Fill=—","Direction=H","UseDPDF=Y")</f>
        <v>4.7207999999999997</v>
      </c>
      <c r="AG6" s="21">
        <f>_xll.BDH("NVDA US Equity","CASH_RATIO","FQ4 2019","FQ4 2019","Currency=USD","Period=FQ","BEST_FPERIOD_OVERRIDE=FQ","FILING_STATUS=MR","Sort=A","Dates=H","DateFormat=P","Fill=—","Direction=H","UseDPDF=Y")</f>
        <v>5.5846999999999998</v>
      </c>
      <c r="AH6" s="21">
        <f>_xll.BDH("NVDA US Equity","CASH_RATIO","FQ1 2020","FQ1 2020","Currency=USD","Period=FQ","BEST_FPERIOD_OVERRIDE=FQ","FILING_STATUS=MR","Sort=A","Dates=H","DateFormat=P","Fill=—","Direction=H","UseDPDF=Y")</f>
        <v>6.5951000000000004</v>
      </c>
      <c r="AI6" s="21">
        <f>_xll.BDH("NVDA US Equity","CASH_RATIO","FQ2 2020","FQ2 2020","Currency=USD","Period=FQ","BEST_FPERIOD_OVERRIDE=FQ","FILING_STATUS=MR","Sort=A","Dates=H","DateFormat=P","Fill=—","Direction=H","UseDPDF=Y")</f>
        <v>6.4351000000000003</v>
      </c>
      <c r="AJ6" s="21">
        <f>_xll.BDH("NVDA US Equity","CASH_RATIO","FQ3 2020","FQ3 2020","Currency=USD","Period=FQ","BEST_FPERIOD_OVERRIDE=FQ","FILING_STATUS=MR","Sort=A","Dates=H","DateFormat=P","Fill=—","Direction=H","UseDPDF=Y")</f>
        <v>6.6231</v>
      </c>
      <c r="AK6" s="21">
        <f>_xll.BDH("NVDA US Equity","CASH_RATIO","FQ4 2020","FQ4 2020","Currency=USD","Period=FQ","BEST_FPERIOD_OVERRIDE=FQ","FILING_STATUS=MR","Sort=A","Dates=H","DateFormat=P","Fill=—","Direction=H","UseDPDF=Y")</f>
        <v>6.1082000000000001</v>
      </c>
      <c r="AL6" s="21">
        <f>_xll.BDH("NVDA US Equity","CASH_RATIO","FQ1 2021","FQ1 2021","Currency=USD","Period=FQ","BEST_FPERIOD_OVERRIDE=FQ","FILING_STATUS=MR","Sort=A","Dates=H","DateFormat=P","Fill=—","Direction=H","UseDPDF=Y")</f>
        <v>8.5937999999999999</v>
      </c>
      <c r="AM6" s="21">
        <f>_xll.BDH("NVDA US Equity","CASH_RATIO","FQ2 2021","FQ2 2021","Currency=USD","Period=FQ","BEST_FPERIOD_OVERRIDE=FQ","FILING_STATUS=MR","Sort=A","Dates=H","DateFormat=P","Fill=—","Direction=H","UseDPDF=Y")</f>
        <v>4.5564</v>
      </c>
      <c r="AN6" s="21">
        <f>_xll.BDH("NVDA US Equity","CASH_RATIO","FQ3 2021","FQ3 2021","Currency=USD","Period=FQ","BEST_FPERIOD_OVERRIDE=FQ","FILING_STATUS=MR","Sort=A","Dates=H","DateFormat=P","Fill=—","Direction=H","UseDPDF=Y")</f>
        <v>2.7633999999999999</v>
      </c>
      <c r="AO6" s="21">
        <f>_xll.BDH("NVDA US Equity","CASH_RATIO","FQ4 2021","FQ4 2021","Currency=USD","Period=FQ","BEST_FPERIOD_OVERRIDE=FQ","FILING_STATUS=MR","Sort=A","Dates=H","DateFormat=P","Fill=—","Direction=H","UseDPDF=Y")</f>
        <v>2.9455</v>
      </c>
      <c r="AP6" s="21">
        <f>_xll.BDH("NVDA US Equity","CASH_RATIO","FQ1 2022","FQ1 2022","Currency=USD","Period=FQ","BEST_FPERIOD_OVERRIDE=FQ","FILING_STATUS=MR","Sort=A","Dates=H","DateFormat=P","Fill=—","Direction=H","UseDPDF=Y")</f>
        <v>3.1636000000000002</v>
      </c>
    </row>
    <row r="7" spans="1:42" x14ac:dyDescent="0.25">
      <c r="A7" s="7" t="s">
        <v>134</v>
      </c>
      <c r="B7" s="7" t="s">
        <v>133</v>
      </c>
      <c r="C7" s="21">
        <f>_xll.BDH("NVDA US Equity","CUR_RATIO","FQ2 2012","FQ2 2012","Currency=USD","Period=FQ","BEST_FPERIOD_OVERRIDE=FQ","FILING_STATUS=MR","Sort=A","Dates=H","DateFormat=P","Fill=—","Direction=H","UseDPDF=Y")</f>
        <v>3.4546999999999999</v>
      </c>
      <c r="D7" s="21">
        <f>_xll.BDH("NVDA US Equity","CUR_RATIO","FQ3 2012","FQ3 2012","Currency=USD","Period=FQ","BEST_FPERIOD_OVERRIDE=FQ","FILING_STATUS=MR","Sort=A","Dates=H","DateFormat=P","Fill=—","Direction=H","UseDPDF=Y")</f>
        <v>3.9474</v>
      </c>
      <c r="E7" s="21">
        <f>_xll.BDH("NVDA US Equity","CUR_RATIO","FQ4 2012","FQ4 2012","Currency=USD","Period=FQ","BEST_FPERIOD_OVERRIDE=FQ","FILING_STATUS=MR","Sort=A","Dates=H","DateFormat=P","Fill=—","Direction=H","UseDPDF=Y")</f>
        <v>4.1995000000000005</v>
      </c>
      <c r="F7" s="21">
        <f>_xll.BDH("NVDA US Equity","CUR_RATIO","FQ1 2013","FQ1 2013","Currency=USD","Period=FQ","BEST_FPERIOD_OVERRIDE=FQ","FILING_STATUS=MR","Sort=A","Dates=H","DateFormat=P","Fill=—","Direction=H","UseDPDF=Y")</f>
        <v>4.2560000000000002</v>
      </c>
      <c r="G7" s="21">
        <f>_xll.BDH("NVDA US Equity","CUR_RATIO","FQ2 2013","FQ2 2013","Currency=USD","Period=FQ","BEST_FPERIOD_OVERRIDE=FQ","FILING_STATUS=MR","Sort=A","Dates=H","DateFormat=P","Fill=—","Direction=H","UseDPDF=Y")</f>
        <v>4.1233000000000004</v>
      </c>
      <c r="H7" s="21">
        <f>_xll.BDH("NVDA US Equity","CUR_RATIO","FQ3 2013","FQ3 2013","Currency=USD","Period=FQ","BEST_FPERIOD_OVERRIDE=FQ","FILING_STATUS=MR","Sort=A","Dates=H","DateFormat=P","Fill=—","Direction=H","UseDPDF=Y")</f>
        <v>4.4634</v>
      </c>
      <c r="I7" s="21">
        <f>_xll.BDH("NVDA US Equity","CUR_RATIO","FQ4 2013","FQ4 2013","Currency=USD","Period=FQ","BEST_FPERIOD_OVERRIDE=FQ","FILING_STATUS=MR","Sort=A","Dates=H","DateFormat=P","Fill=—","Direction=H","UseDPDF=Y")</f>
        <v>4.8916000000000004</v>
      </c>
      <c r="J7" s="21">
        <f>_xll.BDH("NVDA US Equity","CUR_RATIO","FQ1 2014","FQ1 2014","Currency=USD","Period=FQ","BEST_FPERIOD_OVERRIDE=FQ","FILING_STATUS=MR","Sort=A","Dates=H","DateFormat=P","Fill=—","Direction=H","UseDPDF=Y")</f>
        <v>4.9770000000000003</v>
      </c>
      <c r="K7" s="21">
        <f>_xll.BDH("NVDA US Equity","CUR_RATIO","FQ2 2014","FQ2 2014","Currency=USD","Period=FQ","BEST_FPERIOD_OVERRIDE=FQ","FILING_STATUS=MR","Sort=A","Dates=H","DateFormat=P","Fill=—","Direction=H","UseDPDF=Y")</f>
        <v>4.1917999999999997</v>
      </c>
      <c r="L7" s="21">
        <f>_xll.BDH("NVDA US Equity","CUR_RATIO","FQ3 2014","FQ3 2014","Currency=USD","Period=FQ","BEST_FPERIOD_OVERRIDE=FQ","FILING_STATUS=MR","Sort=A","Dates=H","DateFormat=P","Fill=—","Direction=H","UseDPDF=Y")</f>
        <v>4.1075999999999997</v>
      </c>
      <c r="M7" s="21">
        <f>_xll.BDH("NVDA US Equity","CUR_RATIO","FQ4 2014","FQ4 2014","Currency=USD","Period=FQ","BEST_FPERIOD_OVERRIDE=FQ","FILING_STATUS=MR","Sort=A","Dates=H","DateFormat=P","Fill=—","Direction=H","UseDPDF=Y")</f>
        <v>5.9489999999999998</v>
      </c>
      <c r="N7" s="21">
        <f>_xll.BDH("NVDA US Equity","CUR_RATIO","FQ1 2015","FQ1 2015","Currency=USD","Period=FQ","BEST_FPERIOD_OVERRIDE=FQ","FILING_STATUS=MR","Sort=A","Dates=H","DateFormat=P","Fill=—","Direction=H","UseDPDF=Y")</f>
        <v>5.8731999999999998</v>
      </c>
      <c r="O7" s="21">
        <f>_xll.BDH("NVDA US Equity","CUR_RATIO","FQ2 2015","FQ2 2015","Currency=USD","Period=FQ","BEST_FPERIOD_OVERRIDE=FQ","FILING_STATUS=MR","Sort=A","Dates=H","DateFormat=P","Fill=—","Direction=H","UseDPDF=Y")</f>
        <v>6.1901999999999999</v>
      </c>
      <c r="P7" s="21">
        <f>_xll.BDH("NVDA US Equity","CUR_RATIO","FQ3 2015","FQ3 2015","Currency=USD","Period=FQ","BEST_FPERIOD_OVERRIDE=FQ","FILING_STATUS=MR","Sort=A","Dates=H","DateFormat=P","Fill=—","Direction=H","UseDPDF=Y")</f>
        <v>5.7191000000000001</v>
      </c>
      <c r="Q7" s="21">
        <f>_xll.BDH("NVDA US Equity","CUR_RATIO","FQ4 2015","FQ4 2015","Currency=USD","Period=FQ","BEST_FPERIOD_OVERRIDE=FQ","FILING_STATUS=MR","Sort=A","Dates=H","DateFormat=P","Fill=—","Direction=H","UseDPDF=Y")</f>
        <v>6.3761000000000001</v>
      </c>
      <c r="R7" s="21">
        <f>_xll.BDH("NVDA US Equity","CUR_RATIO","FQ1 2016","FQ1 2016","Currency=USD","Period=FQ","BEST_FPERIOD_OVERRIDE=FQ","FILING_STATUS=MR","Sort=A","Dates=H","DateFormat=P","Fill=—","Direction=H","UseDPDF=Y")</f>
        <v>6.6048</v>
      </c>
      <c r="S7" s="21">
        <f>_xll.BDH("NVDA US Equity","CUR_RATIO","FQ2 2016","FQ2 2016","Currency=USD","Period=FQ","BEST_FPERIOD_OVERRIDE=FQ","FILING_STATUS=MR","Sort=A","Dates=H","DateFormat=P","Fill=—","Direction=H","UseDPDF=Y")</f>
        <v>5.9915000000000003</v>
      </c>
      <c r="T7" s="21">
        <f>_xll.BDH("NVDA US Equity","CUR_RATIO","FQ3 2016","FQ3 2016","Currency=USD","Period=FQ","BEST_FPERIOD_OVERRIDE=FQ","FILING_STATUS=MR","Sort=A","Dates=H","DateFormat=P","Fill=—","Direction=H","UseDPDF=Y")</f>
        <v>6.8234000000000004</v>
      </c>
      <c r="U7" s="21">
        <f>_xll.BDH("NVDA US Equity","CUR_RATIO","FQ4 2016","FQ4 2016","Currency=USD","Period=FQ","BEST_FPERIOD_OVERRIDE=FQ","FILING_STATUS=MR","Sort=A","Dates=H","DateFormat=P","Fill=—","Direction=H","UseDPDF=Y")</f>
        <v>2.5746000000000002</v>
      </c>
      <c r="V7" s="21">
        <f>_xll.BDH("NVDA US Equity","CUR_RATIO","FQ1 2017","FQ1 2017","Currency=USD","Period=FQ","BEST_FPERIOD_OVERRIDE=FQ","FILING_STATUS=MR","Sort=A","Dates=H","DateFormat=P","Fill=—","Direction=H","UseDPDF=Y")</f>
        <v>2.4358</v>
      </c>
      <c r="W7" s="21">
        <f>_xll.BDH("NVDA US Equity","CUR_RATIO","FQ2 2017","FQ2 2017","Currency=USD","Period=FQ","BEST_FPERIOD_OVERRIDE=FQ","FILING_STATUS=MR","Sort=A","Dates=H","DateFormat=P","Fill=—","Direction=H","UseDPDF=Y")</f>
        <v>2.5575000000000001</v>
      </c>
      <c r="X7" s="21">
        <f>_xll.BDH("NVDA US Equity","CUR_RATIO","FQ3 2017","FQ3 2017","Currency=USD","Period=FQ","BEST_FPERIOD_OVERRIDE=FQ","FILING_STATUS=MR","Sort=A","Dates=H","DateFormat=P","Fill=—","Direction=H","UseDPDF=Y")</f>
        <v>4.0701000000000001</v>
      </c>
      <c r="Y7" s="21">
        <f>_xll.BDH("NVDA US Equity","CUR_RATIO","FQ4 2017","FQ4 2017","Currency=USD","Period=FQ","BEST_FPERIOD_OVERRIDE=FQ","FILING_STATUS=MR","Sort=A","Dates=H","DateFormat=P","Fill=—","Direction=H","UseDPDF=Y")</f>
        <v>4.774</v>
      </c>
      <c r="Z7" s="21">
        <f>_xll.BDH("NVDA US Equity","CUR_RATIO","FQ1 2018","FQ1 2018","Currency=USD","Period=FQ","BEST_FPERIOD_OVERRIDE=FQ","FILING_STATUS=MR","Sort=A","Dates=H","DateFormat=P","Fill=—","Direction=H","UseDPDF=Y")</f>
        <v>8.2563999999999993</v>
      </c>
      <c r="AA7" s="21">
        <f>_xll.BDH("NVDA US Equity","CUR_RATIO","FQ2 2018","FQ2 2018","Currency=USD","Period=FQ","BEST_FPERIOD_OVERRIDE=FQ","FILING_STATUS=MR","Sort=A","Dates=H","DateFormat=P","Fill=—","Direction=H","UseDPDF=Y")</f>
        <v>7.8197999999999999</v>
      </c>
      <c r="AB7" s="21">
        <f>_xll.BDH("NVDA US Equity","CUR_RATIO","FQ3 2018","FQ3 2018","Currency=USD","Period=FQ","BEST_FPERIOD_OVERRIDE=FQ","FILING_STATUS=MR","Sort=A","Dates=H","DateFormat=P","Fill=—","Direction=H","UseDPDF=Y")</f>
        <v>8.2561</v>
      </c>
      <c r="AC7" s="21">
        <f>_xll.BDH("NVDA US Equity","CUR_RATIO","FQ4 2018","FQ4 2018","Currency=USD","Period=FQ","BEST_FPERIOD_OVERRIDE=FQ","FILING_STATUS=MR","Sort=A","Dates=H","DateFormat=P","Fill=—","Direction=H","UseDPDF=Y")</f>
        <v>8.0268999999999995</v>
      </c>
      <c r="AD7" s="21">
        <f>_xll.BDH("NVDA US Equity","CUR_RATIO","FQ1 2019","FQ1 2019","Currency=USD","Period=FQ","BEST_FPERIOD_OVERRIDE=FQ","FILING_STATUS=MR","Sort=A","Dates=H","DateFormat=P","Fill=—","Direction=H","UseDPDF=Y")</f>
        <v>8.5425000000000004</v>
      </c>
      <c r="AE7" s="21">
        <f>_xll.BDH("NVDA US Equity","CUR_RATIO","FQ2 2019","FQ2 2019","Currency=USD","Period=FQ","BEST_FPERIOD_OVERRIDE=FQ","FILING_STATUS=MR","Sort=A","Dates=H","DateFormat=P","Fill=—","Direction=H","UseDPDF=Y")</f>
        <v>7.4082999999999997</v>
      </c>
      <c r="AF7" s="21">
        <f>_xll.BDH("NVDA US Equity","CUR_RATIO","FQ3 2019","FQ3 2019","Currency=USD","Period=FQ","BEST_FPERIOD_OVERRIDE=FQ","FILING_STATUS=MR","Sort=A","Dates=H","DateFormat=P","Fill=—","Direction=H","UseDPDF=Y")</f>
        <v>7.0808</v>
      </c>
      <c r="AG7" s="21">
        <f>_xll.BDH("NVDA US Equity","CUR_RATIO","FQ4 2019","FQ4 2019","Currency=USD","Period=FQ","BEST_FPERIOD_OVERRIDE=FQ","FILING_STATUS=MR","Sort=A","Dates=H","DateFormat=P","Fill=—","Direction=H","UseDPDF=Y")</f>
        <v>7.9436</v>
      </c>
      <c r="AH7" s="21">
        <f>_xll.BDH("NVDA US Equity","CUR_RATIO","FQ1 2020","FQ1 2020","Currency=USD","Period=FQ","BEST_FPERIOD_OVERRIDE=FQ","FILING_STATUS=MR","Sort=A","Dates=H","DateFormat=P","Fill=—","Direction=H","UseDPDF=Y")</f>
        <v>8.9847999999999999</v>
      </c>
      <c r="AI7" s="21">
        <f>_xll.BDH("NVDA US Equity","CUR_RATIO","FQ2 2020","FQ2 2020","Currency=USD","Period=FQ","BEST_FPERIOD_OVERRIDE=FQ","FILING_STATUS=MR","Sort=A","Dates=H","DateFormat=P","Fill=—","Direction=H","UseDPDF=Y")</f>
        <v>8.6492000000000004</v>
      </c>
      <c r="AJ7" s="21">
        <f>_xll.BDH("NVDA US Equity","CUR_RATIO","FQ3 2020","FQ3 2020","Currency=USD","Period=FQ","BEST_FPERIOD_OVERRIDE=FQ","FILING_STATUS=MR","Sort=A","Dates=H","DateFormat=P","Fill=—","Direction=H","UseDPDF=Y")</f>
        <v>8.4202999999999992</v>
      </c>
      <c r="AK7" s="21">
        <f>_xll.BDH("NVDA US Equity","CUR_RATIO","FQ4 2020","FQ4 2020","Currency=USD","Period=FQ","BEST_FPERIOD_OVERRIDE=FQ","FILING_STATUS=MR","Sort=A","Dates=H","DateFormat=P","Fill=—","Direction=H","UseDPDF=Y")</f>
        <v>7.6738</v>
      </c>
      <c r="AL7" s="21">
        <f>_xll.BDH("NVDA US Equity","CUR_RATIO","FQ1 2021","FQ1 2021","Currency=USD","Period=FQ","BEST_FPERIOD_OVERRIDE=FQ","FILING_STATUS=MR","Sort=A","Dates=H","DateFormat=P","Fill=—","Direction=H","UseDPDF=Y")</f>
        <v>10.2911</v>
      </c>
      <c r="AM7" s="21">
        <f>_xll.BDH("NVDA US Equity","CUR_RATIO","FQ2 2021","FQ2 2021","Currency=USD","Period=FQ","BEST_FPERIOD_OVERRIDE=FQ","FILING_STATUS=MR","Sort=A","Dates=H","DateFormat=P","Fill=—","Direction=H","UseDPDF=Y")</f>
        <v>6.0917000000000003</v>
      </c>
      <c r="AN7" s="21">
        <f>_xll.BDH("NVDA US Equity","CUR_RATIO","FQ3 2021","FQ3 2021","Currency=USD","Period=FQ","BEST_FPERIOD_OVERRIDE=FQ","FILING_STATUS=MR","Sort=A","Dates=H","DateFormat=P","Fill=—","Direction=H","UseDPDF=Y")</f>
        <v>3.9229000000000003</v>
      </c>
      <c r="AO7" s="21">
        <f>_xll.BDH("NVDA US Equity","CUR_RATIO","FQ4 2021","FQ4 2021","Currency=USD","Period=FQ","BEST_FPERIOD_OVERRIDE=FQ","FILING_STATUS=MR","Sort=A","Dates=H","DateFormat=P","Fill=—","Direction=H","UseDPDF=Y")</f>
        <v>4.0903999999999998</v>
      </c>
      <c r="AP7" s="21">
        <f>_xll.BDH("NVDA US Equity","CUR_RATIO","FQ1 2022","FQ1 2022","Currency=USD","Period=FQ","BEST_FPERIOD_OVERRIDE=FQ","FILING_STATUS=MR","Sort=A","Dates=H","DateFormat=P","Fill=—","Direction=H","UseDPDF=Y")</f>
        <v>4.5271999999999997</v>
      </c>
    </row>
    <row r="8" spans="1:42" x14ac:dyDescent="0.25">
      <c r="A8" s="7" t="s">
        <v>132</v>
      </c>
      <c r="B8" s="7" t="s">
        <v>131</v>
      </c>
      <c r="C8" s="21">
        <f>_xll.BDH("NVDA US Equity","QUICK_RATIO","FQ2 2012","FQ2 2012","Currency=USD","Period=FQ","BEST_FPERIOD_OVERRIDE=FQ","FILING_STATUS=MR","Sort=A","Dates=H","DateFormat=P","Fill=—","Direction=H","UseDPDF=Y")</f>
        <v>3.0141</v>
      </c>
      <c r="D8" s="21">
        <f>_xll.BDH("NVDA US Equity","QUICK_RATIO","FQ3 2012","FQ3 2012","Currency=USD","Period=FQ","BEST_FPERIOD_OVERRIDE=FQ","FILING_STATUS=MR","Sort=A","Dates=H","DateFormat=P","Fill=—","Direction=H","UseDPDF=Y")</f>
        <v>3.5183</v>
      </c>
      <c r="E8" s="21">
        <f>_xll.BDH("NVDA US Equity","QUICK_RATIO","FQ4 2012","FQ4 2012","Currency=USD","Period=FQ","BEST_FPERIOD_OVERRIDE=FQ","FILING_STATUS=MR","Sort=A","Dates=H","DateFormat=P","Fill=—","Direction=H","UseDPDF=Y")</f>
        <v>3.7267000000000001</v>
      </c>
      <c r="F8" s="21">
        <f>_xll.BDH("NVDA US Equity","QUICK_RATIO","FQ1 2013","FQ1 2013","Currency=USD","Period=FQ","BEST_FPERIOD_OVERRIDE=FQ","FILING_STATUS=MR","Sort=A","Dates=H","DateFormat=P","Fill=—","Direction=H","UseDPDF=Y")</f>
        <v>3.7385999999999999</v>
      </c>
      <c r="G8" s="21">
        <f>_xll.BDH("NVDA US Equity","QUICK_RATIO","FQ2 2013","FQ2 2013","Currency=USD","Period=FQ","BEST_FPERIOD_OVERRIDE=FQ","FILING_STATUS=MR","Sort=A","Dates=H","DateFormat=P","Fill=—","Direction=H","UseDPDF=Y")</f>
        <v>3.6433999999999997</v>
      </c>
      <c r="H8" s="21">
        <f>_xll.BDH("NVDA US Equity","QUICK_RATIO","FQ3 2013","FQ3 2013","Currency=USD","Period=FQ","BEST_FPERIOD_OVERRIDE=FQ","FILING_STATUS=MR","Sort=A","Dates=H","DateFormat=P","Fill=—","Direction=H","UseDPDF=Y")</f>
        <v>3.9135</v>
      </c>
      <c r="I8" s="21">
        <f>_xll.BDH("NVDA US Equity","QUICK_RATIO","FQ4 2013","FQ4 2013","Currency=USD","Period=FQ","BEST_FPERIOD_OVERRIDE=FQ","FILING_STATUS=MR","Sort=A","Dates=H","DateFormat=P","Fill=—","Direction=H","UseDPDF=Y")</f>
        <v>4.2839999999999998</v>
      </c>
      <c r="J8" s="21">
        <f>_xll.BDH("NVDA US Equity","QUICK_RATIO","FQ1 2014","FQ1 2014","Currency=USD","Period=FQ","BEST_FPERIOD_OVERRIDE=FQ","FILING_STATUS=MR","Sort=A","Dates=H","DateFormat=P","Fill=—","Direction=H","UseDPDF=Y")</f>
        <v>4.3868</v>
      </c>
      <c r="K8" s="21">
        <f>_xll.BDH("NVDA US Equity","QUICK_RATIO","FQ2 2014","FQ2 2014","Currency=USD","Period=FQ","BEST_FPERIOD_OVERRIDE=FQ","FILING_STATUS=MR","Sort=A","Dates=H","DateFormat=P","Fill=—","Direction=H","UseDPDF=Y")</f>
        <v>3.5842000000000001</v>
      </c>
      <c r="L8" s="21">
        <f>_xll.BDH("NVDA US Equity","QUICK_RATIO","FQ3 2014","FQ3 2014","Currency=USD","Period=FQ","BEST_FPERIOD_OVERRIDE=FQ","FILING_STATUS=MR","Sort=A","Dates=H","DateFormat=P","Fill=—","Direction=H","UseDPDF=Y")</f>
        <v>3.5303</v>
      </c>
      <c r="M8" s="21">
        <f>_xll.BDH("NVDA US Equity","QUICK_RATIO","FQ4 2014","FQ4 2014","Currency=USD","Period=FQ","BEST_FPERIOD_OVERRIDE=FQ","FILING_STATUS=MR","Sort=A","Dates=H","DateFormat=P","Fill=—","Direction=H","UseDPDF=Y")</f>
        <v>5.3921000000000001</v>
      </c>
      <c r="N8" s="21">
        <f>_xll.BDH("NVDA US Equity","QUICK_RATIO","FQ1 2015","FQ1 2015","Currency=USD","Period=FQ","BEST_FPERIOD_OVERRIDE=FQ","FILING_STATUS=MR","Sort=A","Dates=H","DateFormat=P","Fill=—","Direction=H","UseDPDF=Y")</f>
        <v>5.2835000000000001</v>
      </c>
      <c r="O8" s="21">
        <f>_xll.BDH("NVDA US Equity","QUICK_RATIO","FQ2 2015","FQ2 2015","Currency=USD","Period=FQ","BEST_FPERIOD_OVERRIDE=FQ","FILING_STATUS=MR","Sort=A","Dates=H","DateFormat=P","Fill=—","Direction=H","UseDPDF=Y")</f>
        <v>5.5894000000000004</v>
      </c>
      <c r="P8" s="21">
        <f>_xll.BDH("NVDA US Equity","QUICK_RATIO","FQ3 2015","FQ3 2015","Currency=USD","Period=FQ","BEST_FPERIOD_OVERRIDE=FQ","FILING_STATUS=MR","Sort=A","Dates=H","DateFormat=P","Fill=—","Direction=H","UseDPDF=Y")</f>
        <v>5.1441999999999997</v>
      </c>
      <c r="Q8" s="21">
        <f>_xll.BDH("NVDA US Equity","QUICK_RATIO","FQ4 2015","FQ4 2015","Currency=USD","Period=FQ","BEST_FPERIOD_OVERRIDE=FQ","FILING_STATUS=MR","Sort=A","Dates=H","DateFormat=P","Fill=—","Direction=H","UseDPDF=Y")</f>
        <v>5.6886000000000001</v>
      </c>
      <c r="R8" s="21">
        <f>_xll.BDH("NVDA US Equity","QUICK_RATIO","FQ1 2016","FQ1 2016","Currency=USD","Period=FQ","BEST_FPERIOD_OVERRIDE=FQ","FILING_STATUS=MR","Sort=A","Dates=H","DateFormat=P","Fill=—","Direction=H","UseDPDF=Y")</f>
        <v>5.9421999999999997</v>
      </c>
      <c r="S8" s="21">
        <f>_xll.BDH("NVDA US Equity","QUICK_RATIO","FQ2 2016","FQ2 2016","Currency=USD","Period=FQ","BEST_FPERIOD_OVERRIDE=FQ","FILING_STATUS=MR","Sort=A","Dates=H","DateFormat=P","Fill=—","Direction=H","UseDPDF=Y")</f>
        <v>5.3621999999999996</v>
      </c>
      <c r="T8" s="21">
        <f>_xll.BDH("NVDA US Equity","QUICK_RATIO","FQ3 2016","FQ3 2016","Currency=USD","Period=FQ","BEST_FPERIOD_OVERRIDE=FQ","FILING_STATUS=MR","Sort=A","Dates=H","DateFormat=P","Fill=—","Direction=H","UseDPDF=Y")</f>
        <v>6.1566999999999998</v>
      </c>
      <c r="U8" s="21">
        <f>_xll.BDH("NVDA US Equity","QUICK_RATIO","FQ4 2016","FQ4 2016","Currency=USD","Period=FQ","BEST_FPERIOD_OVERRIDE=FQ","FILING_STATUS=MR","Sort=A","Dates=H","DateFormat=P","Fill=—","Direction=H","UseDPDF=Y")</f>
        <v>2.3573</v>
      </c>
      <c r="V8" s="21">
        <f>_xll.BDH("NVDA US Equity","QUICK_RATIO","FQ1 2017","FQ1 2017","Currency=USD","Period=FQ","BEST_FPERIOD_OVERRIDE=FQ","FILING_STATUS=MR","Sort=A","Dates=H","DateFormat=P","Fill=—","Direction=H","UseDPDF=Y")</f>
        <v>2.2200000000000002</v>
      </c>
      <c r="W8" s="21">
        <f>_xll.BDH("NVDA US Equity","QUICK_RATIO","FQ2 2017","FQ2 2017","Currency=USD","Period=FQ","BEST_FPERIOD_OVERRIDE=FQ","FILING_STATUS=MR","Sort=A","Dates=H","DateFormat=P","Fill=—","Direction=H","UseDPDF=Y")</f>
        <v>2.2946</v>
      </c>
      <c r="X8" s="21">
        <f>_xll.BDH("NVDA US Equity","QUICK_RATIO","FQ3 2017","FQ3 2017","Currency=USD","Period=FQ","BEST_FPERIOD_OVERRIDE=FQ","FILING_STATUS=MR","Sort=A","Dates=H","DateFormat=P","Fill=—","Direction=H","UseDPDF=Y")</f>
        <v>3.6766000000000001</v>
      </c>
      <c r="Y8" s="21">
        <f>_xll.BDH("NVDA US Equity","QUICK_RATIO","FQ4 2017","FQ4 2017","Currency=USD","Period=FQ","BEST_FPERIOD_OVERRIDE=FQ","FILING_STATUS=MR","Sort=A","Dates=H","DateFormat=P","Fill=—","Direction=H","UseDPDF=Y")</f>
        <v>4.2640000000000002</v>
      </c>
      <c r="Z8" s="21">
        <f>_xll.BDH("NVDA US Equity","QUICK_RATIO","FQ1 2018","FQ1 2018","Currency=USD","Period=FQ","BEST_FPERIOD_OVERRIDE=FQ","FILING_STATUS=MR","Sort=A","Dates=H","DateFormat=P","Fill=—","Direction=H","UseDPDF=Y")</f>
        <v>7.3062000000000005</v>
      </c>
      <c r="AA8" s="21">
        <f>_xll.BDH("NVDA US Equity","QUICK_RATIO","FQ2 2018","FQ2 2018","Currency=USD","Period=FQ","BEST_FPERIOD_OVERRIDE=FQ","FILING_STATUS=MR","Sort=A","Dates=H","DateFormat=P","Fill=—","Direction=H","UseDPDF=Y")</f>
        <v>6.8701999999999996</v>
      </c>
      <c r="AB8" s="21">
        <f>_xll.BDH("NVDA US Equity","QUICK_RATIO","FQ3 2018","FQ3 2018","Currency=USD","Period=FQ","BEST_FPERIOD_OVERRIDE=FQ","FILING_STATUS=MR","Sort=A","Dates=H","DateFormat=P","Fill=—","Direction=H","UseDPDF=Y")</f>
        <v>7.2902000000000005</v>
      </c>
      <c r="AC8" s="21">
        <f>_xll.BDH("NVDA US Equity","QUICK_RATIO","FQ4 2018","FQ4 2018","Currency=USD","Period=FQ","BEST_FPERIOD_OVERRIDE=FQ","FILING_STATUS=MR","Sort=A","Dates=H","DateFormat=P","Fill=—","Direction=H","UseDPDF=Y")</f>
        <v>7.2618999999999998</v>
      </c>
      <c r="AD8" s="21">
        <f>_xll.BDH("NVDA US Equity","QUICK_RATIO","FQ1 2019","FQ1 2019","Currency=USD","Period=FQ","BEST_FPERIOD_OVERRIDE=FQ","FILING_STATUS=MR","Sort=A","Dates=H","DateFormat=P","Fill=—","Direction=H","UseDPDF=Y")</f>
        <v>7.7034000000000002</v>
      </c>
      <c r="AE8" s="21">
        <f>_xll.BDH("NVDA US Equity","QUICK_RATIO","FQ2 2019","FQ2 2019","Currency=USD","Period=FQ","BEST_FPERIOD_OVERRIDE=FQ","FILING_STATUS=MR","Sort=A","Dates=H","DateFormat=P","Fill=—","Direction=H","UseDPDF=Y")</f>
        <v>6.5697999999999999</v>
      </c>
      <c r="AF8" s="21">
        <f>_xll.BDH("NVDA US Equity","QUICK_RATIO","FQ3 2019","FQ3 2019","Currency=USD","Period=FQ","BEST_FPERIOD_OVERRIDE=FQ","FILING_STATUS=MR","Sort=A","Dates=H","DateFormat=P","Fill=—","Direction=H","UseDPDF=Y")</f>
        <v>6.1006999999999998</v>
      </c>
      <c r="AG8" s="21">
        <f>_xll.BDH("NVDA US Equity","QUICK_RATIO","FQ4 2019","FQ4 2019","Currency=USD","Period=FQ","BEST_FPERIOD_OVERRIDE=FQ","FILING_STATUS=MR","Sort=A","Dates=H","DateFormat=P","Fill=—","Direction=H","UseDPDF=Y")</f>
        <v>6.6561000000000003</v>
      </c>
      <c r="AH8" s="21">
        <f>_xll.BDH("NVDA US Equity","QUICK_RATIO","FQ1 2020","FQ1 2020","Currency=USD","Period=FQ","BEST_FPERIOD_OVERRIDE=FQ","FILING_STATUS=MR","Sort=A","Dates=H","DateFormat=P","Fill=—","Direction=H","UseDPDF=Y")</f>
        <v>7.6449999999999996</v>
      </c>
      <c r="AI8" s="21">
        <f>_xll.BDH("NVDA US Equity","QUICK_RATIO","FQ2 2020","FQ2 2020","Currency=USD","Period=FQ","BEST_FPERIOD_OVERRIDE=FQ","FILING_STATUS=MR","Sort=A","Dates=H","DateFormat=P","Fill=—","Direction=H","UseDPDF=Y")</f>
        <v>7.6203000000000003</v>
      </c>
      <c r="AJ8" s="21">
        <f>_xll.BDH("NVDA US Equity","QUICK_RATIO","FQ3 2020","FQ3 2020","Currency=USD","Period=FQ","BEST_FPERIOD_OVERRIDE=FQ","FILING_STATUS=MR","Sort=A","Dates=H","DateFormat=P","Fill=—","Direction=H","UseDPDF=Y")</f>
        <v>7.6094999999999997</v>
      </c>
      <c r="AK8" s="21">
        <f>_xll.BDH("NVDA US Equity","QUICK_RATIO","FQ4 2020","FQ4 2020","Currency=USD","Period=FQ","BEST_FPERIOD_OVERRIDE=FQ","FILING_STATUS=MR","Sort=A","Dates=H","DateFormat=P","Fill=—","Direction=H","UseDPDF=Y")</f>
        <v>7.0369999999999999</v>
      </c>
      <c r="AL8" s="21">
        <f>_xll.BDH("NVDA US Equity","QUICK_RATIO","FQ1 2021","FQ1 2021","Currency=USD","Period=FQ","BEST_FPERIOD_OVERRIDE=FQ","FILING_STATUS=MR","Sort=A","Dates=H","DateFormat=P","Fill=—","Direction=H","UseDPDF=Y")</f>
        <v>9.5959000000000003</v>
      </c>
      <c r="AM8" s="21">
        <f>_xll.BDH("NVDA US Equity","QUICK_RATIO","FQ2 2021","FQ2 2021","Currency=USD","Period=FQ","BEST_FPERIOD_OVERRIDE=FQ","FILING_STATUS=MR","Sort=A","Dates=H","DateFormat=P","Fill=—","Direction=H","UseDPDF=Y")</f>
        <v>5.4211999999999998</v>
      </c>
      <c r="AN8" s="21">
        <f>_xll.BDH("NVDA US Equity","QUICK_RATIO","FQ3 2021","FQ3 2021","Currency=USD","Period=FQ","BEST_FPERIOD_OVERRIDE=FQ","FILING_STATUS=MR","Sort=A","Dates=H","DateFormat=P","Fill=—","Direction=H","UseDPDF=Y")</f>
        <v>3.4573</v>
      </c>
      <c r="AO8" s="21">
        <f>_xll.BDH("NVDA US Equity","QUICK_RATIO","FQ4 2021","FQ4 2021","Currency=USD","Period=FQ","BEST_FPERIOD_OVERRIDE=FQ","FILING_STATUS=MR","Sort=A","Dates=H","DateFormat=P","Fill=—","Direction=H","UseDPDF=Y")</f>
        <v>3.5643000000000002</v>
      </c>
      <c r="AP8" s="21">
        <f>_xll.BDH("NVDA US Equity","QUICK_RATIO","FQ1 2022","FQ1 2022","Currency=USD","Period=FQ","BEST_FPERIOD_OVERRIDE=FQ","FILING_STATUS=MR","Sort=A","Dates=H","DateFormat=P","Fill=—","Direction=H","UseDPDF=Y")</f>
        <v>3.9188000000000001</v>
      </c>
    </row>
    <row r="9" spans="1:42" x14ac:dyDescent="0.25">
      <c r="A9" s="7" t="s">
        <v>130</v>
      </c>
      <c r="B9" s="7" t="s">
        <v>129</v>
      </c>
      <c r="C9" s="21">
        <f>_xll.BDH("NVDA US Equity","CFO_TO_AVG_CURRENT_LIABILITIES","FQ2 2012","FQ2 2012","Currency=USD","Period=FQ","BEST_FPERIOD_OVERRIDE=FQ","FILING_STATUS=MR","Sort=A","Dates=H","DateFormat=P","Fill=—","Direction=H","UseDPDF=Y")</f>
        <v>1.0127999999999999</v>
      </c>
      <c r="D9" s="21">
        <f>_xll.BDH("NVDA US Equity","CFO_TO_AVG_CURRENT_LIABILITIES","FQ3 2012","FQ3 2012","Currency=USD","Period=FQ","BEST_FPERIOD_OVERRIDE=FQ","FILING_STATUS=MR","Sort=A","Dates=H","DateFormat=P","Fill=—","Direction=H","UseDPDF=Y")</f>
        <v>1.0960000000000001</v>
      </c>
      <c r="E9" s="21">
        <f>_xll.BDH("NVDA US Equity","CFO_TO_AVG_CURRENT_LIABILITIES","FQ4 2012","FQ4 2012","Currency=USD","Period=FQ","BEST_FPERIOD_OVERRIDE=FQ","FILING_STATUS=MR","Sort=A","Dates=H","DateFormat=P","Fill=—","Direction=H","UseDPDF=Y")</f>
        <v>0.97099999999999997</v>
      </c>
      <c r="F9" s="21">
        <f>_xll.BDH("NVDA US Equity","CFO_TO_AVG_CURRENT_LIABILITIES","FQ1 2013","FQ1 2013","Currency=USD","Period=FQ","BEST_FPERIOD_OVERRIDE=FQ","FILING_STATUS=MR","Sort=A","Dates=H","DateFormat=P","Fill=—","Direction=H","UseDPDF=Y")</f>
        <v>0.75470000000000004</v>
      </c>
      <c r="G9" s="21">
        <f>_xll.BDH("NVDA US Equity","CFO_TO_AVG_CURRENT_LIABILITIES","FQ2 2013","FQ2 2013","Currency=USD","Period=FQ","BEST_FPERIOD_OVERRIDE=FQ","FILING_STATUS=MR","Sort=A","Dates=H","DateFormat=P","Fill=—","Direction=H","UseDPDF=Y")</f>
        <v>0.85419999999999996</v>
      </c>
      <c r="H9" s="21">
        <f>_xll.BDH("NVDA US Equity","CFO_TO_AVG_CURRENT_LIABILITIES","FQ3 2013","FQ3 2013","Currency=USD","Period=FQ","BEST_FPERIOD_OVERRIDE=FQ","FILING_STATUS=MR","Sort=A","Dates=H","DateFormat=P","Fill=—","Direction=H","UseDPDF=Y")</f>
        <v>0.83460000000000001</v>
      </c>
      <c r="I9" s="21">
        <f>_xll.BDH("NVDA US Equity","CFO_TO_AVG_CURRENT_LIABILITIES","FQ4 2013","FQ4 2013","Currency=USD","Period=FQ","BEST_FPERIOD_OVERRIDE=FQ","FILING_STATUS=MR","Sort=A","Dates=H","DateFormat=P","Fill=—","Direction=H","UseDPDF=Y")</f>
        <v>0.86470000000000002</v>
      </c>
      <c r="J9" s="21">
        <f>_xll.BDH("NVDA US Equity","CFO_TO_AVG_CURRENT_LIABILITIES","FQ1 2014","FQ1 2014","Currency=USD","Period=FQ","BEST_FPERIOD_OVERRIDE=FQ","FILING_STATUS=MR","Sort=A","Dates=H","DateFormat=P","Fill=—","Direction=H","UseDPDF=Y")</f>
        <v>1.0774999999999999</v>
      </c>
      <c r="K9" s="21">
        <f>_xll.BDH("NVDA US Equity","CFO_TO_AVG_CURRENT_LIABILITIES","FQ2 2014","FQ2 2014","Currency=USD","Period=FQ","BEST_FPERIOD_OVERRIDE=FQ","FILING_STATUS=MR","Sort=A","Dates=H","DateFormat=P","Fill=—","Direction=H","UseDPDF=Y")</f>
        <v>0.92410000000000003</v>
      </c>
      <c r="L9" s="21">
        <f>_xll.BDH("NVDA US Equity","CFO_TO_AVG_CURRENT_LIABILITIES","FQ3 2014","FQ3 2014","Currency=USD","Period=FQ","BEST_FPERIOD_OVERRIDE=FQ","FILING_STATUS=MR","Sort=A","Dates=H","DateFormat=P","Fill=—","Direction=H","UseDPDF=Y")</f>
        <v>0.89559999999999995</v>
      </c>
      <c r="M9" s="21">
        <f>_xll.BDH("NVDA US Equity","CFO_TO_AVG_CURRENT_LIABILITIES","FQ4 2014","FQ4 2014","Currency=USD","Period=FQ","BEST_FPERIOD_OVERRIDE=FQ","FILING_STATUS=MR","Sort=A","Dates=H","DateFormat=P","Fill=—","Direction=H","UseDPDF=Y")</f>
        <v>0.86919999999999997</v>
      </c>
      <c r="N9" s="21">
        <f>_xll.BDH("NVDA US Equity","CFO_TO_AVG_CURRENT_LIABILITIES","FQ1 2015","FQ1 2015","Currency=USD","Period=FQ","BEST_FPERIOD_OVERRIDE=FQ","FILING_STATUS=MR","Sort=A","Dates=H","DateFormat=P","Fill=—","Direction=H","UseDPDF=Y")</f>
        <v>0.88890000000000002</v>
      </c>
      <c r="O9" s="21">
        <f>_xll.BDH("NVDA US Equity","CFO_TO_AVG_CURRENT_LIABILITIES","FQ2 2015","FQ2 2015","Currency=USD","Period=FQ","BEST_FPERIOD_OVERRIDE=FQ","FILING_STATUS=MR","Sort=A","Dates=H","DateFormat=P","Fill=—","Direction=H","UseDPDF=Y")</f>
        <v>0.89780000000000004</v>
      </c>
      <c r="P9" s="21">
        <f>_xll.BDH("NVDA US Equity","CFO_TO_AVG_CURRENT_LIABILITIES","FQ3 2015","FQ3 2015","Currency=USD","Period=FQ","BEST_FPERIOD_OVERRIDE=FQ","FILING_STATUS=MR","Sort=A","Dates=H","DateFormat=P","Fill=—","Direction=H","UseDPDF=Y")</f>
        <v>0.89980000000000004</v>
      </c>
      <c r="Q9" s="21">
        <f>_xll.BDH("NVDA US Equity","CFO_TO_AVG_CURRENT_LIABILITIES","FQ4 2015","FQ4 2015","Currency=USD","Period=FQ","BEST_FPERIOD_OVERRIDE=FQ","FILING_STATUS=MR","Sort=A","Dates=H","DateFormat=P","Fill=—","Direction=H","UseDPDF=Y")</f>
        <v>0.98399999999999999</v>
      </c>
      <c r="R9" s="21">
        <f>_xll.BDH("NVDA US Equity","CFO_TO_AVG_CURRENT_LIABILITIES","FQ1 2016","FQ1 2016","Currency=USD","Period=FQ","BEST_FPERIOD_OVERRIDE=FQ","FILING_STATUS=MR","Sort=A","Dates=H","DateFormat=P","Fill=—","Direction=H","UseDPDF=Y")</f>
        <v>1.1241000000000001</v>
      </c>
      <c r="S9" s="21">
        <f>_xll.BDH("NVDA US Equity","CFO_TO_AVG_CURRENT_LIABILITIES","FQ2 2016","FQ2 2016","Currency=USD","Period=FQ","BEST_FPERIOD_OVERRIDE=FQ","FILING_STATUS=MR","Sort=A","Dates=H","DateFormat=P","Fill=—","Direction=H","UseDPDF=Y")</f>
        <v>1.1836</v>
      </c>
      <c r="T9" s="21">
        <f>_xll.BDH("NVDA US Equity","CFO_TO_AVG_CURRENT_LIABILITIES","FQ3 2016","FQ3 2016","Currency=USD","Period=FQ","BEST_FPERIOD_OVERRIDE=FQ","FILING_STATUS=MR","Sort=A","Dates=H","DateFormat=P","Fill=—","Direction=H","UseDPDF=Y")</f>
        <v>1.2376</v>
      </c>
      <c r="U9" s="21">
        <f>_xll.BDH("NVDA US Equity","CFO_TO_AVG_CURRENT_LIABILITIES","FQ4 2016","FQ4 2016","Currency=USD","Period=FQ","BEST_FPERIOD_OVERRIDE=FQ","FILING_STATUS=MR","Sort=A","Dates=H","DateFormat=P","Fill=—","Direction=H","UseDPDF=Y")</f>
        <v>0.72370000000000001</v>
      </c>
      <c r="V9" s="21">
        <f>_xll.BDH("NVDA US Equity","CFO_TO_AVG_CURRENT_LIABILITIES","FQ1 2017","FQ1 2017","Currency=USD","Period=FQ","BEST_FPERIOD_OVERRIDE=FQ","FILING_STATUS=MR","Sort=A","Dates=H","DateFormat=P","Fill=—","Direction=H","UseDPDF=Y")</f>
        <v>0.76559999999999995</v>
      </c>
      <c r="W9" s="21">
        <f>_xll.BDH("NVDA US Equity","CFO_TO_AVG_CURRENT_LIABILITIES","FQ2 2017","FQ2 2017","Currency=USD","Period=FQ","BEST_FPERIOD_OVERRIDE=FQ","FILING_STATUS=MR","Sort=A","Dates=H","DateFormat=P","Fill=—","Direction=H","UseDPDF=Y")</f>
        <v>0.76880000000000004</v>
      </c>
      <c r="X9" s="21">
        <f>_xll.BDH("NVDA US Equity","CFO_TO_AVG_CURRENT_LIABILITIES","FQ3 2017","FQ3 2017","Currency=USD","Period=FQ","BEST_FPERIOD_OVERRIDE=FQ","FILING_STATUS=MR","Sort=A","Dates=H","DateFormat=P","Fill=—","Direction=H","UseDPDF=Y")</f>
        <v>1.0276000000000001</v>
      </c>
      <c r="Y9" s="21">
        <f>_xll.BDH("NVDA US Equity","CFO_TO_AVG_CURRENT_LIABILITIES","FQ4 2017","FQ4 2017","Currency=USD","Period=FQ","BEST_FPERIOD_OVERRIDE=FQ","FILING_STATUS=MR","Sort=A","Dates=H","DateFormat=P","Fill=—","Direction=H","UseDPDF=Y")</f>
        <v>0.82050000000000001</v>
      </c>
      <c r="Z9" s="21">
        <f>_xll.BDH("NVDA US Equity","CFO_TO_AVG_CURRENT_LIABILITIES","FQ1 2018","FQ1 2018","Currency=USD","Period=FQ","BEST_FPERIOD_OVERRIDE=FQ","FILING_STATUS=MR","Sort=A","Dates=H","DateFormat=P","Fill=—","Direction=H","UseDPDF=Y")</f>
        <v>0.98870000000000002</v>
      </c>
      <c r="AA9" s="21">
        <f>_xll.BDH("NVDA US Equity","CFO_TO_AVG_CURRENT_LIABILITIES","FQ2 2018","FQ2 2018","Currency=USD","Period=FQ","BEST_FPERIOD_OVERRIDE=FQ","FILING_STATUS=MR","Sort=A","Dates=H","DateFormat=P","Fill=—","Direction=H","UseDPDF=Y")</f>
        <v>1.2597</v>
      </c>
      <c r="AB9" s="21">
        <f>_xll.BDH("NVDA US Equity","CFO_TO_AVG_CURRENT_LIABILITIES","FQ3 2018","FQ3 2018","Currency=USD","Period=FQ","BEST_FPERIOD_OVERRIDE=FQ","FILING_STATUS=MR","Sort=A","Dates=H","DateFormat=P","Fill=—","Direction=H","UseDPDF=Y")</f>
        <v>1.8677000000000001</v>
      </c>
      <c r="AC9" s="21">
        <f>_xll.BDH("NVDA US Equity","CFO_TO_AVG_CURRENT_LIABILITIES","FQ4 2018","FQ4 2018","Currency=USD","Period=FQ","BEST_FPERIOD_OVERRIDE=FQ","FILING_STATUS=MR","Sort=A","Dates=H","DateFormat=P","Fill=—","Direction=H","UseDPDF=Y")</f>
        <v>2.3815</v>
      </c>
      <c r="AD9" s="21">
        <f>_xll.BDH("NVDA US Equity","CFO_TO_AVG_CURRENT_LIABILITIES","FQ1 2019","FQ1 2019","Currency=USD","Period=FQ","BEST_FPERIOD_OVERRIDE=FQ","FILING_STATUS=MR","Sort=A","Dates=H","DateFormat=P","Fill=—","Direction=H","UseDPDF=Y")</f>
        <v>4.4663000000000004</v>
      </c>
      <c r="AE9" s="21">
        <f>_xll.BDH("NVDA US Equity","CFO_TO_AVG_CURRENT_LIABILITIES","FQ2 2019","FQ2 2019","Currency=USD","Period=FQ","BEST_FPERIOD_OVERRIDE=FQ","FILING_STATUS=MR","Sort=A","Dates=H","DateFormat=P","Fill=—","Direction=H","UseDPDF=Y")</f>
        <v>3.9077999999999999</v>
      </c>
      <c r="AF9" s="21">
        <f>_xll.BDH("NVDA US Equity","CFO_TO_AVG_CURRENT_LIABILITIES","FQ3 2019","FQ3 2019","Currency=USD","Period=FQ","BEST_FPERIOD_OVERRIDE=FQ","FILING_STATUS=MR","Sort=A","Dates=H","DateFormat=P","Fill=—","Direction=H","UseDPDF=Y")</f>
        <v>3.1901000000000002</v>
      </c>
      <c r="AG9" s="21">
        <f>_xll.BDH("NVDA US Equity","CFO_TO_AVG_CURRENT_LIABILITIES","FQ4 2019","FQ4 2019","Currency=USD","Period=FQ","BEST_FPERIOD_OVERRIDE=FQ","FILING_STATUS=MR","Sort=A","Dates=H","DateFormat=P","Fill=—","Direction=H","UseDPDF=Y")</f>
        <v>3.0160999999999998</v>
      </c>
      <c r="AH9" s="21">
        <f>_xll.BDH("NVDA US Equity","CFO_TO_AVG_CURRENT_LIABILITIES","FQ1 2020","FQ1 2020","Currency=USD","Period=FQ","BEST_FPERIOD_OVERRIDE=FQ","FILING_STATUS=MR","Sort=A","Dates=H","DateFormat=P","Fill=—","Direction=H","UseDPDF=Y")</f>
        <v>2.637</v>
      </c>
      <c r="AI9" s="21">
        <f>_xll.BDH("NVDA US Equity","CFO_TO_AVG_CURRENT_LIABILITIES","FQ2 2020","FQ2 2020","Currency=USD","Period=FQ","BEST_FPERIOD_OVERRIDE=FQ","FILING_STATUS=MR","Sort=A","Dates=H","DateFormat=P","Fill=—","Direction=H","UseDPDF=Y")</f>
        <v>2.1886000000000001</v>
      </c>
      <c r="AJ9" s="21">
        <f>_xll.BDH("NVDA US Equity","CFO_TO_AVG_CURRENT_LIABILITIES","FQ3 2020","FQ3 2020","Currency=USD","Period=FQ","BEST_FPERIOD_OVERRIDE=FQ","FILING_STATUS=MR","Sort=A","Dates=H","DateFormat=P","Fill=—","Direction=H","UseDPDF=Y")</f>
        <v>2.7206999999999999</v>
      </c>
      <c r="AK9" s="21">
        <f>_xll.BDH("NVDA US Equity","CFO_TO_AVG_CURRENT_LIABILITIES","FQ4 2020","FQ4 2020","Currency=USD","Period=FQ","BEST_FPERIOD_OVERRIDE=FQ","FILING_STATUS=MR","Sort=A","Dates=H","DateFormat=P","Fill=—","Direction=H","UseDPDF=Y")</f>
        <v>3.0588000000000002</v>
      </c>
      <c r="AL9" s="21">
        <f>_xll.BDH("NVDA US Equity","CFO_TO_AVG_CURRENT_LIABILITIES","FQ1 2021","FQ1 2021","Currency=USD","Period=FQ","BEST_FPERIOD_OVERRIDE=FQ","FILING_STATUS=MR","Sort=A","Dates=H","DateFormat=P","Fill=—","Direction=H","UseDPDF=Y")</f>
        <v>3.2080000000000002</v>
      </c>
      <c r="AM9" s="21">
        <f>_xll.BDH("NVDA US Equity","CFO_TO_AVG_CURRENT_LIABILITIES","FQ2 2021","FQ2 2021","Currency=USD","Period=FQ","BEST_FPERIOD_OVERRIDE=FQ","FILING_STATUS=MR","Sort=A","Dates=H","DateFormat=P","Fill=—","Direction=H","UseDPDF=Y")</f>
        <v>2.9948999999999999</v>
      </c>
      <c r="AN9" s="21">
        <f>_xll.BDH("NVDA US Equity","CFO_TO_AVG_CURRENT_LIABILITIES","FQ3 2021","FQ3 2021","Currency=USD","Period=FQ","BEST_FPERIOD_OVERRIDE=FQ","FILING_STATUS=MR","Sort=A","Dates=H","DateFormat=P","Fill=—","Direction=H","UseDPDF=Y")</f>
        <v>2.0295000000000001</v>
      </c>
      <c r="AO9" s="21">
        <f>_xll.BDH("NVDA US Equity","CFO_TO_AVG_CURRENT_LIABILITIES","FQ4 2021","FQ4 2021","Currency=USD","Period=FQ","BEST_FPERIOD_OVERRIDE=FQ","FILING_STATUS=MR","Sort=A","Dates=H","DateFormat=P","Fill=—","Direction=H","UseDPDF=Y")</f>
        <v>2.0396000000000001</v>
      </c>
      <c r="AP9" s="21">
        <f>_xll.BDH("NVDA US Equity","CFO_TO_AVG_CURRENT_LIABILITIES","FQ1 2022","FQ1 2022","Currency=USD","Period=FQ","BEST_FPERIOD_OVERRIDE=FQ","FILING_STATUS=MR","Sort=A","Dates=H","DateFormat=P","Fill=—","Direction=H","UseDPDF=Y")</f>
        <v>2.298</v>
      </c>
    </row>
    <row r="10" spans="1:42" x14ac:dyDescent="0.25">
      <c r="A10" s="7" t="s">
        <v>128</v>
      </c>
      <c r="B10" s="7" t="s">
        <v>127</v>
      </c>
      <c r="C10" s="21">
        <f>_xll.BDH("NVDA US Equity","COM_EQY_TO_TOT_ASSET","FQ2 2012","FQ2 2012","Currency=USD","Period=FQ","BEST_FPERIOD_OVERRIDE=FQ","FILING_STATUS=MR","Sort=A","Dates=H","DateFormat=P","Fill=—","Direction=H","UseDPDF=Y")</f>
        <v>75.846000000000004</v>
      </c>
      <c r="D10" s="21">
        <f>_xll.BDH("NVDA US Equity","COM_EQY_TO_TOT_ASSET","FQ3 2012","FQ3 2012","Currency=USD","Period=FQ","BEST_FPERIOD_OVERRIDE=FQ","FILING_STATUS=MR","Sort=A","Dates=H","DateFormat=P","Fill=—","Direction=H","UseDPDF=Y")</f>
        <v>78.078500000000005</v>
      </c>
      <c r="E10" s="21">
        <f>_xll.BDH("NVDA US Equity","COM_EQY_TO_TOT_ASSET","FQ4 2012","FQ4 2012","Currency=USD","Period=FQ","BEST_FPERIOD_OVERRIDE=FQ","FILING_STATUS=MR","Sort=A","Dates=H","DateFormat=P","Fill=—","Direction=H","UseDPDF=Y")</f>
        <v>74.658299999999997</v>
      </c>
      <c r="F10" s="21">
        <f>_xll.BDH("NVDA US Equity","COM_EQY_TO_TOT_ASSET","FQ1 2013","FQ1 2013","Currency=USD","Period=FQ","BEST_FPERIOD_OVERRIDE=FQ","FILING_STATUS=MR","Sort=A","Dates=H","DateFormat=P","Fill=—","Direction=H","UseDPDF=Y")</f>
        <v>75.110399999999998</v>
      </c>
      <c r="G10" s="21">
        <f>_xll.BDH("NVDA US Equity","COM_EQY_TO_TOT_ASSET","FQ2 2013","FQ2 2013","Currency=USD","Period=FQ","BEST_FPERIOD_OVERRIDE=FQ","FILING_STATUS=MR","Sort=A","Dates=H","DateFormat=P","Fill=—","Direction=H","UseDPDF=Y")</f>
        <v>75.5899</v>
      </c>
      <c r="H10" s="21">
        <f>_xll.BDH("NVDA US Equity","COM_EQY_TO_TOT_ASSET","FQ3 2013","FQ3 2013","Currency=USD","Period=FQ","BEST_FPERIOD_OVERRIDE=FQ","FILING_STATUS=MR","Sort=A","Dates=H","DateFormat=P","Fill=—","Direction=H","UseDPDF=Y")</f>
        <v>77.740499999999997</v>
      </c>
      <c r="I10" s="21">
        <f>_xll.BDH("NVDA US Equity","COM_EQY_TO_TOT_ASSET","FQ4 2013","FQ4 2013","Currency=USD","Period=FQ","BEST_FPERIOD_OVERRIDE=FQ","FILING_STATUS=MR","Sort=A","Dates=H","DateFormat=P","Fill=—","Direction=H","UseDPDF=Y")</f>
        <v>75.288799999999995</v>
      </c>
      <c r="J10" s="21">
        <f>_xll.BDH("NVDA US Equity","COM_EQY_TO_TOT_ASSET","FQ1 2014","FQ1 2014","Currency=USD","Period=FQ","BEST_FPERIOD_OVERRIDE=FQ","FILING_STATUS=MR","Sort=A","Dates=H","DateFormat=P","Fill=—","Direction=H","UseDPDF=Y")</f>
        <v>76.835999999999999</v>
      </c>
      <c r="K10" s="21">
        <f>_xll.BDH("NVDA US Equity","COM_EQY_TO_TOT_ASSET","FQ2 2014","FQ2 2014","Currency=USD","Period=FQ","BEST_FPERIOD_OVERRIDE=FQ","FILING_STATUS=MR","Sort=A","Dates=H","DateFormat=P","Fill=—","Direction=H","UseDPDF=Y")</f>
        <v>74.909800000000004</v>
      </c>
      <c r="L10" s="21">
        <f>_xll.BDH("NVDA US Equity","COM_EQY_TO_TOT_ASSET","FQ3 2014","FQ3 2014","Currency=USD","Period=FQ","BEST_FPERIOD_OVERRIDE=FQ","FILING_STATUS=MR","Sort=A","Dates=H","DateFormat=P","Fill=—","Direction=H","UseDPDF=Y")</f>
        <v>75.649900000000002</v>
      </c>
      <c r="M10" s="21">
        <f>_xll.BDH("NVDA US Equity","COM_EQY_TO_TOT_ASSET","FQ4 2014","FQ4 2014","Currency=USD","Period=FQ","BEST_FPERIOD_OVERRIDE=FQ","FILING_STATUS=MR","Sort=A","Dates=H","DateFormat=P","Fill=—","Direction=H","UseDPDF=Y")</f>
        <v>61.46</v>
      </c>
      <c r="N10" s="21">
        <f>_xll.BDH("NVDA US Equity","COM_EQY_TO_TOT_ASSET","FQ1 2015","FQ1 2015","Currency=USD","Period=FQ","BEST_FPERIOD_OVERRIDE=FQ","FILING_STATUS=MR","Sort=A","Dates=H","DateFormat=P","Fill=—","Direction=H","UseDPDF=Y")</f>
        <v>60.701999999999998</v>
      </c>
      <c r="O10" s="21">
        <f>_xll.BDH("NVDA US Equity","COM_EQY_TO_TOT_ASSET","FQ2 2015","FQ2 2015","Currency=USD","Period=FQ","BEST_FPERIOD_OVERRIDE=FQ","FILING_STATUS=MR","Sort=A","Dates=H","DateFormat=P","Fill=—","Direction=H","UseDPDF=Y")</f>
        <v>62.084800000000001</v>
      </c>
      <c r="P10" s="21">
        <f>_xll.BDH("NVDA US Equity","COM_EQY_TO_TOT_ASSET","FQ3 2015","FQ3 2015","Currency=USD","Period=FQ","BEST_FPERIOD_OVERRIDE=FQ","FILING_STATUS=MR","Sort=A","Dates=H","DateFormat=P","Fill=—","Direction=H","UseDPDF=Y")</f>
        <v>61.061199999999999</v>
      </c>
      <c r="Q10" s="21">
        <f>_xll.BDH("NVDA US Equity","COM_EQY_TO_TOT_ASSET","FQ4 2015","FQ4 2015","Currency=USD","Period=FQ","BEST_FPERIOD_OVERRIDE=FQ","FILING_STATUS=MR","Sort=A","Dates=H","DateFormat=P","Fill=—","Direction=H","UseDPDF=Y")</f>
        <v>61.352600000000002</v>
      </c>
      <c r="R10" s="21">
        <f>_xll.BDH("NVDA US Equity","COM_EQY_TO_TOT_ASSET","FQ1 2016","FQ1 2016","Currency=USD","Period=FQ","BEST_FPERIOD_OVERRIDE=FQ","FILING_STATUS=MR","Sort=A","Dates=H","DateFormat=P","Fill=—","Direction=H","UseDPDF=Y")</f>
        <v>62.488</v>
      </c>
      <c r="S10" s="21">
        <f>_xll.BDH("NVDA US Equity","COM_EQY_TO_TOT_ASSET","FQ2 2016","FQ2 2016","Currency=USD","Period=FQ","BEST_FPERIOD_OVERRIDE=FQ","FILING_STATUS=MR","Sort=A","Dates=H","DateFormat=P","Fill=—","Direction=H","UseDPDF=Y")</f>
        <v>59.965600000000002</v>
      </c>
      <c r="T10" s="21">
        <f>_xll.BDH("NVDA US Equity","COM_EQY_TO_TOT_ASSET","FQ3 2016","FQ3 2016","Currency=USD","Period=FQ","BEST_FPERIOD_OVERRIDE=FQ","FILING_STATUS=MR","Sort=A","Dates=H","DateFormat=P","Fill=—","Direction=H","UseDPDF=Y")</f>
        <v>62.238599999999998</v>
      </c>
      <c r="U10" s="21">
        <f>_xll.BDH("NVDA US Equity","COM_EQY_TO_TOT_ASSET","FQ4 2016","FQ4 2016","Currency=USD","Period=FQ","BEST_FPERIOD_OVERRIDE=FQ","FILING_STATUS=MR","Sort=A","Dates=H","DateFormat=P","Fill=—","Direction=H","UseDPDF=Y")</f>
        <v>60.637700000000002</v>
      </c>
      <c r="V10" s="21">
        <f>_xll.BDH("NVDA US Equity","COM_EQY_TO_TOT_ASSET","FQ1 2017","FQ1 2017","Currency=USD","Period=FQ","BEST_FPERIOD_OVERRIDE=FQ","FILING_STATUS=MR","Sort=A","Dates=H","DateFormat=P","Fill=—","Direction=H","UseDPDF=Y")</f>
        <v>59.0321</v>
      </c>
      <c r="W10" s="21">
        <f>_xll.BDH("NVDA US Equity","COM_EQY_TO_TOT_ASSET","FQ2 2017","FQ2 2017","Currency=USD","Period=FQ","BEST_FPERIOD_OVERRIDE=FQ","FILING_STATUS=MR","Sort=A","Dates=H","DateFormat=P","Fill=—","Direction=H","UseDPDF=Y")</f>
        <v>60.0456</v>
      </c>
      <c r="X10" s="21">
        <f>_xll.BDH("NVDA US Equity","COM_EQY_TO_TOT_ASSET","FQ3 2017","FQ3 2017","Currency=USD","Period=FQ","BEST_FPERIOD_OVERRIDE=FQ","FILING_STATUS=MR","Sort=A","Dates=H","DateFormat=P","Fill=—","Direction=H","UseDPDF=Y")</f>
        <v>55.389099999999999</v>
      </c>
      <c r="Y10" s="21">
        <f>_xll.BDH("NVDA US Equity","COM_EQY_TO_TOT_ASSET","FQ4 2017","FQ4 2017","Currency=USD","Period=FQ","BEST_FPERIOD_OVERRIDE=FQ","FILING_STATUS=MR","Sort=A","Dates=H","DateFormat=P","Fill=—","Direction=H","UseDPDF=Y")</f>
        <v>58.551000000000002</v>
      </c>
      <c r="Z10" s="21">
        <f>_xll.BDH("NVDA US Equity","COM_EQY_TO_TOT_ASSET","FQ1 2018","FQ1 2018","Currency=USD","Period=FQ","BEST_FPERIOD_OVERRIDE=FQ","FILING_STATUS=MR","Sort=A","Dates=H","DateFormat=P","Fill=—","Direction=H","UseDPDF=Y")</f>
        <v>65.164699999999996</v>
      </c>
      <c r="AA10" s="21">
        <f>_xll.BDH("NVDA US Equity","COM_EQY_TO_TOT_ASSET","FQ2 2018","FQ2 2018","Currency=USD","Period=FQ","BEST_FPERIOD_OVERRIDE=FQ","FILING_STATUS=MR","Sort=A","Dates=H","DateFormat=P","Fill=—","Direction=H","UseDPDF=Y")</f>
        <v>63.529000000000003</v>
      </c>
      <c r="AB10" s="21">
        <f>_xll.BDH("NVDA US Equity","COM_EQY_TO_TOT_ASSET","FQ3 2018","FQ3 2018","Currency=USD","Period=FQ","BEST_FPERIOD_OVERRIDE=FQ","FILING_STATUS=MR","Sort=A","Dates=H","DateFormat=P","Fill=—","Direction=H","UseDPDF=Y")</f>
        <v>64.618499999999997</v>
      </c>
      <c r="AC10" s="21">
        <f>_xll.BDH("NVDA US Equity","COM_EQY_TO_TOT_ASSET","FQ4 2018","FQ4 2018","Currency=USD","Period=FQ","BEST_FPERIOD_OVERRIDE=FQ","FILING_STATUS=MR","Sort=A","Dates=H","DateFormat=P","Fill=—","Direction=H","UseDPDF=Y")</f>
        <v>66.462100000000007</v>
      </c>
      <c r="AD10" s="21">
        <f>_xll.BDH("NVDA US Equity","COM_EQY_TO_TOT_ASSET","FQ1 2019","FQ1 2019","Currency=USD","Period=FQ","BEST_FPERIOD_OVERRIDE=FQ","FILING_STATUS=MR","Sort=A","Dates=H","DateFormat=P","Fill=—","Direction=H","UseDPDF=Y")</f>
        <v>67.3386</v>
      </c>
      <c r="AE10" s="21">
        <f>_xll.BDH("NVDA US Equity","COM_EQY_TO_TOT_ASSET","FQ2 2019","FQ2 2019","Currency=USD","Period=FQ","BEST_FPERIOD_OVERRIDE=FQ","FILING_STATUS=MR","Sort=A","Dates=H","DateFormat=P","Fill=—","Direction=H","UseDPDF=Y")</f>
        <v>68.273600000000002</v>
      </c>
      <c r="AF10" s="21">
        <f>_xll.BDH("NVDA US Equity","COM_EQY_TO_TOT_ASSET","FQ3 2019","FQ3 2019","Currency=USD","Period=FQ","BEST_FPERIOD_OVERRIDE=FQ","FILING_STATUS=MR","Sort=A","Dates=H","DateFormat=P","Fill=—","Direction=H","UseDPDF=Y")</f>
        <v>69.378299999999996</v>
      </c>
      <c r="AG10" s="21">
        <f>_xll.BDH("NVDA US Equity","COM_EQY_TO_TOT_ASSET","FQ4 2019","FQ4 2019","Currency=USD","Period=FQ","BEST_FPERIOD_OVERRIDE=FQ","FILING_STATUS=MR","Sort=A","Dates=H","DateFormat=P","Fill=—","Direction=H","UseDPDF=Y")</f>
        <v>70.282899999999998</v>
      </c>
      <c r="AH10" s="21">
        <f>_xll.BDH("NVDA US Equity","COM_EQY_TO_TOT_ASSET","FQ1 2020","FQ1 2020","Currency=USD","Period=FQ","BEST_FPERIOD_OVERRIDE=FQ","FILING_STATUS=MR","Sort=A","Dates=H","DateFormat=P","Fill=—","Direction=H","UseDPDF=Y")</f>
        <v>69.210499999999996</v>
      </c>
      <c r="AI10" s="21">
        <f>_xll.BDH("NVDA US Equity","COM_EQY_TO_TOT_ASSET","FQ2 2020","FQ2 2020","Currency=USD","Period=FQ","BEST_FPERIOD_OVERRIDE=FQ","FILING_STATUS=MR","Sort=A","Dates=H","DateFormat=P","Fill=—","Direction=H","UseDPDF=Y")</f>
        <v>69.956000000000003</v>
      </c>
      <c r="AJ10" s="21">
        <f>_xll.BDH("NVDA US Equity","COM_EQY_TO_TOT_ASSET","FQ3 2020","FQ3 2020","Currency=USD","Period=FQ","BEST_FPERIOD_OVERRIDE=FQ","FILING_STATUS=MR","Sort=A","Dates=H","DateFormat=P","Fill=—","Direction=H","UseDPDF=Y")</f>
        <v>70.9298</v>
      </c>
      <c r="AK10" s="21">
        <f>_xll.BDH("NVDA US Equity","COM_EQY_TO_TOT_ASSET","FQ4 2020","FQ4 2020","Currency=USD","Period=FQ","BEST_FPERIOD_OVERRIDE=FQ","FILING_STATUS=MR","Sort=A","Dates=H","DateFormat=P","Fill=—","Direction=H","UseDPDF=Y")</f>
        <v>70.482200000000006</v>
      </c>
      <c r="AL10" s="21">
        <f>_xll.BDH("NVDA US Equity","COM_EQY_TO_TOT_ASSET","FQ1 2021","FQ1 2021","Currency=USD","Period=FQ","BEST_FPERIOD_OVERRIDE=FQ","FILING_STATUS=MR","Sort=A","Dates=H","DateFormat=P","Fill=—","Direction=H","UseDPDF=Y")</f>
        <v>56.330100000000002</v>
      </c>
      <c r="AM10" s="21">
        <f>_xll.BDH("NVDA US Equity","COM_EQY_TO_TOT_ASSET","FQ2 2021","FQ2 2021","Currency=USD","Period=FQ","BEST_FPERIOD_OVERRIDE=FQ","FILING_STATUS=MR","Sort=A","Dates=H","DateFormat=P","Fill=—","Direction=H","UseDPDF=Y")</f>
        <v>55.258099999999999</v>
      </c>
      <c r="AN10" s="21">
        <f>_xll.BDH("NVDA US Equity","COM_EQY_TO_TOT_ASSET","FQ3 2021","FQ3 2021","Currency=USD","Period=FQ","BEST_FPERIOD_OVERRIDE=FQ","FILING_STATUS=MR","Sort=A","Dates=H","DateFormat=P","Fill=—","Direction=H","UseDPDF=Y")</f>
        <v>57.043999999999997</v>
      </c>
      <c r="AO10" s="21">
        <f>_xll.BDH("NVDA US Equity","COM_EQY_TO_TOT_ASSET","FQ4 2021","FQ4 2021","Currency=USD","Period=FQ","BEST_FPERIOD_OVERRIDE=FQ","FILING_STATUS=MR","Sort=A","Dates=H","DateFormat=P","Fill=—","Direction=H","UseDPDF=Y")</f>
        <v>58.674599999999998</v>
      </c>
      <c r="AP10" s="21">
        <f>_xll.BDH("NVDA US Equity","COM_EQY_TO_TOT_ASSET","FQ1 2022","FQ1 2022","Currency=USD","Period=FQ","BEST_FPERIOD_OVERRIDE=FQ","FILING_STATUS=MR","Sort=A","Dates=H","DateFormat=P","Fill=—","Direction=H","UseDPDF=Y")</f>
        <v>60.962499999999999</v>
      </c>
    </row>
    <row r="11" spans="1:42" x14ac:dyDescent="0.25">
      <c r="A11" s="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7" t="s">
        <v>126</v>
      </c>
      <c r="B12" s="7" t="s">
        <v>125</v>
      </c>
      <c r="C12" s="21">
        <f>_xll.BDH("NVDA US Equity","LT_DEBT_TO_TOT_EQY","FQ2 2012","FQ2 2012","Currency=USD","Period=FQ","BEST_FPERIOD_OVERRIDE=FQ","FILING_STATUS=MR","Sort=A","Dates=H","DateFormat=P","Fill=—","Direction=H","UseDPDF=Y")</f>
        <v>0.60970000000000002</v>
      </c>
      <c r="D12" s="21">
        <f>_xll.BDH("NVDA US Equity","LT_DEBT_TO_TOT_EQY","FQ3 2012","FQ3 2012","Currency=USD","Period=FQ","BEST_FPERIOD_OVERRIDE=FQ","FILING_STATUS=MR","Sort=A","Dates=H","DateFormat=P","Fill=—","Direction=H","UseDPDF=Y")</f>
        <v>0.5524</v>
      </c>
      <c r="E12" s="21">
        <f>_xll.BDH("NVDA US Equity","LT_DEBT_TO_TOT_EQY","FQ4 2012","FQ4 2012","Currency=USD","Period=FQ","BEST_FPERIOD_OVERRIDE=FQ","FILING_STATUS=MR","Sort=A","Dates=H","DateFormat=P","Fill=—","Direction=H","UseDPDF=Y")</f>
        <v>0.5171</v>
      </c>
      <c r="F12" s="21">
        <f>_xll.BDH("NVDA US Equity","LT_DEBT_TO_TOT_EQY","FQ1 2013","FQ1 2013","Currency=USD","Period=FQ","BEST_FPERIOD_OVERRIDE=FQ","FILING_STATUS=MR","Sort=A","Dates=H","DateFormat=P","Fill=—","Direction=H","UseDPDF=Y")</f>
        <v>0.48580000000000001</v>
      </c>
      <c r="G12" s="21">
        <f>_xll.BDH("NVDA US Equity","LT_DEBT_TO_TOT_EQY","FQ2 2013","FQ2 2013","Currency=USD","Period=FQ","BEST_FPERIOD_OVERRIDE=FQ","FILING_STATUS=MR","Sort=A","Dates=H","DateFormat=P","Fill=—","Direction=H","UseDPDF=Y")</f>
        <v>0.45440000000000003</v>
      </c>
      <c r="H12" s="21">
        <f>_xll.BDH("NVDA US Equity","LT_DEBT_TO_TOT_EQY","FQ3 2013","FQ3 2013","Currency=USD","Period=FQ","BEST_FPERIOD_OVERRIDE=FQ","FILING_STATUS=MR","Sort=A","Dates=H","DateFormat=P","Fill=—","Direction=H","UseDPDF=Y")</f>
        <v>0.41560000000000002</v>
      </c>
      <c r="I12" s="21">
        <f>_xll.BDH("NVDA US Equity","LT_DEBT_TO_TOT_EQY","FQ4 2013","FQ4 2013","Currency=USD","Period=FQ","BEST_FPERIOD_OVERRIDE=FQ","FILING_STATUS=MR","Sort=A","Dates=H","DateFormat=P","Fill=—","Direction=H","UseDPDF=Y")</f>
        <v>0.39350000000000002</v>
      </c>
      <c r="J12" s="21">
        <f>_xll.BDH("NVDA US Equity","LT_DEBT_TO_TOT_EQY","FQ1 2014","FQ1 2014","Currency=USD","Period=FQ","BEST_FPERIOD_OVERRIDE=FQ","FILING_STATUS=MR","Sort=A","Dates=H","DateFormat=P","Fill=—","Direction=H","UseDPDF=Y")</f>
        <v>0.38</v>
      </c>
      <c r="K12" s="21">
        <f>_xll.BDH("NVDA US Equity","LT_DEBT_TO_TOT_EQY","FQ2 2014","FQ2 2014","Currency=USD","Period=FQ","BEST_FPERIOD_OVERRIDE=FQ","FILING_STATUS=MR","Sort=A","Dates=H","DateFormat=P","Fill=—","Direction=H","UseDPDF=Y")</f>
        <v>0.4239</v>
      </c>
      <c r="L12" s="21">
        <f>_xll.BDH("NVDA US Equity","LT_DEBT_TO_TOT_EQY","FQ3 2014","FQ3 2014","Currency=USD","Period=FQ","BEST_FPERIOD_OVERRIDE=FQ","FILING_STATUS=MR","Sort=A","Dates=H","DateFormat=P","Fill=—","Direction=H","UseDPDF=Y")</f>
        <v>0.39379999999999998</v>
      </c>
      <c r="M12" s="21">
        <f>_xll.BDH("NVDA US Equity","LT_DEBT_TO_TOT_EQY","FQ4 2014","FQ4 2014","Currency=USD","Period=FQ","BEST_FPERIOD_OVERRIDE=FQ","FILING_STATUS=MR","Sort=A","Dates=H","DateFormat=P","Fill=—","Direction=H","UseDPDF=Y")</f>
        <v>30.8293</v>
      </c>
      <c r="N12" s="21">
        <f>_xll.BDH("NVDA US Equity","LT_DEBT_TO_TOT_EQY","FQ1 2015","FQ1 2015","Currency=USD","Period=FQ","BEST_FPERIOD_OVERRIDE=FQ","FILING_STATUS=MR","Sort=A","Dates=H","DateFormat=P","Fill=—","Direction=H","UseDPDF=Y")</f>
        <v>33.116500000000002</v>
      </c>
      <c r="O12" s="21">
        <f>_xll.BDH("NVDA US Equity","LT_DEBT_TO_TOT_EQY","FQ2 2015","FQ2 2015","Currency=USD","Period=FQ","BEST_FPERIOD_OVERRIDE=FQ","FILING_STATUS=MR","Sort=A","Dates=H","DateFormat=P","Fill=—","Direction=H","UseDPDF=Y")</f>
        <v>32.198799999999999</v>
      </c>
      <c r="P12" s="21">
        <f>_xll.BDH("NVDA US Equity","LT_DEBT_TO_TOT_EQY","FQ3 2015","FQ3 2015","Currency=USD","Period=FQ","BEST_FPERIOD_OVERRIDE=FQ","FILING_STATUS=MR","Sort=A","Dates=H","DateFormat=P","Fill=—","Direction=H","UseDPDF=Y")</f>
        <v>33.112299999999998</v>
      </c>
      <c r="Q12" s="21">
        <f>_xll.BDH("NVDA US Equity","LT_DEBT_TO_TOT_EQY","FQ4 2015","FQ4 2015","Currency=USD","Period=FQ","BEST_FPERIOD_OVERRIDE=FQ","FILING_STATUS=MR","Sort=A","Dates=H","DateFormat=P","Fill=—","Direction=H","UseDPDF=Y")</f>
        <v>31.6433</v>
      </c>
      <c r="R12" s="21">
        <f>_xll.BDH("NVDA US Equity","LT_DEBT_TO_TOT_EQY","FQ1 2016","FQ1 2016","Currency=USD","Period=FQ","BEST_FPERIOD_OVERRIDE=FQ","FILING_STATUS=MR","Sort=A","Dates=H","DateFormat=P","Fill=—","Direction=H","UseDPDF=Y")</f>
        <v>30.816500000000001</v>
      </c>
      <c r="S12" s="21">
        <f>_xll.BDH("NVDA US Equity","LT_DEBT_TO_TOT_EQY","FQ2 2016","FQ2 2016","Currency=USD","Period=FQ","BEST_FPERIOD_OVERRIDE=FQ","FILING_STATUS=MR","Sort=A","Dates=H","DateFormat=P","Fill=—","Direction=H","UseDPDF=Y")</f>
        <v>33.715699999999998</v>
      </c>
      <c r="T12" s="21">
        <f>_xll.BDH("NVDA US Equity","LT_DEBT_TO_TOT_EQY","FQ3 2016","FQ3 2016","Currency=USD","Period=FQ","BEST_FPERIOD_OVERRIDE=FQ","FILING_STATUS=MR","Sort=A","Dates=H","DateFormat=P","Fill=—","Direction=H","UseDPDF=Y")</f>
        <v>31.735700000000001</v>
      </c>
      <c r="U12" s="21">
        <f>_xll.BDH("NVDA US Equity","LT_DEBT_TO_TOT_EQY","FQ4 2016","FQ4 2016","Currency=USD","Period=FQ","BEST_FPERIOD_OVERRIDE=FQ","FILING_STATUS=MR","Sort=A","Dates=H","DateFormat=P","Fill=—","Direction=H","UseDPDF=Y")</f>
        <v>2.1705000000000001</v>
      </c>
      <c r="V12" s="21">
        <f>_xll.BDH("NVDA US Equity","LT_DEBT_TO_TOT_EQY","FQ1 2017","FQ1 2017","Currency=USD","Period=FQ","BEST_FPERIOD_OVERRIDE=FQ","FILING_STATUS=MR","Sort=A","Dates=H","DateFormat=P","Fill=—","Direction=H","UseDPDF=Y")</f>
        <v>2.0972</v>
      </c>
      <c r="W12" s="21">
        <f>_xll.BDH("NVDA US Equity","LT_DEBT_TO_TOT_EQY","FQ2 2017","FQ2 2017","Currency=USD","Period=FQ","BEST_FPERIOD_OVERRIDE=FQ","FILING_STATUS=MR","Sort=A","Dates=H","DateFormat=P","Fill=—","Direction=H","UseDPDF=Y")</f>
        <v>1.7856999999999998</v>
      </c>
      <c r="X12" s="21">
        <f>_xll.BDH("NVDA US Equity","LT_DEBT_TO_TOT_EQY","FQ3 2017","FQ3 2017","Currency=USD","Period=FQ","BEST_FPERIOD_OVERRIDE=FQ","FILING_STATUS=MR","Sort=A","Dates=H","DateFormat=P","Fill=—","Direction=H","UseDPDF=Y")</f>
        <v>38.2044</v>
      </c>
      <c r="Y12" s="21">
        <f>_xll.BDH("NVDA US Equity","LT_DEBT_TO_TOT_EQY","FQ4 2017","FQ4 2017","Currency=USD","Period=FQ","BEST_FPERIOD_OVERRIDE=FQ","FILING_STATUS=MR","Sort=A","Dates=H","DateFormat=P","Fill=—","Direction=H","UseDPDF=Y")</f>
        <v>35.057299999999998</v>
      </c>
      <c r="Z12" s="21">
        <f>_xll.BDH("NVDA US Equity","LT_DEBT_TO_TOT_EQY","FQ1 2018","FQ1 2018","Currency=USD","Period=FQ","BEST_FPERIOD_OVERRIDE=FQ","FILING_STATUS=MR","Sort=A","Dates=H","DateFormat=P","Fill=—","Direction=H","UseDPDF=Y")</f>
        <v>32.534199999999998</v>
      </c>
      <c r="AA12" s="21">
        <f>_xll.BDH("NVDA US Equity","LT_DEBT_TO_TOT_EQY","FQ2 2018","FQ2 2018","Currency=USD","Period=FQ","BEST_FPERIOD_OVERRIDE=FQ","FILING_STATUS=MR","Sort=A","Dates=H","DateFormat=P","Fill=—","Direction=H","UseDPDF=Y")</f>
        <v>33.299799999999998</v>
      </c>
      <c r="AB12" s="21">
        <f>_xll.BDH("NVDA US Equity","LT_DEBT_TO_TOT_EQY","FQ3 2018","FQ3 2018","Currency=USD","Period=FQ","BEST_FPERIOD_OVERRIDE=FQ","FILING_STATUS=MR","Sort=A","Dates=H","DateFormat=P","Fill=—","Direction=H","UseDPDF=Y")</f>
        <v>31.281500000000001</v>
      </c>
      <c r="AC12" s="21">
        <f>_xll.BDH("NVDA US Equity","LT_DEBT_TO_TOT_EQY","FQ4 2018","FQ4 2018","Currency=USD","Period=FQ","BEST_FPERIOD_OVERRIDE=FQ","FILING_STATUS=MR","Sort=A","Dates=H","DateFormat=P","Fill=—","Direction=H","UseDPDF=Y")</f>
        <v>26.569400000000002</v>
      </c>
      <c r="AD12" s="21">
        <f>_xll.BDH("NVDA US Equity","LT_DEBT_TO_TOT_EQY","FQ1 2019","FQ1 2019","Currency=USD","Period=FQ","BEST_FPERIOD_OVERRIDE=FQ","FILING_STATUS=MR","Sort=A","Dates=H","DateFormat=P","Fill=—","Direction=H","UseDPDF=Y")</f>
        <v>25.735399999999998</v>
      </c>
      <c r="AE12" s="21">
        <f>_xll.BDH("NVDA US Equity","LT_DEBT_TO_TOT_EQY","FQ2 2019","FQ2 2019","Currency=USD","Period=FQ","BEST_FPERIOD_OVERRIDE=FQ","FILING_STATUS=MR","Sort=A","Dates=H","DateFormat=P","Fill=—","Direction=H","UseDPDF=Y")</f>
        <v>22.592400000000001</v>
      </c>
      <c r="AF12" s="21">
        <f>_xll.BDH("NVDA US Equity","LT_DEBT_TO_TOT_EQY","FQ3 2019","FQ3 2019","Currency=USD","Period=FQ","BEST_FPERIOD_OVERRIDE=FQ","FILING_STATUS=MR","Sort=A","Dates=H","DateFormat=P","Fill=—","Direction=H","UseDPDF=Y")</f>
        <v>20.971</v>
      </c>
      <c r="AG12" s="21">
        <f>_xll.BDH("NVDA US Equity","LT_DEBT_TO_TOT_EQY","FQ4 2019","FQ4 2019","Currency=USD","Period=FQ","BEST_FPERIOD_OVERRIDE=FQ","FILING_STATUS=MR","Sort=A","Dates=H","DateFormat=P","Fill=—","Direction=H","UseDPDF=Y")</f>
        <v>21.280200000000001</v>
      </c>
      <c r="AH12" s="21">
        <f>_xll.BDH("NVDA US Equity","LT_DEBT_TO_TOT_EQY","FQ1 2020","FQ1 2020","Currency=USD","Period=FQ","BEST_FPERIOD_OVERRIDE=FQ","FILING_STATUS=MR","Sort=A","Dates=H","DateFormat=P","Fill=—","Direction=H","UseDPDF=Y")</f>
        <v>25.494599999999998</v>
      </c>
      <c r="AI12" s="21">
        <f>_xll.BDH("NVDA US Equity","LT_DEBT_TO_TOT_EQY","FQ2 2020","FQ2 2020","Currency=USD","Period=FQ","BEST_FPERIOD_OVERRIDE=FQ","FILING_STATUS=MR","Sort=A","Dates=H","DateFormat=P","Fill=—","Direction=H","UseDPDF=Y")</f>
        <v>23.916399999999999</v>
      </c>
      <c r="AJ12" s="21">
        <f>_xll.BDH("NVDA US Equity","LT_DEBT_TO_TOT_EQY","FQ3 2020","FQ3 2020","Currency=USD","Period=FQ","BEST_FPERIOD_OVERRIDE=FQ","FILING_STATUS=MR","Sort=A","Dates=H","DateFormat=P","Fill=—","Direction=H","UseDPDF=Y")</f>
        <v>21.927900000000001</v>
      </c>
      <c r="AK12" s="21">
        <f>_xll.BDH("NVDA US Equity","LT_DEBT_TO_TOT_EQY","FQ4 2020","FQ4 2020","Currency=USD","Period=FQ","BEST_FPERIOD_OVERRIDE=FQ","FILING_STATUS=MR","Sort=A","Dates=H","DateFormat=P","Fill=—","Direction=H","UseDPDF=Y")</f>
        <v>20.911200000000001</v>
      </c>
      <c r="AL12" s="21">
        <f>_xll.BDH("NVDA US Equity","LT_DEBT_TO_TOT_EQY","FQ1 2021","FQ1 2021","Currency=USD","Period=FQ","BEST_FPERIOD_OVERRIDE=FQ","FILING_STATUS=MR","Sort=A","Dates=H","DateFormat=P","Fill=—","Direction=H","UseDPDF=Y")</f>
        <v>57.088299999999997</v>
      </c>
      <c r="AM12" s="21">
        <f>_xll.BDH("NVDA US Equity","LT_DEBT_TO_TOT_EQY","FQ2 2021","FQ2 2021","Currency=USD","Period=FQ","BEST_FPERIOD_OVERRIDE=FQ","FILING_STATUS=MR","Sort=A","Dates=H","DateFormat=P","Fill=—","Direction=H","UseDPDF=Y")</f>
        <v>54.412799999999997</v>
      </c>
      <c r="AN12" s="21">
        <f>_xll.BDH("NVDA US Equity","LT_DEBT_TO_TOT_EQY","FQ3 2021","FQ3 2021","Currency=USD","Period=FQ","BEST_FPERIOD_OVERRIDE=FQ","FILING_STATUS=MR","Sort=A","Dates=H","DateFormat=P","Fill=—","Direction=H","UseDPDF=Y")</f>
        <v>42.8264</v>
      </c>
      <c r="AO12" s="21">
        <f>_xll.BDH("NVDA US Equity","LT_DEBT_TO_TOT_EQY","FQ4 2021","FQ4 2021","Currency=USD","Period=FQ","BEST_FPERIOD_OVERRIDE=FQ","FILING_STATUS=MR","Sort=A","Dates=H","DateFormat=P","Fill=—","Direction=H","UseDPDF=Y")</f>
        <v>39.057600000000001</v>
      </c>
      <c r="AP12" s="21">
        <f>_xll.BDH("NVDA US Equity","LT_DEBT_TO_TOT_EQY","FQ1 2022","FQ1 2022","Currency=USD","Period=FQ","BEST_FPERIOD_OVERRIDE=FQ","FILING_STATUS=MR","Sort=A","Dates=H","DateFormat=P","Fill=—","Direction=H","UseDPDF=Y")</f>
        <v>35.176299999999998</v>
      </c>
    </row>
    <row r="13" spans="1:42" x14ac:dyDescent="0.25">
      <c r="A13" s="7" t="s">
        <v>124</v>
      </c>
      <c r="B13" s="7" t="s">
        <v>123</v>
      </c>
      <c r="C13" s="21">
        <f>_xll.BDH("NVDA US Equity","LT_DEBT_TO_TOT_CAP","FQ2 2012","FQ2 2012","Currency=USD","Period=FQ","BEST_FPERIOD_OVERRIDE=FQ","FILING_STATUS=MR","Sort=A","Dates=H","DateFormat=P","Fill=—","Direction=H","UseDPDF=Y")</f>
        <v>0.60599999999999998</v>
      </c>
      <c r="D13" s="21">
        <f>_xll.BDH("NVDA US Equity","LT_DEBT_TO_TOT_CAP","FQ3 2012","FQ3 2012","Currency=USD","Period=FQ","BEST_FPERIOD_OVERRIDE=FQ","FILING_STATUS=MR","Sort=A","Dates=H","DateFormat=P","Fill=—","Direction=H","UseDPDF=Y")</f>
        <v>0.5494</v>
      </c>
      <c r="E13" s="21">
        <f>_xll.BDH("NVDA US Equity","LT_DEBT_TO_TOT_CAP","FQ4 2012","FQ4 2012","Currency=USD","Period=FQ","BEST_FPERIOD_OVERRIDE=FQ","FILING_STATUS=MR","Sort=A","Dates=H","DateFormat=P","Fill=—","Direction=H","UseDPDF=Y")</f>
        <v>0.51419999999999999</v>
      </c>
      <c r="F13" s="21">
        <f>_xll.BDH("NVDA US Equity","LT_DEBT_TO_TOT_CAP","FQ1 2013","FQ1 2013","Currency=USD","Period=FQ","BEST_FPERIOD_OVERRIDE=FQ","FILING_STATUS=MR","Sort=A","Dates=H","DateFormat=P","Fill=—","Direction=H","UseDPDF=Y")</f>
        <v>0.48349999999999999</v>
      </c>
      <c r="G13" s="21">
        <f>_xll.BDH("NVDA US Equity","LT_DEBT_TO_TOT_CAP","FQ2 2013","FQ2 2013","Currency=USD","Period=FQ","BEST_FPERIOD_OVERRIDE=FQ","FILING_STATUS=MR","Sort=A","Dates=H","DateFormat=P","Fill=—","Direction=H","UseDPDF=Y")</f>
        <v>0.45229999999999998</v>
      </c>
      <c r="H13" s="21">
        <f>_xll.BDH("NVDA US Equity","LT_DEBT_TO_TOT_CAP","FQ3 2013","FQ3 2013","Currency=USD","Period=FQ","BEST_FPERIOD_OVERRIDE=FQ","FILING_STATUS=MR","Sort=A","Dates=H","DateFormat=P","Fill=—","Direction=H","UseDPDF=Y")</f>
        <v>0.41389999999999999</v>
      </c>
      <c r="I13" s="21">
        <f>_xll.BDH("NVDA US Equity","LT_DEBT_TO_TOT_CAP","FQ4 2013","FQ4 2013","Currency=USD","Period=FQ","BEST_FPERIOD_OVERRIDE=FQ","FILING_STATUS=MR","Sort=A","Dates=H","DateFormat=P","Fill=—","Direction=H","UseDPDF=Y")</f>
        <v>0.39179999999999998</v>
      </c>
      <c r="J13" s="21">
        <f>_xll.BDH("NVDA US Equity","LT_DEBT_TO_TOT_CAP","FQ1 2014","FQ1 2014","Currency=USD","Period=FQ","BEST_FPERIOD_OVERRIDE=FQ","FILING_STATUS=MR","Sort=A","Dates=H","DateFormat=P","Fill=—","Direction=H","UseDPDF=Y")</f>
        <v>0.3785</v>
      </c>
      <c r="K13" s="21">
        <f>_xll.BDH("NVDA US Equity","LT_DEBT_TO_TOT_CAP","FQ2 2014","FQ2 2014","Currency=USD","Period=FQ","BEST_FPERIOD_OVERRIDE=FQ","FILING_STATUS=MR","Sort=A","Dates=H","DateFormat=P","Fill=—","Direction=H","UseDPDF=Y")</f>
        <v>0.42209999999999998</v>
      </c>
      <c r="L13" s="21">
        <f>_xll.BDH("NVDA US Equity","LT_DEBT_TO_TOT_CAP","FQ3 2014","FQ3 2014","Currency=USD","Period=FQ","BEST_FPERIOD_OVERRIDE=FQ","FILING_STATUS=MR","Sort=A","Dates=H","DateFormat=P","Fill=—","Direction=H","UseDPDF=Y")</f>
        <v>0.39229999999999998</v>
      </c>
      <c r="M13" s="21">
        <f>_xll.BDH("NVDA US Equity","LT_DEBT_TO_TOT_CAP","FQ4 2014","FQ4 2014","Currency=USD","Period=FQ","BEST_FPERIOD_OVERRIDE=FQ","FILING_STATUS=MR","Sort=A","Dates=H","DateFormat=P","Fill=—","Direction=H","UseDPDF=Y")</f>
        <v>23.552700000000002</v>
      </c>
      <c r="N13" s="21">
        <f>_xll.BDH("NVDA US Equity","LT_DEBT_TO_TOT_CAP","FQ1 2015","FQ1 2015","Currency=USD","Period=FQ","BEST_FPERIOD_OVERRIDE=FQ","FILING_STATUS=MR","Sort=A","Dates=H","DateFormat=P","Fill=—","Direction=H","UseDPDF=Y")</f>
        <v>24.877800000000001</v>
      </c>
      <c r="O13" s="21">
        <f>_xll.BDH("NVDA US Equity","LT_DEBT_TO_TOT_CAP","FQ2 2015","FQ2 2015","Currency=USD","Period=FQ","BEST_FPERIOD_OVERRIDE=FQ","FILING_STATUS=MR","Sort=A","Dates=H","DateFormat=P","Fill=—","Direction=H","UseDPDF=Y")</f>
        <v>24.356400000000001</v>
      </c>
      <c r="P13" s="21">
        <f>_xll.BDH("NVDA US Equity","LT_DEBT_TO_TOT_CAP","FQ3 2015","FQ3 2015","Currency=USD","Period=FQ","BEST_FPERIOD_OVERRIDE=FQ","FILING_STATUS=MR","Sort=A","Dates=H","DateFormat=P","Fill=—","Direction=H","UseDPDF=Y")</f>
        <v>24.875399999999999</v>
      </c>
      <c r="Q13" s="21">
        <f>_xll.BDH("NVDA US Equity","LT_DEBT_TO_TOT_CAP","FQ4 2015","FQ4 2015","Currency=USD","Period=FQ","BEST_FPERIOD_OVERRIDE=FQ","FILING_STATUS=MR","Sort=A","Dates=H","DateFormat=P","Fill=—","Direction=H","UseDPDF=Y")</f>
        <v>24.0227</v>
      </c>
      <c r="R13" s="21">
        <f>_xll.BDH("NVDA US Equity","LT_DEBT_TO_TOT_CAP","FQ1 2016","FQ1 2016","Currency=USD","Period=FQ","BEST_FPERIOD_OVERRIDE=FQ","FILING_STATUS=MR","Sort=A","Dates=H","DateFormat=P","Fill=—","Direction=H","UseDPDF=Y")</f>
        <v>23.556999999999999</v>
      </c>
      <c r="S13" s="21">
        <f>_xll.BDH("NVDA US Equity","LT_DEBT_TO_TOT_CAP","FQ2 2016","FQ2 2016","Currency=USD","Period=FQ","BEST_FPERIOD_OVERRIDE=FQ","FILING_STATUS=MR","Sort=A","Dates=H","DateFormat=P","Fill=—","Direction=H","UseDPDF=Y")</f>
        <v>25.214400000000001</v>
      </c>
      <c r="T13" s="21">
        <f>_xll.BDH("NVDA US Equity","LT_DEBT_TO_TOT_CAP","FQ3 2016","FQ3 2016","Currency=USD","Period=FQ","BEST_FPERIOD_OVERRIDE=FQ","FILING_STATUS=MR","Sort=A","Dates=H","DateFormat=P","Fill=—","Direction=H","UseDPDF=Y")</f>
        <v>24.090399999999999</v>
      </c>
      <c r="U13" s="21">
        <f>_xll.BDH("NVDA US Equity","LT_DEBT_TO_TOT_CAP","FQ4 2016","FQ4 2016","Currency=USD","Period=FQ","BEST_FPERIOD_OVERRIDE=FQ","FILING_STATUS=MR","Sort=A","Dates=H","DateFormat=P","Fill=—","Direction=H","UseDPDF=Y")</f>
        <v>1.6213</v>
      </c>
      <c r="V13" s="21">
        <f>_xll.BDH("NVDA US Equity","LT_DEBT_TO_TOT_CAP","FQ1 2017","FQ1 2017","Currency=USD","Period=FQ","BEST_FPERIOD_OVERRIDE=FQ","FILING_STATUS=MR","Sort=A","Dates=H","DateFormat=P","Fill=—","Direction=H","UseDPDF=Y")</f>
        <v>1.5425</v>
      </c>
      <c r="W13" s="21">
        <f>_xll.BDH("NVDA US Equity","LT_DEBT_TO_TOT_CAP","FQ2 2017","FQ2 2017","Currency=USD","Period=FQ","BEST_FPERIOD_OVERRIDE=FQ","FILING_STATUS=MR","Sort=A","Dates=H","DateFormat=P","Fill=—","Direction=H","UseDPDF=Y")</f>
        <v>1.3360000000000001</v>
      </c>
      <c r="X13" s="21">
        <f>_xll.BDH("NVDA US Equity","LT_DEBT_TO_TOT_CAP","FQ3 2017","FQ3 2017","Currency=USD","Period=FQ","BEST_FPERIOD_OVERRIDE=FQ","FILING_STATUS=MR","Sort=A","Dates=H","DateFormat=P","Fill=—","Direction=H","UseDPDF=Y")</f>
        <v>24.292400000000001</v>
      </c>
      <c r="Y13" s="21">
        <f>_xll.BDH("NVDA US Equity","LT_DEBT_TO_TOT_CAP","FQ4 2017","FQ4 2017","Currency=USD","Period=FQ","BEST_FPERIOD_OVERRIDE=FQ","FILING_STATUS=MR","Sort=A","Dates=H","DateFormat=P","Fill=—","Direction=H","UseDPDF=Y")</f>
        <v>23.537600000000001</v>
      </c>
      <c r="Z13" s="21">
        <f>_xll.BDH("NVDA US Equity","LT_DEBT_TO_TOT_CAP","FQ1 2018","FQ1 2018","Currency=USD","Period=FQ","BEST_FPERIOD_OVERRIDE=FQ","FILING_STATUS=MR","Sort=A","Dates=H","DateFormat=P","Fill=—","Direction=H","UseDPDF=Y")</f>
        <v>23.9008</v>
      </c>
      <c r="AA13" s="21">
        <f>_xll.BDH("NVDA US Equity","LT_DEBT_TO_TOT_CAP","FQ2 2018","FQ2 2018","Currency=USD","Period=FQ","BEST_FPERIOD_OVERRIDE=FQ","FILING_STATUS=MR","Sort=A","Dates=H","DateFormat=P","Fill=—","Direction=H","UseDPDF=Y")</f>
        <v>24.704999999999998</v>
      </c>
      <c r="AB13" s="21">
        <f>_xll.BDH("NVDA US Equity","LT_DEBT_TO_TOT_CAP","FQ3 2018","FQ3 2018","Currency=USD","Period=FQ","BEST_FPERIOD_OVERRIDE=FQ","FILING_STATUS=MR","Sort=A","Dates=H","DateFormat=P","Fill=—","Direction=H","UseDPDF=Y")</f>
        <v>23.748100000000001</v>
      </c>
      <c r="AC13" s="21">
        <f>_xll.BDH("NVDA US Equity","LT_DEBT_TO_TOT_CAP","FQ4 2018","FQ4 2018","Currency=USD","Period=FQ","BEST_FPERIOD_OVERRIDE=FQ","FILING_STATUS=MR","Sort=A","Dates=H","DateFormat=P","Fill=—","Direction=H","UseDPDF=Y")</f>
        <v>20.9587</v>
      </c>
      <c r="AD13" s="21">
        <f>_xll.BDH("NVDA US Equity","LT_DEBT_TO_TOT_CAP","FQ1 2019","FQ1 2019","Currency=USD","Period=FQ","BEST_FPERIOD_OVERRIDE=FQ","FILING_STATUS=MR","Sort=A","Dates=H","DateFormat=P","Fill=—","Direction=H","UseDPDF=Y")</f>
        <v>20.438400000000001</v>
      </c>
      <c r="AE13" s="21">
        <f>_xll.BDH("NVDA US Equity","LT_DEBT_TO_TOT_CAP","FQ2 2019","FQ2 2019","Currency=USD","Period=FQ","BEST_FPERIOD_OVERRIDE=FQ","FILING_STATUS=MR","Sort=A","Dates=H","DateFormat=P","Fill=—","Direction=H","UseDPDF=Y")</f>
        <v>18.405000000000001</v>
      </c>
      <c r="AF13" s="21">
        <f>_xll.BDH("NVDA US Equity","LT_DEBT_TO_TOT_CAP","FQ3 2019","FQ3 2019","Currency=USD","Period=FQ","BEST_FPERIOD_OVERRIDE=FQ","FILING_STATUS=MR","Sort=A","Dates=H","DateFormat=P","Fill=—","Direction=H","UseDPDF=Y")</f>
        <v>17.331</v>
      </c>
      <c r="AG13" s="21">
        <f>_xll.BDH("NVDA US Equity","LT_DEBT_TO_TOT_CAP","FQ4 2019","FQ4 2019","Currency=USD","Period=FQ","BEST_FPERIOD_OVERRIDE=FQ","FILING_STATUS=MR","Sort=A","Dates=H","DateFormat=P","Fill=—","Direction=H","UseDPDF=Y")</f>
        <v>17.546299999999999</v>
      </c>
      <c r="AH13" s="21">
        <f>_xll.BDH("NVDA US Equity","LT_DEBT_TO_TOT_CAP","FQ1 2020","FQ1 2020","Currency=USD","Period=FQ","BEST_FPERIOD_OVERRIDE=FQ","FILING_STATUS=MR","Sort=A","Dates=H","DateFormat=P","Fill=—","Direction=H","UseDPDF=Y")</f>
        <v>20.182700000000001</v>
      </c>
      <c r="AI13" s="21">
        <f>_xll.BDH("NVDA US Equity","LT_DEBT_TO_TOT_CAP","FQ2 2020","FQ2 2020","Currency=USD","Period=FQ","BEST_FPERIOD_OVERRIDE=FQ","FILING_STATUS=MR","Sort=A","Dates=H","DateFormat=P","Fill=—","Direction=H","UseDPDF=Y")</f>
        <v>19.174700000000001</v>
      </c>
      <c r="AJ13" s="21">
        <f>_xll.BDH("NVDA US Equity","LT_DEBT_TO_TOT_CAP","FQ3 2020","FQ3 2020","Currency=USD","Period=FQ","BEST_FPERIOD_OVERRIDE=FQ","FILING_STATUS=MR","Sort=A","Dates=H","DateFormat=P","Fill=—","Direction=H","UseDPDF=Y")</f>
        <v>17.867999999999999</v>
      </c>
      <c r="AK13" s="21">
        <f>_xll.BDH("NVDA US Equity","LT_DEBT_TO_TOT_CAP","FQ4 2020","FQ4 2020","Currency=USD","Period=FQ","BEST_FPERIOD_OVERRIDE=FQ","FILING_STATUS=MR","Sort=A","Dates=H","DateFormat=P","Fill=—","Direction=H","UseDPDF=Y")</f>
        <v>17.188700000000001</v>
      </c>
      <c r="AL13" s="21">
        <f>_xll.BDH("NVDA US Equity","LT_DEBT_TO_TOT_CAP","FQ1 2021","FQ1 2021","Currency=USD","Period=FQ","BEST_FPERIOD_OVERRIDE=FQ","FILING_STATUS=MR","Sort=A","Dates=H","DateFormat=P","Fill=—","Direction=H","UseDPDF=Y")</f>
        <v>36.165799999999997</v>
      </c>
      <c r="AM13" s="21">
        <f>_xll.BDH("NVDA US Equity","LT_DEBT_TO_TOT_CAP","FQ2 2021","FQ2 2021","Currency=USD","Period=FQ","BEST_FPERIOD_OVERRIDE=FQ","FILING_STATUS=MR","Sort=A","Dates=H","DateFormat=P","Fill=—","Direction=H","UseDPDF=Y")</f>
        <v>35.036299999999997</v>
      </c>
      <c r="AN13" s="21">
        <f>_xll.BDH("NVDA US Equity","LT_DEBT_TO_TOT_CAP","FQ3 2021","FQ3 2021","Currency=USD","Period=FQ","BEST_FPERIOD_OVERRIDE=FQ","FILING_STATUS=MR","Sort=A","Dates=H","DateFormat=P","Fill=—","Direction=H","UseDPDF=Y")</f>
        <v>28.5336</v>
      </c>
      <c r="AO13" s="21">
        <f>_xll.BDH("NVDA US Equity","LT_DEBT_TO_TOT_CAP","FQ4 2021","FQ4 2021","Currency=USD","Period=FQ","BEST_FPERIOD_OVERRIDE=FQ","FILING_STATUS=MR","Sort=A","Dates=H","DateFormat=P","Fill=—","Direction=H","UseDPDF=Y")</f>
        <v>26.809200000000001</v>
      </c>
      <c r="AP13" s="21">
        <f>_xll.BDH("NVDA US Equity","LT_DEBT_TO_TOT_CAP","FQ1 2022","FQ1 2022","Currency=USD","Period=FQ","BEST_FPERIOD_OVERRIDE=FQ","FILING_STATUS=MR","Sort=A","Dates=H","DateFormat=P","Fill=—","Direction=H","UseDPDF=Y")</f>
        <v>24.909500000000001</v>
      </c>
    </row>
    <row r="14" spans="1:42" x14ac:dyDescent="0.25">
      <c r="A14" s="7" t="s">
        <v>122</v>
      </c>
      <c r="B14" s="7" t="s">
        <v>121</v>
      </c>
      <c r="C14" s="21">
        <f>_xll.BDH("NVDA US Equity","LT_DEBT_TO_TOT_ASSET","FQ2 2012","FQ2 2012","Currency=USD","Period=FQ","BEST_FPERIOD_OVERRIDE=FQ","FILING_STATUS=MR","Sort=A","Dates=H","DateFormat=P","Fill=—","Direction=H","UseDPDF=Y")</f>
        <v>0.46239999999999998</v>
      </c>
      <c r="D14" s="21">
        <f>_xll.BDH("NVDA US Equity","LT_DEBT_TO_TOT_ASSET","FQ3 2012","FQ3 2012","Currency=USD","Period=FQ","BEST_FPERIOD_OVERRIDE=FQ","FILING_STATUS=MR","Sort=A","Dates=H","DateFormat=P","Fill=—","Direction=H","UseDPDF=Y")</f>
        <v>0.43130000000000002</v>
      </c>
      <c r="E14" s="21">
        <f>_xll.BDH("NVDA US Equity","LT_DEBT_TO_TOT_ASSET","FQ4 2012","FQ4 2012","Currency=USD","Period=FQ","BEST_FPERIOD_OVERRIDE=FQ","FILING_STATUS=MR","Sort=A","Dates=H","DateFormat=P","Fill=—","Direction=H","UseDPDF=Y")</f>
        <v>0.3861</v>
      </c>
      <c r="F14" s="21">
        <f>_xll.BDH("NVDA US Equity","LT_DEBT_TO_TOT_ASSET","FQ1 2013","FQ1 2013","Currency=USD","Period=FQ","BEST_FPERIOD_OVERRIDE=FQ","FILING_STATUS=MR","Sort=A","Dates=H","DateFormat=P","Fill=—","Direction=H","UseDPDF=Y")</f>
        <v>0.3649</v>
      </c>
      <c r="G14" s="21">
        <f>_xll.BDH("NVDA US Equity","LT_DEBT_TO_TOT_ASSET","FQ2 2013","FQ2 2013","Currency=USD","Period=FQ","BEST_FPERIOD_OVERRIDE=FQ","FILING_STATUS=MR","Sort=A","Dates=H","DateFormat=P","Fill=—","Direction=H","UseDPDF=Y")</f>
        <v>0.34350000000000003</v>
      </c>
      <c r="H14" s="21">
        <f>_xll.BDH("NVDA US Equity","LT_DEBT_TO_TOT_ASSET","FQ3 2013","FQ3 2013","Currency=USD","Period=FQ","BEST_FPERIOD_OVERRIDE=FQ","FILING_STATUS=MR","Sort=A","Dates=H","DateFormat=P","Fill=—","Direction=H","UseDPDF=Y")</f>
        <v>0.3231</v>
      </c>
      <c r="I14" s="21">
        <f>_xll.BDH("NVDA US Equity","LT_DEBT_TO_TOT_ASSET","FQ4 2013","FQ4 2013","Currency=USD","Period=FQ","BEST_FPERIOD_OVERRIDE=FQ","FILING_STATUS=MR","Sort=A","Dates=H","DateFormat=P","Fill=—","Direction=H","UseDPDF=Y")</f>
        <v>0.29630000000000001</v>
      </c>
      <c r="J14" s="21">
        <f>_xll.BDH("NVDA US Equity","LT_DEBT_TO_TOT_ASSET","FQ1 2014","FQ1 2014","Currency=USD","Period=FQ","BEST_FPERIOD_OVERRIDE=FQ","FILING_STATUS=MR","Sort=A","Dates=H","DateFormat=P","Fill=—","Direction=H","UseDPDF=Y")</f>
        <v>0.29189999999999999</v>
      </c>
      <c r="K14" s="21">
        <f>_xll.BDH("NVDA US Equity","LT_DEBT_TO_TOT_ASSET","FQ2 2014","FQ2 2014","Currency=USD","Period=FQ","BEST_FPERIOD_OVERRIDE=FQ","FILING_STATUS=MR","Sort=A","Dates=H","DateFormat=P","Fill=—","Direction=H","UseDPDF=Y")</f>
        <v>0.3175</v>
      </c>
      <c r="L14" s="21">
        <f>_xll.BDH("NVDA US Equity","LT_DEBT_TO_TOT_ASSET","FQ3 2014","FQ3 2014","Currency=USD","Period=FQ","BEST_FPERIOD_OVERRIDE=FQ","FILING_STATUS=MR","Sort=A","Dates=H","DateFormat=P","Fill=—","Direction=H","UseDPDF=Y")</f>
        <v>0.2979</v>
      </c>
      <c r="M14" s="21">
        <f>_xll.BDH("NVDA US Equity","LT_DEBT_TO_TOT_ASSET","FQ4 2014","FQ4 2014","Currency=USD","Period=FQ","BEST_FPERIOD_OVERRIDE=FQ","FILING_STATUS=MR","Sort=A","Dates=H","DateFormat=P","Fill=—","Direction=H","UseDPDF=Y")</f>
        <v>18.947700000000001</v>
      </c>
      <c r="N14" s="21">
        <f>_xll.BDH("NVDA US Equity","LT_DEBT_TO_TOT_ASSET","FQ1 2015","FQ1 2015","Currency=USD","Period=FQ","BEST_FPERIOD_OVERRIDE=FQ","FILING_STATUS=MR","Sort=A","Dates=H","DateFormat=P","Fill=—","Direction=H","UseDPDF=Y")</f>
        <v>20.102399999999999</v>
      </c>
      <c r="O14" s="21">
        <f>_xll.BDH("NVDA US Equity","LT_DEBT_TO_TOT_ASSET","FQ2 2015","FQ2 2015","Currency=USD","Period=FQ","BEST_FPERIOD_OVERRIDE=FQ","FILING_STATUS=MR","Sort=A","Dates=H","DateFormat=P","Fill=—","Direction=H","UseDPDF=Y")</f>
        <v>19.990600000000001</v>
      </c>
      <c r="P14" s="21">
        <f>_xll.BDH("NVDA US Equity","LT_DEBT_TO_TOT_ASSET","FQ3 2015","FQ3 2015","Currency=USD","Period=FQ","BEST_FPERIOD_OVERRIDE=FQ","FILING_STATUS=MR","Sort=A","Dates=H","DateFormat=P","Fill=—","Direction=H","UseDPDF=Y")</f>
        <v>20.218699999999998</v>
      </c>
      <c r="Q14" s="21">
        <f>_xll.BDH("NVDA US Equity","LT_DEBT_TO_TOT_ASSET","FQ4 2015","FQ4 2015","Currency=USD","Period=FQ","BEST_FPERIOD_OVERRIDE=FQ","FILING_STATUS=MR","Sort=A","Dates=H","DateFormat=P","Fill=—","Direction=H","UseDPDF=Y")</f>
        <v>19.414000000000001</v>
      </c>
      <c r="R14" s="21">
        <f>_xll.BDH("NVDA US Equity","LT_DEBT_TO_TOT_ASSET","FQ1 2016","FQ1 2016","Currency=USD","Period=FQ","BEST_FPERIOD_OVERRIDE=FQ","FILING_STATUS=MR","Sort=A","Dates=H","DateFormat=P","Fill=—","Direction=H","UseDPDF=Y")</f>
        <v>19.256599999999999</v>
      </c>
      <c r="S14" s="21">
        <f>_xll.BDH("NVDA US Equity","LT_DEBT_TO_TOT_ASSET","FQ2 2016","FQ2 2016","Currency=USD","Period=FQ","BEST_FPERIOD_OVERRIDE=FQ","FILING_STATUS=MR","Sort=A","Dates=H","DateFormat=P","Fill=—","Direction=H","UseDPDF=Y")</f>
        <v>20.2178</v>
      </c>
      <c r="T14" s="21">
        <f>_xll.BDH("NVDA US Equity","LT_DEBT_TO_TOT_ASSET","FQ3 2016","FQ3 2016","Currency=USD","Period=FQ","BEST_FPERIOD_OVERRIDE=FQ","FILING_STATUS=MR","Sort=A","Dates=H","DateFormat=P","Fill=—","Direction=H","UseDPDF=Y")</f>
        <v>19.751899999999999</v>
      </c>
      <c r="U14" s="21">
        <f>_xll.BDH("NVDA US Equity","LT_DEBT_TO_TOT_ASSET","FQ4 2016","FQ4 2016","Currency=USD","Period=FQ","BEST_FPERIOD_OVERRIDE=FQ","FILING_STATUS=MR","Sort=A","Dates=H","DateFormat=P","Fill=—","Direction=H","UseDPDF=Y")</f>
        <v>1.3161</v>
      </c>
      <c r="V14" s="21">
        <f>_xll.BDH("NVDA US Equity","LT_DEBT_TO_TOT_ASSET","FQ1 2017","FQ1 2017","Currency=USD","Period=FQ","BEST_FPERIOD_OVERRIDE=FQ","FILING_STATUS=MR","Sort=A","Dates=H","DateFormat=P","Fill=—","Direction=H","UseDPDF=Y")</f>
        <v>1.238</v>
      </c>
      <c r="W14" s="21">
        <f>_xll.BDH("NVDA US Equity","LT_DEBT_TO_TOT_ASSET","FQ2 2017","FQ2 2017","Currency=USD","Period=FQ","BEST_FPERIOD_OVERRIDE=FQ","FILING_STATUS=MR","Sort=A","Dates=H","DateFormat=P","Fill=—","Direction=H","UseDPDF=Y")</f>
        <v>1.0722</v>
      </c>
      <c r="X14" s="21">
        <f>_xll.BDH("NVDA US Equity","LT_DEBT_TO_TOT_ASSET","FQ3 2017","FQ3 2017","Currency=USD","Period=FQ","BEST_FPERIOD_OVERRIDE=FQ","FILING_STATUS=MR","Sort=A","Dates=H","DateFormat=P","Fill=—","Direction=H","UseDPDF=Y")</f>
        <v>21.161000000000001</v>
      </c>
      <c r="Y14" s="21">
        <f>_xll.BDH("NVDA US Equity","LT_DEBT_TO_TOT_ASSET","FQ4 2017","FQ4 2017","Currency=USD","Period=FQ","BEST_FPERIOD_OVERRIDE=FQ","FILING_STATUS=MR","Sort=A","Dates=H","DateFormat=P","Fill=—","Direction=H","UseDPDF=Y")</f>
        <v>20.526399999999999</v>
      </c>
      <c r="Z14" s="21">
        <f>_xll.BDH("NVDA US Equity","LT_DEBT_TO_TOT_ASSET","FQ1 2018","FQ1 2018","Currency=USD","Period=FQ","BEST_FPERIOD_OVERRIDE=FQ","FILING_STATUS=MR","Sort=A","Dates=H","DateFormat=P","Fill=—","Direction=H","UseDPDF=Y")</f>
        <v>21.200900000000001</v>
      </c>
      <c r="AA14" s="21">
        <f>_xll.BDH("NVDA US Equity","LT_DEBT_TO_TOT_ASSET","FQ2 2018","FQ2 2018","Currency=USD","Period=FQ","BEST_FPERIOD_OVERRIDE=FQ","FILING_STATUS=MR","Sort=A","Dates=H","DateFormat=P","Fill=—","Direction=H","UseDPDF=Y")</f>
        <v>21.155100000000001</v>
      </c>
      <c r="AB14" s="21">
        <f>_xll.BDH("NVDA US Equity","LT_DEBT_TO_TOT_ASSET","FQ3 2018","FQ3 2018","Currency=USD","Period=FQ","BEST_FPERIOD_OVERRIDE=FQ","FILING_STATUS=MR","Sort=A","Dates=H","DateFormat=P","Fill=—","Direction=H","UseDPDF=Y")</f>
        <v>20.2136</v>
      </c>
      <c r="AC14" s="21">
        <f>_xll.BDH("NVDA US Equity","LT_DEBT_TO_TOT_ASSET","FQ4 2018","FQ4 2018","Currency=USD","Period=FQ","BEST_FPERIOD_OVERRIDE=FQ","FILING_STATUS=MR","Sort=A","Dates=H","DateFormat=P","Fill=—","Direction=H","UseDPDF=Y")</f>
        <v>17.6586</v>
      </c>
      <c r="AD14" s="21">
        <f>_xll.BDH("NVDA US Equity","LT_DEBT_TO_TOT_ASSET","FQ1 2019","FQ1 2019","Currency=USD","Period=FQ","BEST_FPERIOD_OVERRIDE=FQ","FILING_STATUS=MR","Sort=A","Dates=H","DateFormat=P","Fill=—","Direction=H","UseDPDF=Y")</f>
        <v>17.329799999999999</v>
      </c>
      <c r="AE14" s="21">
        <f>_xll.BDH("NVDA US Equity","LT_DEBT_TO_TOT_ASSET","FQ2 2019","FQ2 2019","Currency=USD","Period=FQ","BEST_FPERIOD_OVERRIDE=FQ","FILING_STATUS=MR","Sort=A","Dates=H","DateFormat=P","Fill=—","Direction=H","UseDPDF=Y")</f>
        <v>15.4246</v>
      </c>
      <c r="AF14" s="21">
        <f>_xll.BDH("NVDA US Equity","LT_DEBT_TO_TOT_ASSET","FQ3 2019","FQ3 2019","Currency=USD","Period=FQ","BEST_FPERIOD_OVERRIDE=FQ","FILING_STATUS=MR","Sort=A","Dates=H","DateFormat=P","Fill=—","Direction=H","UseDPDF=Y")</f>
        <v>14.549300000000001</v>
      </c>
      <c r="AG14" s="21">
        <f>_xll.BDH("NVDA US Equity","LT_DEBT_TO_TOT_ASSET","FQ4 2019","FQ4 2019","Currency=USD","Period=FQ","BEST_FPERIOD_OVERRIDE=FQ","FILING_STATUS=MR","Sort=A","Dates=H","DateFormat=P","Fill=—","Direction=H","UseDPDF=Y")</f>
        <v>14.9564</v>
      </c>
      <c r="AH14" s="21">
        <f>_xll.BDH("NVDA US Equity","LT_DEBT_TO_TOT_ASSET","FQ1 2020","FQ1 2020","Currency=USD","Period=FQ","BEST_FPERIOD_OVERRIDE=FQ","FILING_STATUS=MR","Sort=A","Dates=H","DateFormat=P","Fill=—","Direction=H","UseDPDF=Y")</f>
        <v>17.645</v>
      </c>
      <c r="AI14" s="21">
        <f>_xll.BDH("NVDA US Equity","LT_DEBT_TO_TOT_ASSET","FQ2 2020","FQ2 2020","Currency=USD","Period=FQ","BEST_FPERIOD_OVERRIDE=FQ","FILING_STATUS=MR","Sort=A","Dates=H","DateFormat=P","Fill=—","Direction=H","UseDPDF=Y")</f>
        <v>16.731000000000002</v>
      </c>
      <c r="AJ14" s="21">
        <f>_xll.BDH("NVDA US Equity","LT_DEBT_TO_TOT_ASSET","FQ3 2020","FQ3 2020","Currency=USD","Period=FQ","BEST_FPERIOD_OVERRIDE=FQ","FILING_STATUS=MR","Sort=A","Dates=H","DateFormat=P","Fill=—","Direction=H","UseDPDF=Y")</f>
        <v>15.5534</v>
      </c>
      <c r="AK14" s="21">
        <f>_xll.BDH("NVDA US Equity","LT_DEBT_TO_TOT_ASSET","FQ4 2020","FQ4 2020","Currency=USD","Period=FQ","BEST_FPERIOD_OVERRIDE=FQ","FILING_STATUS=MR","Sort=A","Dates=H","DateFormat=P","Fill=—","Direction=H","UseDPDF=Y")</f>
        <v>14.7387</v>
      </c>
      <c r="AL14" s="21">
        <f>_xll.BDH("NVDA US Equity","LT_DEBT_TO_TOT_ASSET","FQ1 2021","FQ1 2021","Currency=USD","Period=FQ","BEST_FPERIOD_OVERRIDE=FQ","FILING_STATUS=MR","Sort=A","Dates=H","DateFormat=P","Fill=—","Direction=H","UseDPDF=Y")</f>
        <v>32.157899999999998</v>
      </c>
      <c r="AM14" s="21">
        <f>_xll.BDH("NVDA US Equity","LT_DEBT_TO_TOT_ASSET","FQ2 2021","FQ2 2021","Currency=USD","Period=FQ","BEST_FPERIOD_OVERRIDE=FQ","FILING_STATUS=MR","Sort=A","Dates=H","DateFormat=P","Fill=—","Direction=H","UseDPDF=Y")</f>
        <v>30.067499999999999</v>
      </c>
      <c r="AN14" s="21">
        <f>_xll.BDH("NVDA US Equity","LT_DEBT_TO_TOT_ASSET","FQ3 2021","FQ3 2021","Currency=USD","Period=FQ","BEST_FPERIOD_OVERRIDE=FQ","FILING_STATUS=MR","Sort=A","Dates=H","DateFormat=P","Fill=—","Direction=H","UseDPDF=Y")</f>
        <v>24.4299</v>
      </c>
      <c r="AO14" s="21">
        <f>_xll.BDH("NVDA US Equity","LT_DEBT_TO_TOT_ASSET","FQ4 2021","FQ4 2021","Currency=USD","Period=FQ","BEST_FPERIOD_OVERRIDE=FQ","FILING_STATUS=MR","Sort=A","Dates=H","DateFormat=P","Fill=—","Direction=H","UseDPDF=Y")</f>
        <v>22.916899999999998</v>
      </c>
      <c r="AP14" s="21">
        <f>_xll.BDH("NVDA US Equity","LT_DEBT_TO_TOT_ASSET","FQ1 2022","FQ1 2022","Currency=USD","Period=FQ","BEST_FPERIOD_OVERRIDE=FQ","FILING_STATUS=MR","Sort=A","Dates=H","DateFormat=P","Fill=—","Direction=H","UseDPDF=Y")</f>
        <v>21.444299999999998</v>
      </c>
    </row>
    <row r="15" spans="1:42" x14ac:dyDescent="0.25">
      <c r="A15" s="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7" t="s">
        <v>120</v>
      </c>
      <c r="B16" s="7" t="s">
        <v>119</v>
      </c>
      <c r="C16" s="21">
        <f>_xll.BDH("NVDA US Equity","TOT_DEBT_TO_TOT_EQY","FQ2 2012","FQ2 2012","Currency=USD","Period=FQ","BEST_FPERIOD_OVERRIDE=FQ","FILING_STATUS=MR","Sort=A","Dates=H","DateFormat=P","Fill=—","Direction=H","UseDPDF=Y")</f>
        <v>0.60970000000000002</v>
      </c>
      <c r="D16" s="21">
        <f>_xll.BDH("NVDA US Equity","TOT_DEBT_TO_TOT_EQY","FQ3 2012","FQ3 2012","Currency=USD","Period=FQ","BEST_FPERIOD_OVERRIDE=FQ","FILING_STATUS=MR","Sort=A","Dates=H","DateFormat=P","Fill=—","Direction=H","UseDPDF=Y")</f>
        <v>0.5524</v>
      </c>
      <c r="E16" s="21">
        <f>_xll.BDH("NVDA US Equity","TOT_DEBT_TO_TOT_EQY","FQ4 2012","FQ4 2012","Currency=USD","Period=FQ","BEST_FPERIOD_OVERRIDE=FQ","FILING_STATUS=MR","Sort=A","Dates=H","DateFormat=P","Fill=—","Direction=H","UseDPDF=Y")</f>
        <v>0.56579999999999997</v>
      </c>
      <c r="F16" s="21">
        <f>_xll.BDH("NVDA US Equity","TOT_DEBT_TO_TOT_EQY","FQ1 2013","FQ1 2013","Currency=USD","Period=FQ","BEST_FPERIOD_OVERRIDE=FQ","FILING_STATUS=MR","Sort=A","Dates=H","DateFormat=P","Fill=—","Direction=H","UseDPDF=Y")</f>
        <v>0.48580000000000001</v>
      </c>
      <c r="G16" s="21">
        <f>_xll.BDH("NVDA US Equity","TOT_DEBT_TO_TOT_EQY","FQ2 2013","FQ2 2013","Currency=USD","Period=FQ","BEST_FPERIOD_OVERRIDE=FQ","FILING_STATUS=MR","Sort=A","Dates=H","DateFormat=P","Fill=—","Direction=H","UseDPDF=Y")</f>
        <v>0.45440000000000003</v>
      </c>
      <c r="H16" s="21">
        <f>_xll.BDH("NVDA US Equity","TOT_DEBT_TO_TOT_EQY","FQ3 2013","FQ3 2013","Currency=USD","Period=FQ","BEST_FPERIOD_OVERRIDE=FQ","FILING_STATUS=MR","Sort=A","Dates=H","DateFormat=P","Fill=—","Direction=H","UseDPDF=Y")</f>
        <v>0.41560000000000002</v>
      </c>
      <c r="I16" s="21">
        <f>_xll.BDH("NVDA US Equity","TOT_DEBT_TO_TOT_EQY","FQ4 2013","FQ4 2013","Currency=USD","Period=FQ","BEST_FPERIOD_OVERRIDE=FQ","FILING_STATUS=MR","Sort=A","Dates=H","DateFormat=P","Fill=—","Direction=H","UseDPDF=Y")</f>
        <v>0.44340000000000002</v>
      </c>
      <c r="J16" s="21">
        <f>_xll.BDH("NVDA US Equity","TOT_DEBT_TO_TOT_EQY","FQ1 2014","FQ1 2014","Currency=USD","Period=FQ","BEST_FPERIOD_OVERRIDE=FQ","FILING_STATUS=MR","Sort=A","Dates=H","DateFormat=P","Fill=—","Direction=H","UseDPDF=Y")</f>
        <v>0.38</v>
      </c>
      <c r="K16" s="21">
        <f>_xll.BDH("NVDA US Equity","TOT_DEBT_TO_TOT_EQY","FQ2 2014","FQ2 2014","Currency=USD","Period=FQ","BEST_FPERIOD_OVERRIDE=FQ","FILING_STATUS=MR","Sort=A","Dates=H","DateFormat=P","Fill=—","Direction=H","UseDPDF=Y")</f>
        <v>0.4239</v>
      </c>
      <c r="L16" s="21">
        <f>_xll.BDH("NVDA US Equity","TOT_DEBT_TO_TOT_EQY","FQ3 2014","FQ3 2014","Currency=USD","Period=FQ","BEST_FPERIOD_OVERRIDE=FQ","FILING_STATUS=MR","Sort=A","Dates=H","DateFormat=P","Fill=—","Direction=H","UseDPDF=Y")</f>
        <v>0.39379999999999998</v>
      </c>
      <c r="M16" s="21">
        <f>_xll.BDH("NVDA US Equity","TOT_DEBT_TO_TOT_EQY","FQ4 2014","FQ4 2014","Currency=USD","Period=FQ","BEST_FPERIOD_OVERRIDE=FQ","FILING_STATUS=MR","Sort=A","Dates=H","DateFormat=P","Fill=—","Direction=H","UseDPDF=Y")</f>
        <v>30.8947</v>
      </c>
      <c r="N16" s="21">
        <f>_xll.BDH("NVDA US Equity","TOT_DEBT_TO_TOT_EQY","FQ1 2015","FQ1 2015","Currency=USD","Period=FQ","BEST_FPERIOD_OVERRIDE=FQ","FILING_STATUS=MR","Sort=A","Dates=H","DateFormat=P","Fill=—","Direction=H","UseDPDF=Y")</f>
        <v>33.116500000000002</v>
      </c>
      <c r="O16" s="21">
        <f>_xll.BDH("NVDA US Equity","TOT_DEBT_TO_TOT_EQY","FQ2 2015","FQ2 2015","Currency=USD","Period=FQ","BEST_FPERIOD_OVERRIDE=FQ","FILING_STATUS=MR","Sort=A","Dates=H","DateFormat=P","Fill=—","Direction=H","UseDPDF=Y")</f>
        <v>32.198799999999999</v>
      </c>
      <c r="P16" s="21">
        <f>_xll.BDH("NVDA US Equity","TOT_DEBT_TO_TOT_EQY","FQ3 2015","FQ3 2015","Currency=USD","Period=FQ","BEST_FPERIOD_OVERRIDE=FQ","FILING_STATUS=MR","Sort=A","Dates=H","DateFormat=P","Fill=—","Direction=H","UseDPDF=Y")</f>
        <v>33.112299999999998</v>
      </c>
      <c r="Q16" s="21">
        <f>_xll.BDH("NVDA US Equity","TOT_DEBT_TO_TOT_EQY","FQ4 2015","FQ4 2015","Currency=USD","Period=FQ","BEST_FPERIOD_OVERRIDE=FQ","FILING_STATUS=MR","Sort=A","Dates=H","DateFormat=P","Fill=—","Direction=H","UseDPDF=Y")</f>
        <v>31.7225</v>
      </c>
      <c r="R16" s="21">
        <f>_xll.BDH("NVDA US Equity","TOT_DEBT_TO_TOT_EQY","FQ1 2016","FQ1 2016","Currency=USD","Period=FQ","BEST_FPERIOD_OVERRIDE=FQ","FILING_STATUS=MR","Sort=A","Dates=H","DateFormat=P","Fill=—","Direction=H","UseDPDF=Y")</f>
        <v>30.816500000000001</v>
      </c>
      <c r="S16" s="21">
        <f>_xll.BDH("NVDA US Equity","TOT_DEBT_TO_TOT_EQY","FQ2 2016","FQ2 2016","Currency=USD","Period=FQ","BEST_FPERIOD_OVERRIDE=FQ","FILING_STATUS=MR","Sort=A","Dates=H","DateFormat=P","Fill=—","Direction=H","UseDPDF=Y")</f>
        <v>33.715699999999998</v>
      </c>
      <c r="T16" s="21">
        <f>_xll.BDH("NVDA US Equity","TOT_DEBT_TO_TOT_EQY","FQ3 2016","FQ3 2016","Currency=USD","Period=FQ","BEST_FPERIOD_OVERRIDE=FQ","FILING_STATUS=MR","Sort=A","Dates=H","DateFormat=P","Fill=—","Direction=H","UseDPDF=Y")</f>
        <v>31.735700000000001</v>
      </c>
      <c r="U16" s="21">
        <f>_xll.BDH("NVDA US Equity","TOT_DEBT_TO_TOT_EQY","FQ4 2016","FQ4 2016","Currency=USD","Period=FQ","BEST_FPERIOD_OVERRIDE=FQ","FILING_STATUS=MR","Sort=A","Dates=H","DateFormat=P","Fill=—","Direction=H","UseDPDF=Y")</f>
        <v>33.877800000000001</v>
      </c>
      <c r="V16" s="21">
        <f>_xll.BDH("NVDA US Equity","TOT_DEBT_TO_TOT_EQY","FQ1 2017","FQ1 2017","Currency=USD","Period=FQ","BEST_FPERIOD_OVERRIDE=FQ","FILING_STATUS=MR","Sort=A","Dates=H","DateFormat=P","Fill=—","Direction=H","UseDPDF=Y")</f>
        <v>35.962800000000001</v>
      </c>
      <c r="W16" s="21">
        <f>_xll.BDH("NVDA US Equity","TOT_DEBT_TO_TOT_EQY","FQ2 2017","FQ2 2017","Currency=USD","Period=FQ","BEST_FPERIOD_OVERRIDE=FQ","FILING_STATUS=MR","Sort=A","Dates=H","DateFormat=P","Fill=—","Direction=H","UseDPDF=Y")</f>
        <v>33.660699999999999</v>
      </c>
      <c r="X16" s="21">
        <f>_xll.BDH("NVDA US Equity","TOT_DEBT_TO_TOT_EQY","FQ3 2017","FQ3 2017","Currency=USD","Period=FQ","BEST_FPERIOD_OVERRIDE=FQ","FILING_STATUS=MR","Sort=A","Dates=H","DateFormat=P","Fill=—","Direction=H","UseDPDF=Y")</f>
        <v>57.268999999999998</v>
      </c>
      <c r="Y16" s="21">
        <f>_xll.BDH("NVDA US Equity","TOT_DEBT_TO_TOT_EQY","FQ4 2017","FQ4 2017","Currency=USD","Period=FQ","BEST_FPERIOD_OVERRIDE=FQ","FILING_STATUS=MR","Sort=A","Dates=H","DateFormat=P","Fill=—","Direction=H","UseDPDF=Y")</f>
        <v>48.941299999999998</v>
      </c>
      <c r="Z16" s="21">
        <f>_xll.BDH("NVDA US Equity","TOT_DEBT_TO_TOT_EQY","FQ1 2018","FQ1 2018","Currency=USD","Period=FQ","BEST_FPERIOD_OVERRIDE=FQ","FILING_STATUS=MR","Sort=A","Dates=H","DateFormat=P","Fill=—","Direction=H","UseDPDF=Y")</f>
        <v>36.122</v>
      </c>
      <c r="AA16" s="21">
        <f>_xll.BDH("NVDA US Equity","TOT_DEBT_TO_TOT_EQY","FQ2 2018","FQ2 2018","Currency=USD","Period=FQ","BEST_FPERIOD_OVERRIDE=FQ","FILING_STATUS=MR","Sort=A","Dates=H","DateFormat=P","Fill=—","Direction=H","UseDPDF=Y")</f>
        <v>34.789900000000003</v>
      </c>
      <c r="AB16" s="21">
        <f>_xll.BDH("NVDA US Equity","TOT_DEBT_TO_TOT_EQY","FQ3 2018","FQ3 2018","Currency=USD","Period=FQ","BEST_FPERIOD_OVERRIDE=FQ","FILING_STATUS=MR","Sort=A","Dates=H","DateFormat=P","Fill=—","Direction=H","UseDPDF=Y")</f>
        <v>31.722300000000001</v>
      </c>
      <c r="AC16" s="21">
        <f>_xll.BDH("NVDA US Equity","TOT_DEBT_TO_TOT_EQY","FQ4 2018","FQ4 2018","Currency=USD","Period=FQ","BEST_FPERIOD_OVERRIDE=FQ","FILING_STATUS=MR","Sort=A","Dates=H","DateFormat=P","Fill=—","Direction=H","UseDPDF=Y")</f>
        <v>26.770199999999999</v>
      </c>
      <c r="AD16" s="21">
        <f>_xll.BDH("NVDA US Equity","TOT_DEBT_TO_TOT_EQY","FQ1 2019","FQ1 2019","Currency=USD","Period=FQ","BEST_FPERIOD_OVERRIDE=FQ","FILING_STATUS=MR","Sort=A","Dates=H","DateFormat=P","Fill=—","Direction=H","UseDPDF=Y")</f>
        <v>25.916799999999999</v>
      </c>
      <c r="AE16" s="21">
        <f>_xll.BDH("NVDA US Equity","TOT_DEBT_TO_TOT_EQY","FQ2 2019","FQ2 2019","Currency=USD","Period=FQ","BEST_FPERIOD_OVERRIDE=FQ","FILING_STATUS=MR","Sort=A","Dates=H","DateFormat=P","Fill=—","Direction=H","UseDPDF=Y")</f>
        <v>22.7516</v>
      </c>
      <c r="AF16" s="21">
        <f>_xll.BDH("NVDA US Equity","TOT_DEBT_TO_TOT_EQY","FQ3 2019","FQ3 2019","Currency=USD","Period=FQ","BEST_FPERIOD_OVERRIDE=FQ","FILING_STATUS=MR","Sort=A","Dates=H","DateFormat=P","Fill=—","Direction=H","UseDPDF=Y")</f>
        <v>21.002600000000001</v>
      </c>
      <c r="AG16" s="21">
        <f>_xll.BDH("NVDA US Equity","TOT_DEBT_TO_TOT_EQY","FQ4 2019","FQ4 2019","Currency=USD","Period=FQ","BEST_FPERIOD_OVERRIDE=FQ","FILING_STATUS=MR","Sort=A","Dates=H","DateFormat=P","Fill=—","Direction=H","UseDPDF=Y")</f>
        <v>21.280200000000001</v>
      </c>
      <c r="AH16" s="21">
        <f>_xll.BDH("NVDA US Equity","TOT_DEBT_TO_TOT_EQY","FQ1 2020","FQ1 2020","Currency=USD","Period=FQ","BEST_FPERIOD_OVERRIDE=FQ","FILING_STATUS=MR","Sort=A","Dates=H","DateFormat=P","Fill=—","Direction=H","UseDPDF=Y")</f>
        <v>26.318999999999999</v>
      </c>
      <c r="AI16" s="21">
        <f>_xll.BDH("NVDA US Equity","TOT_DEBT_TO_TOT_EQY","FQ2 2020","FQ2 2020","Currency=USD","Period=FQ","BEST_FPERIOD_OVERRIDE=FQ","FILING_STATUS=MR","Sort=A","Dates=H","DateFormat=P","Fill=—","Direction=H","UseDPDF=Y")</f>
        <v>24.729099999999999</v>
      </c>
      <c r="AJ16" s="21">
        <f>_xll.BDH("NVDA US Equity","TOT_DEBT_TO_TOT_EQY","FQ3 2020","FQ3 2020","Currency=USD","Period=FQ","BEST_FPERIOD_OVERRIDE=FQ","FILING_STATUS=MR","Sort=A","Dates=H","DateFormat=P","Fill=—","Direction=H","UseDPDF=Y")</f>
        <v>22.721599999999999</v>
      </c>
      <c r="AK16" s="21">
        <f>_xll.BDH("NVDA US Equity","TOT_DEBT_TO_TOT_EQY","FQ4 2020","FQ4 2020","Currency=USD","Period=FQ","BEST_FPERIOD_OVERRIDE=FQ","FILING_STATUS=MR","Sort=A","Dates=H","DateFormat=P","Fill=—","Direction=H","UseDPDF=Y")</f>
        <v>21.6568</v>
      </c>
      <c r="AL16" s="21">
        <f>_xll.BDH("NVDA US Equity","TOT_DEBT_TO_TOT_EQY","FQ1 2021","FQ1 2021","Currency=USD","Period=FQ","BEST_FPERIOD_OVERRIDE=FQ","FILING_STATUS=MR","Sort=A","Dates=H","DateFormat=P","Fill=—","Direction=H","UseDPDF=Y")</f>
        <v>57.851700000000001</v>
      </c>
      <c r="AM16" s="21">
        <f>_xll.BDH("NVDA US Equity","TOT_DEBT_TO_TOT_EQY","FQ2 2021","FQ2 2021","Currency=USD","Period=FQ","BEST_FPERIOD_OVERRIDE=FQ","FILING_STATUS=MR","Sort=A","Dates=H","DateFormat=P","Fill=—","Direction=H","UseDPDF=Y")</f>
        <v>55.304000000000002</v>
      </c>
      <c r="AN16" s="21">
        <f>_xll.BDH("NVDA US Equity","TOT_DEBT_TO_TOT_EQY","FQ3 2021","FQ3 2021","Currency=USD","Period=FQ","BEST_FPERIOD_OVERRIDE=FQ","FILING_STATUS=MR","Sort=A","Dates=H","DateFormat=P","Fill=—","Direction=H","UseDPDF=Y")</f>
        <v>50.091299999999997</v>
      </c>
      <c r="AO16" s="21">
        <f>_xll.BDH("NVDA US Equity","TOT_DEBT_TO_TOT_EQY","FQ4 2021","FQ4 2021","Currency=USD","Period=FQ","BEST_FPERIOD_OVERRIDE=FQ","FILING_STATUS=MR","Sort=A","Dates=H","DateFormat=P","Fill=—","Direction=H","UseDPDF=Y")</f>
        <v>45.687600000000003</v>
      </c>
      <c r="AP16" s="21">
        <f>_xll.BDH("NVDA US Equity","TOT_DEBT_TO_TOT_EQY","FQ1 2022","FQ1 2022","Currency=USD","Period=FQ","BEST_FPERIOD_OVERRIDE=FQ","FILING_STATUS=MR","Sort=A","Dates=H","DateFormat=P","Fill=—","Direction=H","UseDPDF=Y")</f>
        <v>41.2166</v>
      </c>
    </row>
    <row r="17" spans="1:42" x14ac:dyDescent="0.25">
      <c r="A17" s="7" t="s">
        <v>118</v>
      </c>
      <c r="B17" s="7" t="s">
        <v>117</v>
      </c>
      <c r="C17" s="21">
        <f>_xll.BDH("NVDA US Equity","TOT_DEBT_TO_TOT_CAP","FQ2 2012","FQ2 2012","Currency=USD","Period=FQ","BEST_FPERIOD_OVERRIDE=FQ","FILING_STATUS=MR","Sort=A","Dates=H","DateFormat=P","Fill=—","Direction=H","UseDPDF=Y")</f>
        <v>0.60599999999999998</v>
      </c>
      <c r="D17" s="21">
        <f>_xll.BDH("NVDA US Equity","TOT_DEBT_TO_TOT_CAP","FQ3 2012","FQ3 2012","Currency=USD","Period=FQ","BEST_FPERIOD_OVERRIDE=FQ","FILING_STATUS=MR","Sort=A","Dates=H","DateFormat=P","Fill=—","Direction=H","UseDPDF=Y")</f>
        <v>0.5494</v>
      </c>
      <c r="E17" s="21">
        <f>_xll.BDH("NVDA US Equity","TOT_DEBT_TO_TOT_CAP","FQ4 2012","FQ4 2012","Currency=USD","Period=FQ","BEST_FPERIOD_OVERRIDE=FQ","FILING_STATUS=MR","Sort=A","Dates=H","DateFormat=P","Fill=—","Direction=H","UseDPDF=Y")</f>
        <v>0.56259999999999999</v>
      </c>
      <c r="F17" s="21">
        <f>_xll.BDH("NVDA US Equity","TOT_DEBT_TO_TOT_CAP","FQ1 2013","FQ1 2013","Currency=USD","Period=FQ","BEST_FPERIOD_OVERRIDE=FQ","FILING_STATUS=MR","Sort=A","Dates=H","DateFormat=P","Fill=—","Direction=H","UseDPDF=Y")</f>
        <v>0.48349999999999999</v>
      </c>
      <c r="G17" s="21">
        <f>_xll.BDH("NVDA US Equity","TOT_DEBT_TO_TOT_CAP","FQ2 2013","FQ2 2013","Currency=USD","Period=FQ","BEST_FPERIOD_OVERRIDE=FQ","FILING_STATUS=MR","Sort=A","Dates=H","DateFormat=P","Fill=—","Direction=H","UseDPDF=Y")</f>
        <v>0.45229999999999998</v>
      </c>
      <c r="H17" s="21">
        <f>_xll.BDH("NVDA US Equity","TOT_DEBT_TO_TOT_CAP","FQ3 2013","FQ3 2013","Currency=USD","Period=FQ","BEST_FPERIOD_OVERRIDE=FQ","FILING_STATUS=MR","Sort=A","Dates=H","DateFormat=P","Fill=—","Direction=H","UseDPDF=Y")</f>
        <v>0.41389999999999999</v>
      </c>
      <c r="I17" s="21">
        <f>_xll.BDH("NVDA US Equity","TOT_DEBT_TO_TOT_CAP","FQ4 2013","FQ4 2013","Currency=USD","Period=FQ","BEST_FPERIOD_OVERRIDE=FQ","FILING_STATUS=MR","Sort=A","Dates=H","DateFormat=P","Fill=—","Direction=H","UseDPDF=Y")</f>
        <v>0.44140000000000001</v>
      </c>
      <c r="J17" s="21">
        <f>_xll.BDH("NVDA US Equity","TOT_DEBT_TO_TOT_CAP","FQ1 2014","FQ1 2014","Currency=USD","Period=FQ","BEST_FPERIOD_OVERRIDE=FQ","FILING_STATUS=MR","Sort=A","Dates=H","DateFormat=P","Fill=—","Direction=H","UseDPDF=Y")</f>
        <v>0.3785</v>
      </c>
      <c r="K17" s="21">
        <f>_xll.BDH("NVDA US Equity","TOT_DEBT_TO_TOT_CAP","FQ2 2014","FQ2 2014","Currency=USD","Period=FQ","BEST_FPERIOD_OVERRIDE=FQ","FILING_STATUS=MR","Sort=A","Dates=H","DateFormat=P","Fill=—","Direction=H","UseDPDF=Y")</f>
        <v>0.42209999999999998</v>
      </c>
      <c r="L17" s="21">
        <f>_xll.BDH("NVDA US Equity","TOT_DEBT_TO_TOT_CAP","FQ3 2014","FQ3 2014","Currency=USD","Period=FQ","BEST_FPERIOD_OVERRIDE=FQ","FILING_STATUS=MR","Sort=A","Dates=H","DateFormat=P","Fill=—","Direction=H","UseDPDF=Y")</f>
        <v>0.39229999999999998</v>
      </c>
      <c r="M17" s="21">
        <f>_xll.BDH("NVDA US Equity","TOT_DEBT_TO_TOT_CAP","FQ4 2014","FQ4 2014","Currency=USD","Period=FQ","BEST_FPERIOD_OVERRIDE=FQ","FILING_STATUS=MR","Sort=A","Dates=H","DateFormat=P","Fill=—","Direction=H","UseDPDF=Y")</f>
        <v>23.602699999999999</v>
      </c>
      <c r="N17" s="21">
        <f>_xll.BDH("NVDA US Equity","TOT_DEBT_TO_TOT_CAP","FQ1 2015","FQ1 2015","Currency=USD","Period=FQ","BEST_FPERIOD_OVERRIDE=FQ","FILING_STATUS=MR","Sort=A","Dates=H","DateFormat=P","Fill=—","Direction=H","UseDPDF=Y")</f>
        <v>24.877800000000001</v>
      </c>
      <c r="O17" s="21">
        <f>_xll.BDH("NVDA US Equity","TOT_DEBT_TO_TOT_CAP","FQ2 2015","FQ2 2015","Currency=USD","Period=FQ","BEST_FPERIOD_OVERRIDE=FQ","FILING_STATUS=MR","Sort=A","Dates=H","DateFormat=P","Fill=—","Direction=H","UseDPDF=Y")</f>
        <v>24.356400000000001</v>
      </c>
      <c r="P17" s="21">
        <f>_xll.BDH("NVDA US Equity","TOT_DEBT_TO_TOT_CAP","FQ3 2015","FQ3 2015","Currency=USD","Period=FQ","BEST_FPERIOD_OVERRIDE=FQ","FILING_STATUS=MR","Sort=A","Dates=H","DateFormat=P","Fill=—","Direction=H","UseDPDF=Y")</f>
        <v>24.875399999999999</v>
      </c>
      <c r="Q17" s="21">
        <f>_xll.BDH("NVDA US Equity","TOT_DEBT_TO_TOT_CAP","FQ4 2015","FQ4 2015","Currency=USD","Period=FQ","BEST_FPERIOD_OVERRIDE=FQ","FILING_STATUS=MR","Sort=A","Dates=H","DateFormat=P","Fill=—","Direction=H","UseDPDF=Y")</f>
        <v>24.082799999999999</v>
      </c>
      <c r="R17" s="21">
        <f>_xll.BDH("NVDA US Equity","TOT_DEBT_TO_TOT_CAP","FQ1 2016","FQ1 2016","Currency=USD","Period=FQ","BEST_FPERIOD_OVERRIDE=FQ","FILING_STATUS=MR","Sort=A","Dates=H","DateFormat=P","Fill=—","Direction=H","UseDPDF=Y")</f>
        <v>23.556999999999999</v>
      </c>
      <c r="S17" s="21">
        <f>_xll.BDH("NVDA US Equity","TOT_DEBT_TO_TOT_CAP","FQ2 2016","FQ2 2016","Currency=USD","Period=FQ","BEST_FPERIOD_OVERRIDE=FQ","FILING_STATUS=MR","Sort=A","Dates=H","DateFormat=P","Fill=—","Direction=H","UseDPDF=Y")</f>
        <v>25.214400000000001</v>
      </c>
      <c r="T17" s="21">
        <f>_xll.BDH("NVDA US Equity","TOT_DEBT_TO_TOT_CAP","FQ3 2016","FQ3 2016","Currency=USD","Period=FQ","BEST_FPERIOD_OVERRIDE=FQ","FILING_STATUS=MR","Sort=A","Dates=H","DateFormat=P","Fill=—","Direction=H","UseDPDF=Y")</f>
        <v>24.090399999999999</v>
      </c>
      <c r="U17" s="21">
        <f>_xll.BDH("NVDA US Equity","TOT_DEBT_TO_TOT_CAP","FQ4 2016","FQ4 2016","Currency=USD","Period=FQ","BEST_FPERIOD_OVERRIDE=FQ","FILING_STATUS=MR","Sort=A","Dates=H","DateFormat=P","Fill=—","Direction=H","UseDPDF=Y")</f>
        <v>25.305</v>
      </c>
      <c r="V17" s="21">
        <f>_xll.BDH("NVDA US Equity","TOT_DEBT_TO_TOT_CAP","FQ1 2017","FQ1 2017","Currency=USD","Period=FQ","BEST_FPERIOD_OVERRIDE=FQ","FILING_STATUS=MR","Sort=A","Dates=H","DateFormat=P","Fill=—","Direction=H","UseDPDF=Y")</f>
        <v>26.450500000000002</v>
      </c>
      <c r="W17" s="21">
        <f>_xll.BDH("NVDA US Equity","TOT_DEBT_TO_TOT_CAP","FQ2 2017","FQ2 2017","Currency=USD","Period=FQ","BEST_FPERIOD_OVERRIDE=FQ","FILING_STATUS=MR","Sort=A","Dates=H","DateFormat=P","Fill=—","Direction=H","UseDPDF=Y")</f>
        <v>25.183700000000002</v>
      </c>
      <c r="X17" s="21">
        <f>_xll.BDH("NVDA US Equity","TOT_DEBT_TO_TOT_CAP","FQ3 2017","FQ3 2017","Currency=USD","Period=FQ","BEST_FPERIOD_OVERRIDE=FQ","FILING_STATUS=MR","Sort=A","Dates=H","DateFormat=P","Fill=—","Direction=H","UseDPDF=Y")</f>
        <v>36.414700000000003</v>
      </c>
      <c r="Y17" s="21">
        <f>_xll.BDH("NVDA US Equity","TOT_DEBT_TO_TOT_CAP","FQ4 2017","FQ4 2017","Currency=USD","Period=FQ","BEST_FPERIOD_OVERRIDE=FQ","FILING_STATUS=MR","Sort=A","Dates=H","DateFormat=P","Fill=—","Direction=H","UseDPDF=Y")</f>
        <v>32.859499999999997</v>
      </c>
      <c r="Z17" s="21">
        <f>_xll.BDH("NVDA US Equity","TOT_DEBT_TO_TOT_CAP","FQ1 2018","FQ1 2018","Currency=USD","Period=FQ","BEST_FPERIOD_OVERRIDE=FQ","FILING_STATUS=MR","Sort=A","Dates=H","DateFormat=P","Fill=—","Direction=H","UseDPDF=Y")</f>
        <v>26.5365</v>
      </c>
      <c r="AA17" s="21">
        <f>_xll.BDH("NVDA US Equity","TOT_DEBT_TO_TOT_CAP","FQ2 2018","FQ2 2018","Currency=USD","Period=FQ","BEST_FPERIOD_OVERRIDE=FQ","FILING_STATUS=MR","Sort=A","Dates=H","DateFormat=P","Fill=—","Direction=H","UseDPDF=Y")</f>
        <v>25.810500000000001</v>
      </c>
      <c r="AB17" s="21">
        <f>_xll.BDH("NVDA US Equity","TOT_DEBT_TO_TOT_CAP","FQ3 2018","FQ3 2018","Currency=USD","Period=FQ","BEST_FPERIOD_OVERRIDE=FQ","FILING_STATUS=MR","Sort=A","Dates=H","DateFormat=P","Fill=—","Direction=H","UseDPDF=Y")</f>
        <v>24.082699999999999</v>
      </c>
      <c r="AC17" s="21">
        <f>_xll.BDH("NVDA US Equity","TOT_DEBT_TO_TOT_CAP","FQ4 2018","FQ4 2018","Currency=USD","Period=FQ","BEST_FPERIOD_OVERRIDE=FQ","FILING_STATUS=MR","Sort=A","Dates=H","DateFormat=P","Fill=—","Direction=H","UseDPDF=Y")</f>
        <v>21.117100000000001</v>
      </c>
      <c r="AD17" s="21">
        <f>_xll.BDH("NVDA US Equity","TOT_DEBT_TO_TOT_CAP","FQ1 2019","FQ1 2019","Currency=USD","Period=FQ","BEST_FPERIOD_OVERRIDE=FQ","FILING_STATUS=MR","Sort=A","Dates=H","DateFormat=P","Fill=—","Direction=H","UseDPDF=Y")</f>
        <v>20.5825</v>
      </c>
      <c r="AE17" s="21">
        <f>_xll.BDH("NVDA US Equity","TOT_DEBT_TO_TOT_CAP","FQ2 2019","FQ2 2019","Currency=USD","Period=FQ","BEST_FPERIOD_OVERRIDE=FQ","FILING_STATUS=MR","Sort=A","Dates=H","DateFormat=P","Fill=—","Direction=H","UseDPDF=Y")</f>
        <v>18.534600000000001</v>
      </c>
      <c r="AF17" s="21">
        <f>_xll.BDH("NVDA US Equity","TOT_DEBT_TO_TOT_CAP","FQ3 2019","FQ3 2019","Currency=USD","Period=FQ","BEST_FPERIOD_OVERRIDE=FQ","FILING_STATUS=MR","Sort=A","Dates=H","DateFormat=P","Fill=—","Direction=H","UseDPDF=Y")</f>
        <v>17.357199999999999</v>
      </c>
      <c r="AG17" s="21">
        <f>_xll.BDH("NVDA US Equity","TOT_DEBT_TO_TOT_CAP","FQ4 2019","FQ4 2019","Currency=USD","Period=FQ","BEST_FPERIOD_OVERRIDE=FQ","FILING_STATUS=MR","Sort=A","Dates=H","DateFormat=P","Fill=—","Direction=H","UseDPDF=Y")</f>
        <v>17.546299999999999</v>
      </c>
      <c r="AH17" s="21">
        <f>_xll.BDH("NVDA US Equity","TOT_DEBT_TO_TOT_CAP","FQ1 2020","FQ1 2020","Currency=USD","Period=FQ","BEST_FPERIOD_OVERRIDE=FQ","FILING_STATUS=MR","Sort=A","Dates=H","DateFormat=P","Fill=—","Direction=H","UseDPDF=Y")</f>
        <v>20.8354</v>
      </c>
      <c r="AI17" s="21">
        <f>_xll.BDH("NVDA US Equity","TOT_DEBT_TO_TOT_CAP","FQ2 2020","FQ2 2020","Currency=USD","Period=FQ","BEST_FPERIOD_OVERRIDE=FQ","FILING_STATUS=MR","Sort=A","Dates=H","DateFormat=P","Fill=—","Direction=H","UseDPDF=Y")</f>
        <v>19.8262</v>
      </c>
      <c r="AJ17" s="21">
        <f>_xll.BDH("NVDA US Equity","TOT_DEBT_TO_TOT_CAP","FQ3 2020","FQ3 2020","Currency=USD","Period=FQ","BEST_FPERIOD_OVERRIDE=FQ","FILING_STATUS=MR","Sort=A","Dates=H","DateFormat=P","Fill=—","Direction=H","UseDPDF=Y")</f>
        <v>18.514800000000001</v>
      </c>
      <c r="AK17" s="21">
        <f>_xll.BDH("NVDA US Equity","TOT_DEBT_TO_TOT_CAP","FQ4 2020","FQ4 2020","Currency=USD","Period=FQ","BEST_FPERIOD_OVERRIDE=FQ","FILING_STATUS=MR","Sort=A","Dates=H","DateFormat=P","Fill=—","Direction=H","UseDPDF=Y")</f>
        <v>17.801600000000001</v>
      </c>
      <c r="AL17" s="21">
        <f>_xll.BDH("NVDA US Equity","TOT_DEBT_TO_TOT_CAP","FQ1 2021","FQ1 2021","Currency=USD","Period=FQ","BEST_FPERIOD_OVERRIDE=FQ","FILING_STATUS=MR","Sort=A","Dates=H","DateFormat=P","Fill=—","Direction=H","UseDPDF=Y")</f>
        <v>36.6494</v>
      </c>
      <c r="AM17" s="21">
        <f>_xll.BDH("NVDA US Equity","TOT_DEBT_TO_TOT_CAP","FQ2 2021","FQ2 2021","Currency=USD","Period=FQ","BEST_FPERIOD_OVERRIDE=FQ","FILING_STATUS=MR","Sort=A","Dates=H","DateFormat=P","Fill=—","Direction=H","UseDPDF=Y")</f>
        <v>35.610199999999999</v>
      </c>
      <c r="AN17" s="21">
        <f>_xll.BDH("NVDA US Equity","TOT_DEBT_TO_TOT_CAP","FQ3 2021","FQ3 2021","Currency=USD","Period=FQ","BEST_FPERIOD_OVERRIDE=FQ","FILING_STATUS=MR","Sort=A","Dates=H","DateFormat=P","Fill=—","Direction=H","UseDPDF=Y")</f>
        <v>33.373899999999999</v>
      </c>
      <c r="AO17" s="21">
        <f>_xll.BDH("NVDA US Equity","TOT_DEBT_TO_TOT_CAP","FQ4 2021","FQ4 2021","Currency=USD","Period=FQ","BEST_FPERIOD_OVERRIDE=FQ","FILING_STATUS=MR","Sort=A","Dates=H","DateFormat=P","Fill=—","Direction=H","UseDPDF=Y")</f>
        <v>31.36</v>
      </c>
      <c r="AP17" s="21">
        <f>_xll.BDH("NVDA US Equity","TOT_DEBT_TO_TOT_CAP","FQ1 2022","FQ1 2022","Currency=USD","Period=FQ","BEST_FPERIOD_OVERRIDE=FQ","FILING_STATUS=MR","Sort=A","Dates=H","DateFormat=P","Fill=—","Direction=H","UseDPDF=Y")</f>
        <v>29.186800000000002</v>
      </c>
    </row>
    <row r="18" spans="1:42" x14ac:dyDescent="0.25">
      <c r="A18" s="7" t="s">
        <v>116</v>
      </c>
      <c r="B18" s="7" t="s">
        <v>115</v>
      </c>
      <c r="C18" s="21">
        <f>_xll.BDH("NVDA US Equity","TOT_DEBT_TO_TOT_ASSET","FQ2 2012","FQ2 2012","Currency=USD","Period=FQ","BEST_FPERIOD_OVERRIDE=FQ","FILING_STATUS=MR","Sort=A","Dates=H","DateFormat=P","Fill=—","Direction=H","UseDPDF=Y")</f>
        <v>0.46239999999999998</v>
      </c>
      <c r="D18" s="21">
        <f>_xll.BDH("NVDA US Equity","TOT_DEBT_TO_TOT_ASSET","FQ3 2012","FQ3 2012","Currency=USD","Period=FQ","BEST_FPERIOD_OVERRIDE=FQ","FILING_STATUS=MR","Sort=A","Dates=H","DateFormat=P","Fill=—","Direction=H","UseDPDF=Y")</f>
        <v>0.43130000000000002</v>
      </c>
      <c r="E18" s="21">
        <f>_xll.BDH("NVDA US Equity","TOT_DEBT_TO_TOT_ASSET","FQ4 2012","FQ4 2012","Currency=USD","Period=FQ","BEST_FPERIOD_OVERRIDE=FQ","FILING_STATUS=MR","Sort=A","Dates=H","DateFormat=P","Fill=—","Direction=H","UseDPDF=Y")</f>
        <v>0.4224</v>
      </c>
      <c r="F18" s="21">
        <f>_xll.BDH("NVDA US Equity","TOT_DEBT_TO_TOT_ASSET","FQ1 2013","FQ1 2013","Currency=USD","Period=FQ","BEST_FPERIOD_OVERRIDE=FQ","FILING_STATUS=MR","Sort=A","Dates=H","DateFormat=P","Fill=—","Direction=H","UseDPDF=Y")</f>
        <v>0.3649</v>
      </c>
      <c r="G18" s="21">
        <f>_xll.BDH("NVDA US Equity","TOT_DEBT_TO_TOT_ASSET","FQ2 2013","FQ2 2013","Currency=USD","Period=FQ","BEST_FPERIOD_OVERRIDE=FQ","FILING_STATUS=MR","Sort=A","Dates=H","DateFormat=P","Fill=—","Direction=H","UseDPDF=Y")</f>
        <v>0.34350000000000003</v>
      </c>
      <c r="H18" s="21">
        <f>_xll.BDH("NVDA US Equity","TOT_DEBT_TO_TOT_ASSET","FQ3 2013","FQ3 2013","Currency=USD","Period=FQ","BEST_FPERIOD_OVERRIDE=FQ","FILING_STATUS=MR","Sort=A","Dates=H","DateFormat=P","Fill=—","Direction=H","UseDPDF=Y")</f>
        <v>0.3231</v>
      </c>
      <c r="I18" s="21">
        <f>_xll.BDH("NVDA US Equity","TOT_DEBT_TO_TOT_ASSET","FQ4 2013","FQ4 2013","Currency=USD","Period=FQ","BEST_FPERIOD_OVERRIDE=FQ","FILING_STATUS=MR","Sort=A","Dates=H","DateFormat=P","Fill=—","Direction=H","UseDPDF=Y")</f>
        <v>0.33379999999999999</v>
      </c>
      <c r="J18" s="21">
        <f>_xll.BDH("NVDA US Equity","TOT_DEBT_TO_TOT_ASSET","FQ1 2014","FQ1 2014","Currency=USD","Period=FQ","BEST_FPERIOD_OVERRIDE=FQ","FILING_STATUS=MR","Sort=A","Dates=H","DateFormat=P","Fill=—","Direction=H","UseDPDF=Y")</f>
        <v>0.29189999999999999</v>
      </c>
      <c r="K18" s="21">
        <f>_xll.BDH("NVDA US Equity","TOT_DEBT_TO_TOT_ASSET","FQ2 2014","FQ2 2014","Currency=USD","Period=FQ","BEST_FPERIOD_OVERRIDE=FQ","FILING_STATUS=MR","Sort=A","Dates=H","DateFormat=P","Fill=—","Direction=H","UseDPDF=Y")</f>
        <v>0.3175</v>
      </c>
      <c r="L18" s="21">
        <f>_xll.BDH("NVDA US Equity","TOT_DEBT_TO_TOT_ASSET","FQ3 2014","FQ3 2014","Currency=USD","Period=FQ","BEST_FPERIOD_OVERRIDE=FQ","FILING_STATUS=MR","Sort=A","Dates=H","DateFormat=P","Fill=—","Direction=H","UseDPDF=Y")</f>
        <v>0.2979</v>
      </c>
      <c r="M18" s="21">
        <f>_xll.BDH("NVDA US Equity","TOT_DEBT_TO_TOT_ASSET","FQ4 2014","FQ4 2014","Currency=USD","Period=FQ","BEST_FPERIOD_OVERRIDE=FQ","FILING_STATUS=MR","Sort=A","Dates=H","DateFormat=P","Fill=—","Direction=H","UseDPDF=Y")</f>
        <v>18.9879</v>
      </c>
      <c r="N18" s="21">
        <f>_xll.BDH("NVDA US Equity","TOT_DEBT_TO_TOT_ASSET","FQ1 2015","FQ1 2015","Currency=USD","Period=FQ","BEST_FPERIOD_OVERRIDE=FQ","FILING_STATUS=MR","Sort=A","Dates=H","DateFormat=P","Fill=—","Direction=H","UseDPDF=Y")</f>
        <v>20.102399999999999</v>
      </c>
      <c r="O18" s="21">
        <f>_xll.BDH("NVDA US Equity","TOT_DEBT_TO_TOT_ASSET","FQ2 2015","FQ2 2015","Currency=USD","Period=FQ","BEST_FPERIOD_OVERRIDE=FQ","FILING_STATUS=MR","Sort=A","Dates=H","DateFormat=P","Fill=—","Direction=H","UseDPDF=Y")</f>
        <v>19.990600000000001</v>
      </c>
      <c r="P18" s="21">
        <f>_xll.BDH("NVDA US Equity","TOT_DEBT_TO_TOT_ASSET","FQ3 2015","FQ3 2015","Currency=USD","Period=FQ","BEST_FPERIOD_OVERRIDE=FQ","FILING_STATUS=MR","Sort=A","Dates=H","DateFormat=P","Fill=—","Direction=H","UseDPDF=Y")</f>
        <v>20.218699999999998</v>
      </c>
      <c r="Q18" s="21">
        <f>_xll.BDH("NVDA US Equity","TOT_DEBT_TO_TOT_ASSET","FQ4 2015","FQ4 2015","Currency=USD","Period=FQ","BEST_FPERIOD_OVERRIDE=FQ","FILING_STATUS=MR","Sort=A","Dates=H","DateFormat=P","Fill=—","Direction=H","UseDPDF=Y")</f>
        <v>19.462599999999998</v>
      </c>
      <c r="R18" s="21">
        <f>_xll.BDH("NVDA US Equity","TOT_DEBT_TO_TOT_ASSET","FQ1 2016","FQ1 2016","Currency=USD","Period=FQ","BEST_FPERIOD_OVERRIDE=FQ","FILING_STATUS=MR","Sort=A","Dates=H","DateFormat=P","Fill=—","Direction=H","UseDPDF=Y")</f>
        <v>19.256599999999999</v>
      </c>
      <c r="S18" s="21">
        <f>_xll.BDH("NVDA US Equity","TOT_DEBT_TO_TOT_ASSET","FQ2 2016","FQ2 2016","Currency=USD","Period=FQ","BEST_FPERIOD_OVERRIDE=FQ","FILING_STATUS=MR","Sort=A","Dates=H","DateFormat=P","Fill=—","Direction=H","UseDPDF=Y")</f>
        <v>20.2178</v>
      </c>
      <c r="T18" s="21">
        <f>_xll.BDH("NVDA US Equity","TOT_DEBT_TO_TOT_ASSET","FQ3 2016","FQ3 2016","Currency=USD","Period=FQ","BEST_FPERIOD_OVERRIDE=FQ","FILING_STATUS=MR","Sort=A","Dates=H","DateFormat=P","Fill=—","Direction=H","UseDPDF=Y")</f>
        <v>19.751899999999999</v>
      </c>
      <c r="U18" s="21">
        <f>_xll.BDH("NVDA US Equity","TOT_DEBT_TO_TOT_ASSET","FQ4 2016","FQ4 2016","Currency=USD","Period=FQ","BEST_FPERIOD_OVERRIDE=FQ","FILING_STATUS=MR","Sort=A","Dates=H","DateFormat=P","Fill=—","Direction=H","UseDPDF=Y")</f>
        <v>20.5427</v>
      </c>
      <c r="V18" s="21">
        <f>_xll.BDH("NVDA US Equity","TOT_DEBT_TO_TOT_ASSET","FQ1 2017","FQ1 2017","Currency=USD","Period=FQ","BEST_FPERIOD_OVERRIDE=FQ","FILING_STATUS=MR","Sort=A","Dates=H","DateFormat=P","Fill=—","Direction=H","UseDPDF=Y")</f>
        <v>21.229600000000001</v>
      </c>
      <c r="W18" s="21">
        <f>_xll.BDH("NVDA US Equity","TOT_DEBT_TO_TOT_ASSET","FQ2 2017","FQ2 2017","Currency=USD","Period=FQ","BEST_FPERIOD_OVERRIDE=FQ","FILING_STATUS=MR","Sort=A","Dates=H","DateFormat=P","Fill=—","Direction=H","UseDPDF=Y")</f>
        <v>20.2118</v>
      </c>
      <c r="X18" s="21">
        <f>_xll.BDH("NVDA US Equity","TOT_DEBT_TO_TOT_ASSET","FQ3 2017","FQ3 2017","Currency=USD","Period=FQ","BEST_FPERIOD_OVERRIDE=FQ","FILING_STATUS=MR","Sort=A","Dates=H","DateFormat=P","Fill=—","Direction=H","UseDPDF=Y")</f>
        <v>31.720800000000001</v>
      </c>
      <c r="Y18" s="21">
        <f>_xll.BDH("NVDA US Equity","TOT_DEBT_TO_TOT_ASSET","FQ4 2017","FQ4 2017","Currency=USD","Period=FQ","BEST_FPERIOD_OVERRIDE=FQ","FILING_STATUS=MR","Sort=A","Dates=H","DateFormat=P","Fill=—","Direction=H","UseDPDF=Y")</f>
        <v>28.6556</v>
      </c>
      <c r="Z18" s="21">
        <f>_xll.BDH("NVDA US Equity","TOT_DEBT_TO_TOT_ASSET","FQ1 2018","FQ1 2018","Currency=USD","Period=FQ","BEST_FPERIOD_OVERRIDE=FQ","FILING_STATUS=MR","Sort=A","Dates=H","DateFormat=P","Fill=—","Direction=H","UseDPDF=Y")</f>
        <v>23.538799999999998</v>
      </c>
      <c r="AA18" s="21">
        <f>_xll.BDH("NVDA US Equity","TOT_DEBT_TO_TOT_ASSET","FQ2 2018","FQ2 2018","Currency=USD","Period=FQ","BEST_FPERIOD_OVERRIDE=FQ","FILING_STATUS=MR","Sort=A","Dates=H","DateFormat=P","Fill=—","Direction=H","UseDPDF=Y")</f>
        <v>22.101700000000001</v>
      </c>
      <c r="AB18" s="21">
        <f>_xll.BDH("NVDA US Equity","TOT_DEBT_TO_TOT_ASSET","FQ3 2018","FQ3 2018","Currency=USD","Period=FQ","BEST_FPERIOD_OVERRIDE=FQ","FILING_STATUS=MR","Sort=A","Dates=H","DateFormat=P","Fill=—","Direction=H","UseDPDF=Y")</f>
        <v>20.4985</v>
      </c>
      <c r="AC18" s="21">
        <f>_xll.BDH("NVDA US Equity","TOT_DEBT_TO_TOT_ASSET","FQ4 2018","FQ4 2018","Currency=USD","Period=FQ","BEST_FPERIOD_OVERRIDE=FQ","FILING_STATUS=MR","Sort=A","Dates=H","DateFormat=P","Fill=—","Direction=H","UseDPDF=Y")</f>
        <v>17.792000000000002</v>
      </c>
      <c r="AD18" s="21">
        <f>_xll.BDH("NVDA US Equity","TOT_DEBT_TO_TOT_ASSET","FQ1 2019","FQ1 2019","Currency=USD","Period=FQ","BEST_FPERIOD_OVERRIDE=FQ","FILING_STATUS=MR","Sort=A","Dates=H","DateFormat=P","Fill=—","Direction=H","UseDPDF=Y")</f>
        <v>17.452000000000002</v>
      </c>
      <c r="AE18" s="21">
        <f>_xll.BDH("NVDA US Equity","TOT_DEBT_TO_TOT_ASSET","FQ2 2019","FQ2 2019","Currency=USD","Period=FQ","BEST_FPERIOD_OVERRIDE=FQ","FILING_STATUS=MR","Sort=A","Dates=H","DateFormat=P","Fill=—","Direction=H","UseDPDF=Y")</f>
        <v>15.533300000000001</v>
      </c>
      <c r="AF18" s="21">
        <f>_xll.BDH("NVDA US Equity","TOT_DEBT_TO_TOT_ASSET","FQ3 2019","FQ3 2019","Currency=USD","Period=FQ","BEST_FPERIOD_OVERRIDE=FQ","FILING_STATUS=MR","Sort=A","Dates=H","DateFormat=P","Fill=—","Direction=H","UseDPDF=Y")</f>
        <v>14.571300000000001</v>
      </c>
      <c r="AG18" s="21">
        <f>_xll.BDH("NVDA US Equity","TOT_DEBT_TO_TOT_ASSET","FQ4 2019","FQ4 2019","Currency=USD","Period=FQ","BEST_FPERIOD_OVERRIDE=FQ","FILING_STATUS=MR","Sort=A","Dates=H","DateFormat=P","Fill=—","Direction=H","UseDPDF=Y")</f>
        <v>14.9564</v>
      </c>
      <c r="AH18" s="21">
        <f>_xll.BDH("NVDA US Equity","TOT_DEBT_TO_TOT_ASSET","FQ1 2020","FQ1 2020","Currency=USD","Period=FQ","BEST_FPERIOD_OVERRIDE=FQ","FILING_STATUS=MR","Sort=A","Dates=H","DateFormat=P","Fill=—","Direction=H","UseDPDF=Y")</f>
        <v>18.215499999999999</v>
      </c>
      <c r="AI18" s="21">
        <f>_xll.BDH("NVDA US Equity","TOT_DEBT_TO_TOT_ASSET","FQ2 2020","FQ2 2020","Currency=USD","Period=FQ","BEST_FPERIOD_OVERRIDE=FQ","FILING_STATUS=MR","Sort=A","Dates=H","DateFormat=P","Fill=—","Direction=H","UseDPDF=Y")</f>
        <v>17.299499999999998</v>
      </c>
      <c r="AJ18" s="21">
        <f>_xll.BDH("NVDA US Equity","TOT_DEBT_TO_TOT_ASSET","FQ3 2020","FQ3 2020","Currency=USD","Period=FQ","BEST_FPERIOD_OVERRIDE=FQ","FILING_STATUS=MR","Sort=A","Dates=H","DateFormat=P","Fill=—","Direction=H","UseDPDF=Y")</f>
        <v>16.116399999999999</v>
      </c>
      <c r="AK18" s="21">
        <f>_xll.BDH("NVDA US Equity","TOT_DEBT_TO_TOT_ASSET","FQ4 2020","FQ4 2020","Currency=USD","Period=FQ","BEST_FPERIOD_OVERRIDE=FQ","FILING_STATUS=MR","Sort=A","Dates=H","DateFormat=P","Fill=—","Direction=H","UseDPDF=Y")</f>
        <v>15.264200000000001</v>
      </c>
      <c r="AL18" s="21">
        <f>_xll.BDH("NVDA US Equity","TOT_DEBT_TO_TOT_ASSET","FQ1 2021","FQ1 2021","Currency=USD","Period=FQ","BEST_FPERIOD_OVERRIDE=FQ","FILING_STATUS=MR","Sort=A","Dates=H","DateFormat=P","Fill=—","Direction=H","UseDPDF=Y")</f>
        <v>32.587899999999998</v>
      </c>
      <c r="AM18" s="21">
        <f>_xll.BDH("NVDA US Equity","TOT_DEBT_TO_TOT_ASSET","FQ2 2021","FQ2 2021","Currency=USD","Period=FQ","BEST_FPERIOD_OVERRIDE=FQ","FILING_STATUS=MR","Sort=A","Dates=H","DateFormat=P","Fill=—","Direction=H","UseDPDF=Y")</f>
        <v>30.56</v>
      </c>
      <c r="AN18" s="21">
        <f>_xll.BDH("NVDA US Equity","TOT_DEBT_TO_TOT_ASSET","FQ3 2021","FQ3 2021","Currency=USD","Period=FQ","BEST_FPERIOD_OVERRIDE=FQ","FILING_STATUS=MR","Sort=A","Dates=H","DateFormat=P","Fill=—","Direction=H","UseDPDF=Y")</f>
        <v>28.574100000000001</v>
      </c>
      <c r="AO18" s="21">
        <f>_xll.BDH("NVDA US Equity","TOT_DEBT_TO_TOT_ASSET","FQ4 2021","FQ4 2021","Currency=USD","Period=FQ","BEST_FPERIOD_OVERRIDE=FQ","FILING_STATUS=MR","Sort=A","Dates=H","DateFormat=P","Fill=—","Direction=H","UseDPDF=Y")</f>
        <v>26.806999999999999</v>
      </c>
      <c r="AP18" s="21">
        <f>_xll.BDH("NVDA US Equity","TOT_DEBT_TO_TOT_ASSET","FQ1 2022","FQ1 2022","Currency=USD","Period=FQ","BEST_FPERIOD_OVERRIDE=FQ","FILING_STATUS=MR","Sort=A","Dates=H","DateFormat=P","Fill=—","Direction=H","UseDPDF=Y")</f>
        <v>25.1266</v>
      </c>
    </row>
    <row r="19" spans="1:42" x14ac:dyDescent="0.25">
      <c r="A19" s="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7" t="s">
        <v>114</v>
      </c>
      <c r="B20" s="7" t="s">
        <v>113</v>
      </c>
      <c r="C20" s="21">
        <f>_xll.BDH("NVDA US Equity","CASH_FLOW_TO_TOT_LIAB","FQ2 2012","FQ2 2012","Currency=USD","Period=FQ","BEST_FPERIOD_OVERRIDE=FQ","FILING_STATUS=MR","Sort=A","Dates=H","DateFormat=P","Fill=—","Direction=H","UseDPDF=Y")</f>
        <v>76.689800000000005</v>
      </c>
      <c r="D20" s="21">
        <f>_xll.BDH("NVDA US Equity","CASH_FLOW_TO_TOT_LIAB","FQ3 2012","FQ3 2012","Currency=USD","Period=FQ","BEST_FPERIOD_OVERRIDE=FQ","FILING_STATUS=MR","Sort=A","Dates=H","DateFormat=P","Fill=—","Direction=H","UseDPDF=Y")</f>
        <v>83.660499999999999</v>
      </c>
      <c r="E20" s="21">
        <f>_xll.BDH("NVDA US Equity","CASH_FLOW_TO_TOT_LIAB","FQ4 2012","FQ4 2012","Currency=USD","Period=FQ","BEST_FPERIOD_OVERRIDE=FQ","FILING_STATUS=MR","Sort=A","Dates=H","DateFormat=P","Fill=—","Direction=H","UseDPDF=Y")</f>
        <v>64.607299999999995</v>
      </c>
      <c r="F20" s="21">
        <f>_xll.BDH("NVDA US Equity","CASH_FLOW_TO_TOT_LIAB","FQ1 2013","FQ1 2013","Currency=USD","Period=FQ","BEST_FPERIOD_OVERRIDE=FQ","FILING_STATUS=MR","Sort=A","Dates=H","DateFormat=P","Fill=—","Direction=H","UseDPDF=Y")</f>
        <v>51.223199999999999</v>
      </c>
      <c r="G20" s="21">
        <f>_xll.BDH("NVDA US Equity","CASH_FLOW_TO_TOT_LIAB","FQ2 2013","FQ2 2013","Currency=USD","Period=FQ","BEST_FPERIOD_OVERRIDE=FQ","FILING_STATUS=MR","Sort=A","Dates=H","DateFormat=P","Fill=—","Direction=H","UseDPDF=Y")</f>
        <v>58.865499999999997</v>
      </c>
      <c r="H20" s="21">
        <f>_xll.BDH("NVDA US Equity","CASH_FLOW_TO_TOT_LIAB","FQ3 2013","FQ3 2013","Currency=USD","Period=FQ","BEST_FPERIOD_OVERRIDE=FQ","FILING_STATUS=MR","Sort=A","Dates=H","DateFormat=P","Fill=—","Direction=H","UseDPDF=Y")</f>
        <v>57.951799999999999</v>
      </c>
      <c r="I20" s="21">
        <f>_xll.BDH("NVDA US Equity","CASH_FLOW_TO_TOT_LIAB","FQ4 2013","FQ4 2013","Currency=USD","Period=FQ","BEST_FPERIOD_OVERRIDE=FQ","FILING_STATUS=MR","Sort=A","Dates=H","DateFormat=P","Fill=—","Direction=H","UseDPDF=Y")</f>
        <v>52.013300000000001</v>
      </c>
      <c r="J20" s="21">
        <f>_xll.BDH("NVDA US Equity","CASH_FLOW_TO_TOT_LIAB","FQ1 2014","FQ1 2014","Currency=USD","Period=FQ","BEST_FPERIOD_OVERRIDE=FQ","FILING_STATUS=MR","Sort=A","Dates=H","DateFormat=P","Fill=—","Direction=H","UseDPDF=Y")</f>
        <v>69.368600000000001</v>
      </c>
      <c r="K20" s="21">
        <f>_xll.BDH("NVDA US Equity","CASH_FLOW_TO_TOT_LIAB","FQ2 2014","FQ2 2014","Currency=USD","Period=FQ","BEST_FPERIOD_OVERRIDE=FQ","FILING_STATUS=MR","Sort=A","Dates=H","DateFormat=P","Fill=—","Direction=H","UseDPDF=Y")</f>
        <v>64.7346</v>
      </c>
      <c r="L20" s="21">
        <f>_xll.BDH("NVDA US Equity","CASH_FLOW_TO_TOT_LIAB","FQ3 2014","FQ3 2014","Currency=USD","Period=FQ","BEST_FPERIOD_OVERRIDE=FQ","FILING_STATUS=MR","Sort=A","Dates=H","DateFormat=P","Fill=—","Direction=H","UseDPDF=Y")</f>
        <v>63.667699999999996</v>
      </c>
      <c r="M20" s="21">
        <f>_xll.BDH("NVDA US Equity","CASH_FLOW_TO_TOT_LIAB","FQ4 2014","FQ4 2014","Currency=USD","Period=FQ","BEST_FPERIOD_OVERRIDE=FQ","FILING_STATUS=MR","Sort=A","Dates=H","DateFormat=P","Fill=—","Direction=H","UseDPDF=Y")</f>
        <v>29.885400000000001</v>
      </c>
      <c r="N20" s="21">
        <f>_xll.BDH("NVDA US Equity","CASH_FLOW_TO_TOT_LIAB","FQ1 2015","FQ1 2015","Currency=USD","Period=FQ","BEST_FPERIOD_OVERRIDE=FQ","FILING_STATUS=MR","Sort=A","Dates=H","DateFormat=P","Fill=—","Direction=H","UseDPDF=Y")</f>
        <v>30.0442</v>
      </c>
      <c r="O20" s="21">
        <f>_xll.BDH("NVDA US Equity","CASH_FLOW_TO_TOT_LIAB","FQ2 2015","FQ2 2015","Currency=USD","Period=FQ","BEST_FPERIOD_OVERRIDE=FQ","FILING_STATUS=MR","Sort=A","Dates=H","DateFormat=P","Fill=—","Direction=H","UseDPDF=Y")</f>
        <v>30.812000000000001</v>
      </c>
      <c r="P20" s="21">
        <f>_xll.BDH("NVDA US Equity","CASH_FLOW_TO_TOT_LIAB","FQ3 2015","FQ3 2015","Currency=USD","Period=FQ","BEST_FPERIOD_OVERRIDE=FQ","FILING_STATUS=MR","Sort=A","Dates=H","DateFormat=P","Fill=—","Direction=H","UseDPDF=Y")</f>
        <v>32.212699999999998</v>
      </c>
      <c r="Q20" s="21">
        <f>_xll.BDH("NVDA US Equity","CASH_FLOW_TO_TOT_LIAB","FQ4 2015","FQ4 2015","Currency=USD","Period=FQ","BEST_FPERIOD_OVERRIDE=FQ","FILING_STATUS=MR","Sort=A","Dates=H","DateFormat=P","Fill=—","Direction=H","UseDPDF=Y")</f>
        <v>32.5548</v>
      </c>
      <c r="R20" s="21">
        <f>_xll.BDH("NVDA US Equity","CASH_FLOW_TO_TOT_LIAB","FQ1 2016","FQ1 2016","Currency=USD","Period=FQ","BEST_FPERIOD_OVERRIDE=FQ","FILING_STATUS=MR","Sort=A","Dates=H","DateFormat=P","Fill=—","Direction=H","UseDPDF=Y")</f>
        <v>36.599600000000002</v>
      </c>
      <c r="S20" s="21">
        <f>_xll.BDH("NVDA US Equity","CASH_FLOW_TO_TOT_LIAB","FQ2 2016","FQ2 2016","Currency=USD","Period=FQ","BEST_FPERIOD_OVERRIDE=FQ","FILING_STATUS=MR","Sort=A","Dates=H","DateFormat=P","Fill=—","Direction=H","UseDPDF=Y")</f>
        <v>38.224800000000002</v>
      </c>
      <c r="T20" s="21">
        <f>_xll.BDH("NVDA US Equity","CASH_FLOW_TO_TOT_LIAB","FQ3 2016","FQ3 2016","Currency=USD","Period=FQ","BEST_FPERIOD_OVERRIDE=FQ","FILING_STATUS=MR","Sort=A","Dates=H","DateFormat=P","Fill=—","Direction=H","UseDPDF=Y")</f>
        <v>40.863799999999998</v>
      </c>
      <c r="U20" s="21">
        <f>_xll.BDH("NVDA US Equity","CASH_FLOW_TO_TOT_LIAB","FQ4 2016","FQ4 2016","Currency=USD","Period=FQ","BEST_FPERIOD_OVERRIDE=FQ","FILING_STATUS=MR","Sort=A","Dates=H","DateFormat=P","Fill=—","Direction=H","UseDPDF=Y")</f>
        <v>40.503300000000003</v>
      </c>
      <c r="V20" s="21">
        <f>_xll.BDH("NVDA US Equity","CASH_FLOW_TO_TOT_LIAB","FQ1 2017","FQ1 2017","Currency=USD","Period=FQ","BEST_FPERIOD_OVERRIDE=FQ","FILING_STATUS=MR","Sort=A","Dates=H","DateFormat=P","Fill=—","Direction=H","UseDPDF=Y")</f>
        <v>42.857100000000003</v>
      </c>
      <c r="W20" s="21">
        <f>_xll.BDH("NVDA US Equity","CASH_FLOW_TO_TOT_LIAB","FQ2 2017","FQ2 2017","Currency=USD","Period=FQ","BEST_FPERIOD_OVERRIDE=FQ","FILING_STATUS=MR","Sort=A","Dates=H","DateFormat=P","Fill=—","Direction=H","UseDPDF=Y")</f>
        <v>43.106299999999997</v>
      </c>
      <c r="X20" s="21">
        <f>_xll.BDH("NVDA US Equity","CASH_FLOW_TO_TOT_LIAB","FQ3 2017","FQ3 2017","Currency=USD","Period=FQ","BEST_FPERIOD_OVERRIDE=FQ","FILING_STATUS=MR","Sort=A","Dates=H","DateFormat=P","Fill=—","Direction=H","UseDPDF=Y")</f>
        <v>34.701500000000003</v>
      </c>
      <c r="Y20" s="21">
        <f>_xll.BDH("NVDA US Equity","CASH_FLOW_TO_TOT_LIAB","FQ4 2017","FQ4 2017","Currency=USD","Period=FQ","BEST_FPERIOD_OVERRIDE=FQ","FILING_STATUS=MR","Sort=A","Dates=H","DateFormat=P","Fill=—","Direction=H","UseDPDF=Y")</f>
        <v>41.627800000000001</v>
      </c>
      <c r="Z20" s="21">
        <f>_xll.BDH("NVDA US Equity","CASH_FLOW_TO_TOT_LIAB","FQ1 2018","FQ1 2018","Currency=USD","Period=FQ","BEST_FPERIOD_OVERRIDE=FQ","FILING_STATUS=MR","Sort=A","Dates=H","DateFormat=P","Fill=—","Direction=H","UseDPDF=Y")</f>
        <v>50.671100000000003</v>
      </c>
      <c r="AA20" s="21">
        <f>_xll.BDH("NVDA US Equity","CASH_FLOW_TO_TOT_LIAB","FQ2 2018","FQ2 2018","Currency=USD","Period=FQ","BEST_FPERIOD_OVERRIDE=FQ","FILING_STATUS=MR","Sort=A","Dates=H","DateFormat=P","Fill=—","Direction=H","UseDPDF=Y")</f>
        <v>63.167099999999998</v>
      </c>
      <c r="AB20" s="21">
        <f>_xll.BDH("NVDA US Equity","CASH_FLOW_TO_TOT_LIAB","FQ3 2018","FQ3 2018","Currency=USD","Period=FQ","BEST_FPERIOD_OVERRIDE=FQ","FILING_STATUS=MR","Sort=A","Dates=H","DateFormat=P","Fill=—","Direction=H","UseDPDF=Y")</f>
        <v>82.374899999999997</v>
      </c>
      <c r="AC20" s="21">
        <f>_xll.BDH("NVDA US Equity","CASH_FLOW_TO_TOT_LIAB","FQ4 2018","FQ4 2018","Currency=USD","Period=FQ","BEST_FPERIOD_OVERRIDE=FQ","FILING_STATUS=MR","Sort=A","Dates=H","DateFormat=P","Fill=—","Direction=H","UseDPDF=Y")</f>
        <v>92.891199999999998</v>
      </c>
      <c r="AD20" s="21">
        <f>_xll.BDH("NVDA US Equity","CASH_FLOW_TO_TOT_LIAB","FQ1 2019","FQ1 2019","Currency=USD","Period=FQ","BEST_FPERIOD_OVERRIDE=FQ","FILING_STATUS=MR","Sort=A","Dates=H","DateFormat=P","Fill=—","Direction=H","UseDPDF=Y")</f>
        <v>124.6326</v>
      </c>
      <c r="AE20" s="21">
        <f>_xll.BDH("NVDA US Equity","CASH_FLOW_TO_TOT_LIAB","FQ2 2019","FQ2 2019","Currency=USD","Period=FQ","BEST_FPERIOD_OVERRIDE=FQ","FILING_STATUS=MR","Sort=A","Dates=H","DateFormat=P","Fill=—","Direction=H","UseDPDF=Y")</f>
        <v>119.2317</v>
      </c>
      <c r="AF20" s="21">
        <f>_xll.BDH("NVDA US Equity","CASH_FLOW_TO_TOT_LIAB","FQ3 2019","FQ3 2019","Currency=USD","Period=FQ","BEST_FPERIOD_OVERRIDE=FQ","FILING_STATUS=MR","Sort=A","Dates=H","DateFormat=P","Fill=—","Direction=H","UseDPDF=Y")</f>
        <v>100.5022</v>
      </c>
      <c r="AG20" s="21">
        <f>_xll.BDH("NVDA US Equity","CASH_FLOW_TO_TOT_LIAB","FQ4 2019","FQ4 2019","Currency=USD","Period=FQ","BEST_FPERIOD_OVERRIDE=FQ","FILING_STATUS=MR","Sort=A","Dates=H","DateFormat=P","Fill=—","Direction=H","UseDPDF=Y")</f>
        <v>94.759500000000003</v>
      </c>
      <c r="AH20" s="21">
        <f>_xll.BDH("NVDA US Equity","CASH_FLOW_TO_TOT_LIAB","FQ1 2020","FQ1 2020","Currency=USD","Period=FQ","BEST_FPERIOD_OVERRIDE=FQ","FILING_STATUS=MR","Sort=A","Dates=H","DateFormat=P","Fill=—","Direction=H","UseDPDF=Y")</f>
        <v>69.909700000000001</v>
      </c>
      <c r="AI20" s="21">
        <f>_xll.BDH("NVDA US Equity","CASH_FLOW_TO_TOT_LIAB","FQ2 2020","FQ2 2020","Currency=USD","Period=FQ","BEST_FPERIOD_OVERRIDE=FQ","FILING_STATUS=MR","Sort=A","Dates=H","DateFormat=P","Fill=—","Direction=H","UseDPDF=Y")</f>
        <v>68.506399999999999</v>
      </c>
      <c r="AJ20" s="21">
        <f>_xll.BDH("NVDA US Equity","CASH_FLOW_TO_TOT_LIAB","FQ3 2020","FQ3 2020","Currency=USD","Period=FQ","BEST_FPERIOD_OVERRIDE=FQ","FILING_STATUS=MR","Sort=A","Dates=H","DateFormat=P","Fill=—","Direction=H","UseDPDF=Y")</f>
        <v>91.253299999999996</v>
      </c>
      <c r="AK20" s="21">
        <f>_xll.BDH("NVDA US Equity","CASH_FLOW_TO_TOT_LIAB","FQ4 2020","FQ4 2020","Currency=USD","Period=FQ","BEST_FPERIOD_OVERRIDE=FQ","FILING_STATUS=MR","Sort=A","Dates=H","DateFormat=P","Fill=—","Direction=H","UseDPDF=Y")</f>
        <v>93.152000000000001</v>
      </c>
      <c r="AL20" s="21">
        <f>_xll.BDH("NVDA US Equity","CASH_FLOW_TO_TOT_LIAB","FQ1 2021","FQ1 2021","Currency=USD","Period=FQ","BEST_FPERIOD_OVERRIDE=FQ","FILING_STATUS=MR","Sort=A","Dates=H","DateFormat=P","Fill=—","Direction=H","UseDPDF=Y")</f>
        <v>48.744500000000002</v>
      </c>
      <c r="AM20" s="21">
        <f>_xll.BDH("NVDA US Equity","CASH_FLOW_TO_TOT_LIAB","FQ2 2021","FQ2 2021","Currency=USD","Period=FQ","BEST_FPERIOD_OVERRIDE=FQ","FILING_STATUS=MR","Sort=A","Dates=H","DateFormat=P","Fill=—","Direction=H","UseDPDF=Y")</f>
        <v>49.538400000000003</v>
      </c>
      <c r="AN20" s="21">
        <f>_xll.BDH("NVDA US Equity","CASH_FLOW_TO_TOT_LIAB","FQ3 2021","FQ3 2021","Currency=USD","Period=FQ","BEST_FPERIOD_OVERRIDE=FQ","FILING_STATUS=MR","Sort=A","Dates=H","DateFormat=P","Fill=—","Direction=H","UseDPDF=Y")</f>
        <v>45.206499999999998</v>
      </c>
      <c r="AO20" s="21">
        <f>_xll.BDH("NVDA US Equity","CASH_FLOW_TO_TOT_LIAB","FQ4 2021","FQ4 2021","Currency=USD","Period=FQ","BEST_FPERIOD_OVERRIDE=FQ","FILING_STATUS=MR","Sort=A","Dates=H","DateFormat=P","Fill=—","Direction=H","UseDPDF=Y")</f>
        <v>48.932600000000001</v>
      </c>
      <c r="AP20" s="21">
        <f>_xll.BDH("NVDA US Equity","CASH_FLOW_TO_TOT_LIAB","FQ1 2022","FQ1 2022","Currency=USD","Period=FQ","BEST_FPERIOD_OVERRIDE=FQ","FILING_STATUS=MR","Sort=A","Dates=H","DateFormat=P","Fill=—","Direction=H","UseDPDF=Y")</f>
        <v>56.454799999999999</v>
      </c>
    </row>
    <row r="21" spans="1:42" x14ac:dyDescent="0.25">
      <c r="A21" s="7" t="s">
        <v>112</v>
      </c>
      <c r="B21" s="7" t="s">
        <v>111</v>
      </c>
      <c r="C21" s="21">
        <f>_xll.BDH("NVDA US Equity","CAP_EXPEND_RATIO","FQ2 2012","FQ2 2012","Currency=USD","Period=FQ","BEST_FPERIOD_OVERRIDE=FQ","FILING_STATUS=MR","Sort=A","Dates=H","DateFormat=P","Fill=—","Direction=H","UseDPDF=Y")</f>
        <v>3.5167000000000002</v>
      </c>
      <c r="D21" s="21">
        <f>_xll.BDH("NVDA US Equity","CAP_EXPEND_RATIO","FQ3 2012","FQ3 2012","Currency=USD","Period=FQ","BEST_FPERIOD_OVERRIDE=FQ","FILING_STATUS=MR","Sort=A","Dates=H","DateFormat=P","Fill=—","Direction=H","UseDPDF=Y")</f>
        <v>6.2614999999999998</v>
      </c>
      <c r="E21" s="21">
        <f>_xll.BDH("NVDA US Equity","CAP_EXPEND_RATIO","FQ4 2012","FQ4 2012","Currency=USD","Period=FQ","BEST_FPERIOD_OVERRIDE=FQ","FILING_STATUS=MR","Sort=A","Dates=H","DateFormat=P","Fill=—","Direction=H","UseDPDF=Y")</f>
        <v>9.0859000000000005</v>
      </c>
      <c r="F21" s="21">
        <f>_xll.BDH("NVDA US Equity","CAP_EXPEND_RATIO","FQ1 2013","FQ1 2013","Currency=USD","Period=FQ","BEST_FPERIOD_OVERRIDE=FQ","FILING_STATUS=MR","Sort=A","Dates=H","DateFormat=P","Fill=—","Direction=H","UseDPDF=Y")</f>
        <v>-0.31840000000000002</v>
      </c>
      <c r="G21" s="21">
        <f>_xll.BDH("NVDA US Equity","CAP_EXPEND_RATIO","FQ2 2013","FQ2 2013","Currency=USD","Period=FQ","BEST_FPERIOD_OVERRIDE=FQ","FILING_STATUS=MR","Sort=A","Dates=H","DateFormat=P","Fill=—","Direction=H","UseDPDF=Y")</f>
        <v>3.2429999999999999</v>
      </c>
      <c r="H21" s="21">
        <f>_xll.BDH("NVDA US Equity","CAP_EXPEND_RATIO","FQ3 2013","FQ3 2013","Currency=USD","Period=FQ","BEST_FPERIOD_OVERRIDE=FQ","FILING_STATUS=MR","Sort=A","Dates=H","DateFormat=P","Fill=—","Direction=H","UseDPDF=Y")</f>
        <v>4.0614999999999997</v>
      </c>
      <c r="I21" s="21">
        <f>_xll.BDH("NVDA US Equity","CAP_EXPEND_RATIO","FQ4 2013","FQ4 2013","Currency=USD","Period=FQ","BEST_FPERIOD_OVERRIDE=FQ","FILING_STATUS=MR","Sort=A","Dates=H","DateFormat=P","Fill=—","Direction=H","UseDPDF=Y")</f>
        <v>9.4436</v>
      </c>
      <c r="J21" s="21">
        <f>_xll.BDH("NVDA US Equity","CAP_EXPEND_RATIO","FQ1 2014","FQ1 2014","Currency=USD","Period=FQ","BEST_FPERIOD_OVERRIDE=FQ","FILING_STATUS=MR","Sort=A","Dates=H","DateFormat=P","Fill=—","Direction=H","UseDPDF=Y")</f>
        <v>2.6749000000000001</v>
      </c>
      <c r="K21" s="21">
        <f>_xll.BDH("NVDA US Equity","CAP_EXPEND_RATIO","FQ2 2014","FQ2 2014","Currency=USD","Period=FQ","BEST_FPERIOD_OVERRIDE=FQ","FILING_STATUS=MR","Sort=A","Dates=H","DateFormat=P","Fill=—","Direction=H","UseDPDF=Y")</f>
        <v>1.1351</v>
      </c>
      <c r="L21" s="21">
        <f>_xll.BDH("NVDA US Equity","CAP_EXPEND_RATIO","FQ3 2014","FQ3 2014","Currency=USD","Period=FQ","BEST_FPERIOD_OVERRIDE=FQ","FILING_STATUS=MR","Sort=A","Dates=H","DateFormat=P","Fill=—","Direction=H","UseDPDF=Y")</f>
        <v>4.2535999999999996</v>
      </c>
      <c r="M21" s="21">
        <f>_xll.BDH("NVDA US Equity","CAP_EXPEND_RATIO","FQ4 2014","FQ4 2014","Currency=USD","Period=FQ","BEST_FPERIOD_OVERRIDE=FQ","FILING_STATUS=MR","Sort=A","Dates=H","DateFormat=P","Fill=—","Direction=H","UseDPDF=Y")</f>
        <v>6.0372000000000003</v>
      </c>
      <c r="N21" s="21">
        <f>_xll.BDH("NVDA US Equity","CAP_EXPEND_RATIO","FQ1 2015","FQ1 2015","Currency=USD","Period=FQ","BEST_FPERIOD_OVERRIDE=FQ","FILING_STATUS=MR","Sort=A","Dates=H","DateFormat=P","Fill=—","Direction=H","UseDPDF=Y")</f>
        <v>5.2069000000000001</v>
      </c>
      <c r="O21" s="21">
        <f>_xll.BDH("NVDA US Equity","CAP_EXPEND_RATIO","FQ2 2015","FQ2 2015","Currency=USD","Period=FQ","BEST_FPERIOD_OVERRIDE=FQ","FILING_STATUS=MR","Sort=A","Dates=H","DateFormat=P","Fill=—","Direction=H","UseDPDF=Y")</f>
        <v>4.1738999999999997</v>
      </c>
      <c r="P21" s="21">
        <f>_xll.BDH("NVDA US Equity","CAP_EXPEND_RATIO","FQ3 2015","FQ3 2015","Currency=USD","Period=FQ","BEST_FPERIOD_OVERRIDE=FQ","FILING_STATUS=MR","Sort=A","Dates=H","DateFormat=P","Fill=—","Direction=H","UseDPDF=Y")</f>
        <v>5.5385</v>
      </c>
      <c r="Q21" s="21">
        <f>_xll.BDH("NVDA US Equity","CAP_EXPEND_RATIO","FQ4 2015","FQ4 2015","Currency=USD","Period=FQ","BEST_FPERIOD_OVERRIDE=FQ","FILING_STATUS=MR","Sort=A","Dates=H","DateFormat=P","Fill=—","Direction=H","UseDPDF=Y")</f>
        <v>14.2903</v>
      </c>
      <c r="R21" s="21">
        <f>_xll.BDH("NVDA US Equity","CAP_EXPEND_RATIO","FQ1 2016","FQ1 2016","Currency=USD","Period=FQ","BEST_FPERIOD_OVERRIDE=FQ","FILING_STATUS=MR","Sort=A","Dates=H","DateFormat=P","Fill=—","Direction=H","UseDPDF=Y")</f>
        <v>8.1999999999999993</v>
      </c>
      <c r="S21" s="21">
        <f>_xll.BDH("NVDA US Equity","CAP_EXPEND_RATIO","FQ2 2016","FQ2 2016","Currency=USD","Period=FQ","BEST_FPERIOD_OVERRIDE=FQ","FILING_STATUS=MR","Sort=A","Dates=H","DateFormat=P","Fill=—","Direction=H","UseDPDF=Y")</f>
        <v>6.7916999999999996</v>
      </c>
      <c r="T21" s="21">
        <f>_xll.BDH("NVDA US Equity","CAP_EXPEND_RATIO","FQ3 2016","FQ3 2016","Currency=USD","Period=FQ","BEST_FPERIOD_OVERRIDE=FQ","FILING_STATUS=MR","Sort=A","Dates=H","DateFormat=P","Fill=—","Direction=H","UseDPDF=Y")</f>
        <v>15</v>
      </c>
      <c r="U21" s="21">
        <f>_xll.BDH("NVDA US Equity","CAP_EXPEND_RATIO","FQ4 2016","FQ4 2016","Currency=USD","Period=FQ","BEST_FPERIOD_OVERRIDE=FQ","FILING_STATUS=MR","Sort=A","Dates=H","DateFormat=P","Fill=—","Direction=H","UseDPDF=Y")</f>
        <v>34.066699999999997</v>
      </c>
      <c r="V21" s="21">
        <f>_xll.BDH("NVDA US Equity","CAP_EXPEND_RATIO","FQ1 2017","FQ1 2017","Currency=USD","Period=FQ","BEST_FPERIOD_OVERRIDE=FQ","FILING_STATUS=MR","Sort=A","Dates=H","DateFormat=P","Fill=—","Direction=H","UseDPDF=Y")</f>
        <v>5.8</v>
      </c>
      <c r="W21" s="21">
        <f>_xll.BDH("NVDA US Equity","CAP_EXPEND_RATIO","FQ2 2017","FQ2 2017","Currency=USD","Period=FQ","BEST_FPERIOD_OVERRIDE=FQ","FILING_STATUS=MR","Sort=A","Dates=H","DateFormat=P","Fill=—","Direction=H","UseDPDF=Y")</f>
        <v>6.25</v>
      </c>
      <c r="X21" s="21">
        <f>_xll.BDH("NVDA US Equity","CAP_EXPEND_RATIO","FQ3 2017","FQ3 2017","Currency=USD","Period=FQ","BEST_FPERIOD_OVERRIDE=FQ","FILING_STATUS=MR","Sort=A","Dates=H","DateFormat=P","Fill=—","Direction=H","UseDPDF=Y")</f>
        <v>12.0526</v>
      </c>
      <c r="Y21" s="21">
        <f>_xll.BDH("NVDA US Equity","CAP_EXPEND_RATIO","FQ4 2017","FQ4 2017","Currency=USD","Period=FQ","BEST_FPERIOD_OVERRIDE=FQ","FILING_STATUS=MR","Sort=A","Dates=H","DateFormat=P","Fill=—","Direction=H","UseDPDF=Y")</f>
        <v>14.1373</v>
      </c>
      <c r="Z21" s="21">
        <f>_xll.BDH("NVDA US Equity","CAP_EXPEND_RATIO","FQ1 2018","FQ1 2018","Currency=USD","Period=FQ","BEST_FPERIOD_OVERRIDE=FQ","FILING_STATUS=MR","Sort=A","Dates=H","DateFormat=P","Fill=—","Direction=H","UseDPDF=Y")</f>
        <v>5.2222</v>
      </c>
      <c r="AA21" s="21">
        <f>_xll.BDH("NVDA US Equity","CAP_EXPEND_RATIO","FQ2 2018","FQ2 2018","Currency=USD","Period=FQ","BEST_FPERIOD_OVERRIDE=FQ","FILING_STATUS=MR","Sort=A","Dates=H","DateFormat=P","Fill=—","Direction=H","UseDPDF=Y")</f>
        <v>13.0556</v>
      </c>
      <c r="AB21" s="21">
        <f>_xll.BDH("NVDA US Equity","CAP_EXPEND_RATIO","FQ3 2018","FQ3 2018","Currency=USD","Period=FQ","BEST_FPERIOD_OVERRIDE=FQ","FILING_STATUS=MR","Sort=A","Dates=H","DateFormat=P","Fill=—","Direction=H","UseDPDF=Y")</f>
        <v>16.7681</v>
      </c>
      <c r="AC21" s="21">
        <f>_xll.BDH("NVDA US Equity","CAP_EXPEND_RATIO","FQ4 2018","FQ4 2018","Currency=USD","Period=FQ","BEST_FPERIOD_OVERRIDE=FQ","FILING_STATUS=MR","Sort=A","Dates=H","DateFormat=P","Fill=—","Direction=H","UseDPDF=Y")</f>
        <v>3.2644000000000002</v>
      </c>
      <c r="AD21" s="21">
        <f>_xll.BDH("NVDA US Equity","CAP_EXPEND_RATIO","FQ1 2019","FQ1 2019","Currency=USD","Period=FQ","BEST_FPERIOD_OVERRIDE=FQ","FILING_STATUS=MR","Sort=A","Dates=H","DateFormat=P","Fill=—","Direction=H","UseDPDF=Y")</f>
        <v>12.245799999999999</v>
      </c>
      <c r="AE21" s="21">
        <f>_xll.BDH("NVDA US Equity","CAP_EXPEND_RATIO","FQ2 2019","FQ2 2019","Currency=USD","Period=FQ","BEST_FPERIOD_OVERRIDE=FQ","FILING_STATUS=MR","Sort=A","Dates=H","DateFormat=P","Fill=—","Direction=H","UseDPDF=Y")</f>
        <v>7.0774999999999997</v>
      </c>
      <c r="AF21" s="21">
        <f>_xll.BDH("NVDA US Equity","CAP_EXPEND_RATIO","FQ3 2019","FQ3 2019","Currency=USD","Period=FQ","BEST_FPERIOD_OVERRIDE=FQ","FILING_STATUS=MR","Sort=A","Dates=H","DateFormat=P","Fill=—","Direction=H","UseDPDF=Y")</f>
        <v>3.2467000000000001</v>
      </c>
      <c r="AG21" s="21">
        <f>_xll.BDH("NVDA US Equity","CAP_EXPEND_RATIO","FQ4 2019","FQ4 2019","Currency=USD","Period=FQ","BEST_FPERIOD_OVERRIDE=FQ","FILING_STATUS=MR","Sort=A","Dates=H","DateFormat=P","Fill=—","Direction=H","UseDPDF=Y")</f>
        <v>4.4236000000000004</v>
      </c>
      <c r="AH21" s="21">
        <f>_xll.BDH("NVDA US Equity","CAP_EXPEND_RATIO","FQ1 2020","FQ1 2020","Currency=USD","Period=FQ","BEST_FPERIOD_OVERRIDE=FQ","FILING_STATUS=MR","Sort=A","Dates=H","DateFormat=P","Fill=—","Direction=H","UseDPDF=Y")</f>
        <v>5.625</v>
      </c>
      <c r="AI21" s="21">
        <f>_xll.BDH("NVDA US Equity","CAP_EXPEND_RATIO","FQ2 2020","FQ2 2020","Currency=USD","Period=FQ","BEST_FPERIOD_OVERRIDE=FQ","FILING_STATUS=MR","Sort=A","Dates=H","DateFormat=P","Fill=—","Direction=H","UseDPDF=Y")</f>
        <v>8.2832000000000008</v>
      </c>
      <c r="AJ21" s="21">
        <f>_xll.BDH("NVDA US Equity","CAP_EXPEND_RATIO","FQ3 2020","FQ3 2020","Currency=USD","Period=FQ","BEST_FPERIOD_OVERRIDE=FQ","FILING_STATUS=MR","Sort=A","Dates=H","DateFormat=P","Fill=—","Direction=H","UseDPDF=Y")</f>
        <v>15.9223</v>
      </c>
      <c r="AK21" s="21">
        <f>_xll.BDH("NVDA US Equity","CAP_EXPEND_RATIO","FQ4 2020","FQ4 2020","Currency=USD","Period=FQ","BEST_FPERIOD_OVERRIDE=FQ","FILING_STATUS=MR","Sort=A","Dates=H","DateFormat=P","Fill=—","Direction=H","UseDPDF=Y")</f>
        <v>10.1736</v>
      </c>
      <c r="AL21" s="21">
        <f>_xll.BDH("NVDA US Equity","CAP_EXPEND_RATIO","FQ1 2021","FQ1 2021","Currency=USD","Period=FQ","BEST_FPERIOD_OVERRIDE=FQ","FILING_STATUS=MR","Sort=A","Dates=H","DateFormat=P","Fill=—","Direction=H","UseDPDF=Y")</f>
        <v>5.8644999999999996</v>
      </c>
      <c r="AM21" s="21">
        <f>_xll.BDH("NVDA US Equity","CAP_EXPEND_RATIO","FQ2 2021","FQ2 2021","Currency=USD","Period=FQ","BEST_FPERIOD_OVERRIDE=FQ","FILING_STATUS=MR","Sort=A","Dates=H","DateFormat=P","Fill=—","Direction=H","UseDPDF=Y")</f>
        <v>7.2211999999999996</v>
      </c>
      <c r="AN21" s="21">
        <f>_xll.BDH("NVDA US Equity","CAP_EXPEND_RATIO","FQ3 2021","FQ3 2021","Currency=USD","Period=FQ","BEST_FPERIOD_OVERRIDE=FQ","FILING_STATUS=MR","Sort=A","Dates=H","DateFormat=P","Fill=—","Direction=H","UseDPDF=Y")</f>
        <v>2.7039999999999997</v>
      </c>
      <c r="AO21" s="21">
        <f>_xll.BDH("NVDA US Equity","CAP_EXPEND_RATIO","FQ4 2021","FQ4 2021","Currency=USD","Period=FQ","BEST_FPERIOD_OVERRIDE=FQ","FILING_STATUS=MR","Sort=A","Dates=H","DateFormat=P","Fill=—","Direction=H","UseDPDF=Y")</f>
        <v>7.3038999999999996</v>
      </c>
      <c r="AP21" s="21">
        <f>_xll.BDH("NVDA US Equity","CAP_EXPEND_RATIO","FQ1 2022","FQ1 2022","Currency=USD","Period=FQ","BEST_FPERIOD_OVERRIDE=FQ","FILING_STATUS=MR","Sort=A","Dates=H","DateFormat=P","Fill=—","Direction=H","UseDPDF=Y")</f>
        <v>6.2885999999999997</v>
      </c>
    </row>
    <row r="22" spans="1:42" x14ac:dyDescent="0.25">
      <c r="A22" s="7" t="s">
        <v>110</v>
      </c>
      <c r="B22" s="7" t="s">
        <v>109</v>
      </c>
      <c r="C22" s="21">
        <f>_xll.BDH("NVDA US Equity","ALTMAN_Z_SCORE","FQ2 2012","FQ2 2012","Currency=USD","Period=FQ","BEST_FPERIOD_OVERRIDE=FQ","FILING_STATUS=MR","Sort=A","Dates=H","DateFormat=P","Fill=—","Direction=H","UseDPDF=Y")</f>
        <v>7.2984999999999998</v>
      </c>
      <c r="D22" s="21">
        <f>_xll.BDH("NVDA US Equity","ALTMAN_Z_SCORE","FQ3 2012","FQ3 2012","Currency=USD","Period=FQ","BEST_FPERIOD_OVERRIDE=FQ","FILING_STATUS=MR","Sort=A","Dates=H","DateFormat=P","Fill=—","Direction=H","UseDPDF=Y")</f>
        <v>8.2513000000000005</v>
      </c>
      <c r="E22" s="21">
        <f>_xll.BDH("NVDA US Equity","ALTMAN_Z_SCORE","FQ4 2012","FQ4 2012","Currency=USD","Period=FQ","BEST_FPERIOD_OVERRIDE=FQ","FILING_STATUS=MR","Sort=A","Dates=H","DateFormat=P","Fill=—","Direction=H","UseDPDF=Y")</f>
        <v>6.8326000000000002</v>
      </c>
      <c r="F22" s="21">
        <f>_xll.BDH("NVDA US Equity","ALTMAN_Z_SCORE","FQ1 2013","FQ1 2013","Currency=USD","Period=FQ","BEST_FPERIOD_OVERRIDE=FQ","FILING_STATUS=MR","Sort=A","Dates=H","DateFormat=P","Fill=—","Direction=H","UseDPDF=Y")</f>
        <v>6.2428999999999997</v>
      </c>
      <c r="G22" s="21">
        <f>_xll.BDH("NVDA US Equity","ALTMAN_Z_SCORE","FQ2 2013","FQ2 2013","Currency=USD","Period=FQ","BEST_FPERIOD_OVERRIDE=FQ","FILING_STATUS=MR","Sort=A","Dates=H","DateFormat=P","Fill=—","Direction=H","UseDPDF=Y")</f>
        <v>6.2617000000000003</v>
      </c>
      <c r="H22" s="21">
        <f>_xll.BDH("NVDA US Equity","ALTMAN_Z_SCORE","FQ3 2013","FQ3 2013","Currency=USD","Period=FQ","BEST_FPERIOD_OVERRIDE=FQ","FILING_STATUS=MR","Sort=A","Dates=H","DateFormat=P","Fill=—","Direction=H","UseDPDF=Y")</f>
        <v>6.1634000000000002</v>
      </c>
      <c r="I22" s="21">
        <f>_xll.BDH("NVDA US Equity","ALTMAN_Z_SCORE","FQ4 2013","FQ4 2013","Currency=USD","Period=FQ","BEST_FPERIOD_OVERRIDE=FQ","FILING_STATUS=MR","Sort=A","Dates=H","DateFormat=P","Fill=—","Direction=H","UseDPDF=Y")</f>
        <v>5.7797999999999998</v>
      </c>
      <c r="J22" s="21">
        <f>_xll.BDH("NVDA US Equity","ALTMAN_Z_SCORE","FQ1 2014","FQ1 2014","Currency=USD","Period=FQ","BEST_FPERIOD_OVERRIDE=FQ","FILING_STATUS=MR","Sort=A","Dates=H","DateFormat=P","Fill=—","Direction=H","UseDPDF=Y")</f>
        <v>6.3285999999999998</v>
      </c>
      <c r="K22" s="21">
        <f>_xll.BDH("NVDA US Equity","ALTMAN_Z_SCORE","FQ2 2014","FQ2 2014","Currency=USD","Period=FQ","BEST_FPERIOD_OVERRIDE=FQ","FILING_STATUS=MR","Sort=A","Dates=H","DateFormat=P","Fill=—","Direction=H","UseDPDF=Y")</f>
        <v>6.6824000000000003</v>
      </c>
      <c r="L22" s="21">
        <f>_xll.BDH("NVDA US Equity","ALTMAN_Z_SCORE","FQ3 2014","FQ3 2014","Currency=USD","Period=FQ","BEST_FPERIOD_OVERRIDE=FQ","FILING_STATUS=MR","Sort=A","Dates=H","DateFormat=P","Fill=—","Direction=H","UseDPDF=Y")</f>
        <v>6.8017000000000003</v>
      </c>
      <c r="M22" s="21">
        <f>_xll.BDH("NVDA US Equity","ALTMAN_Z_SCORE","FQ4 2014","FQ4 2014","Currency=USD","Period=FQ","BEST_FPERIOD_OVERRIDE=FQ","FILING_STATUS=MR","Sort=A","Dates=H","DateFormat=P","Fill=—","Direction=H","UseDPDF=Y")</f>
        <v>4.4801000000000002</v>
      </c>
      <c r="N22" s="21">
        <f>_xll.BDH("NVDA US Equity","ALTMAN_Z_SCORE","FQ1 2015","FQ1 2015","Currency=USD","Period=FQ","BEST_FPERIOD_OVERRIDE=FQ","FILING_STATUS=MR","Sort=A","Dates=H","DateFormat=P","Fill=—","Direction=H","UseDPDF=Y")</f>
        <v>5.0848000000000004</v>
      </c>
      <c r="O22" s="21">
        <f>_xll.BDH("NVDA US Equity","ALTMAN_Z_SCORE","FQ2 2015","FQ2 2015","Currency=USD","Period=FQ","BEST_FPERIOD_OVERRIDE=FQ","FILING_STATUS=MR","Sort=A","Dates=H","DateFormat=P","Fill=—","Direction=H","UseDPDF=Y")</f>
        <v>5.0868000000000002</v>
      </c>
      <c r="P22" s="21">
        <f>_xll.BDH("NVDA US Equity","ALTMAN_Z_SCORE","FQ3 2015","FQ3 2015","Currency=USD","Period=FQ","BEST_FPERIOD_OVERRIDE=FQ","FILING_STATUS=MR","Sort=A","Dates=H","DateFormat=P","Fill=—","Direction=H","UseDPDF=Y")</f>
        <v>5.1531000000000002</v>
      </c>
      <c r="Q22" s="21">
        <f>_xll.BDH("NVDA US Equity","ALTMAN_Z_SCORE","FQ4 2015","FQ4 2015","Currency=USD","Period=FQ","BEST_FPERIOD_OVERRIDE=FQ","FILING_STATUS=MR","Sort=A","Dates=H","DateFormat=P","Fill=—","Direction=H","UseDPDF=Y")</f>
        <v>5.3345000000000002</v>
      </c>
      <c r="R22" s="21">
        <f>_xll.BDH("NVDA US Equity","ALTMAN_Z_SCORE","FQ1 2016","FQ1 2016","Currency=USD","Period=FQ","BEST_FPERIOD_OVERRIDE=FQ","FILING_STATUS=MR","Sort=A","Dates=H","DateFormat=P","Fill=—","Direction=H","UseDPDF=Y")</f>
        <v>5.5961999999999996</v>
      </c>
      <c r="S22" s="21">
        <f>_xll.BDH("NVDA US Equity","ALTMAN_Z_SCORE","FQ2 2016","FQ2 2016","Currency=USD","Period=FQ","BEST_FPERIOD_OVERRIDE=FQ","FILING_STATUS=MR","Sort=A","Dates=H","DateFormat=P","Fill=—","Direction=H","UseDPDF=Y")</f>
        <v>5.2087000000000003</v>
      </c>
      <c r="T22" s="21">
        <f>_xll.BDH("NVDA US Equity","ALTMAN_Z_SCORE","FQ3 2016","FQ3 2016","Currency=USD","Period=FQ","BEST_FPERIOD_OVERRIDE=FQ","FILING_STATUS=MR","Sort=A","Dates=H","DateFormat=P","Fill=—","Direction=H","UseDPDF=Y")</f>
        <v>6.4085000000000001</v>
      </c>
      <c r="U22" s="21">
        <f>_xll.BDH("NVDA US Equity","ALTMAN_Z_SCORE","FQ4 2016","FQ4 2016","Currency=USD","Period=FQ","BEST_FPERIOD_OVERRIDE=FQ","FILING_STATUS=MR","Sort=A","Dates=H","DateFormat=P","Fill=—","Direction=H","UseDPDF=Y")</f>
        <v>5.9934000000000003</v>
      </c>
      <c r="V22" s="21">
        <f>_xll.BDH("NVDA US Equity","ALTMAN_Z_SCORE","FQ1 2017","FQ1 2017","Currency=USD","Period=FQ","BEST_FPERIOD_OVERRIDE=FQ","FILING_STATUS=MR","Sort=A","Dates=H","DateFormat=P","Fill=—","Direction=H","UseDPDF=Y")</f>
        <v>6.8651999999999997</v>
      </c>
      <c r="W22" s="21">
        <f>_xll.BDH("NVDA US Equity","ALTMAN_Z_SCORE","FQ2 2017","FQ2 2017","Currency=USD","Period=FQ","BEST_FPERIOD_OVERRIDE=FQ","FILING_STATUS=MR","Sort=A","Dates=H","DateFormat=P","Fill=—","Direction=H","UseDPDF=Y")</f>
        <v>9.1166</v>
      </c>
      <c r="X22" s="21">
        <f>_xll.BDH("NVDA US Equity","ALTMAN_Z_SCORE","FQ3 2017","FQ3 2017","Currency=USD","Period=FQ","BEST_FPERIOD_OVERRIDE=FQ","FILING_STATUS=MR","Sort=A","Dates=H","DateFormat=P","Fill=—","Direction=H","UseDPDF=Y")</f>
        <v>8.2337000000000007</v>
      </c>
      <c r="Y22" s="21">
        <f>_xll.BDH("NVDA US Equity","ALTMAN_Z_SCORE","FQ4 2017","FQ4 2017","Currency=USD","Period=FQ","BEST_FPERIOD_OVERRIDE=FQ","FILING_STATUS=MR","Sort=A","Dates=H","DateFormat=P","Fill=—","Direction=H","UseDPDF=Y")</f>
        <v>12.145</v>
      </c>
      <c r="Z22" s="21">
        <f>_xll.BDH("NVDA US Equity","ALTMAN_Z_SCORE","FQ1 2018","FQ1 2018","Currency=USD","Period=FQ","BEST_FPERIOD_OVERRIDE=FQ","FILING_STATUS=MR","Sort=A","Dates=H","DateFormat=P","Fill=—","Direction=H","UseDPDF=Y")</f>
        <v>15.097899999999999</v>
      </c>
      <c r="AA22" s="21">
        <f>_xll.BDH("NVDA US Equity","ALTMAN_Z_SCORE","FQ2 2018","FQ2 2018","Currency=USD","Period=FQ","BEST_FPERIOD_OVERRIDE=FQ","FILING_STATUS=MR","Sort=A","Dates=H","DateFormat=P","Fill=—","Direction=H","UseDPDF=Y")</f>
        <v>21.16</v>
      </c>
      <c r="AB22" s="21">
        <f>_xll.BDH("NVDA US Equity","ALTMAN_Z_SCORE","FQ3 2018","FQ3 2018","Currency=USD","Period=FQ","BEST_FPERIOD_OVERRIDE=FQ","FILING_STATUS=MR","Sort=A","Dates=H","DateFormat=P","Fill=—","Direction=H","UseDPDF=Y")</f>
        <v>25.075199999999999</v>
      </c>
      <c r="AC22" s="21">
        <f>_xll.BDH("NVDA US Equity","ALTMAN_Z_SCORE","FQ4 2018","FQ4 2018","Currency=USD","Period=FQ","BEST_FPERIOD_OVERRIDE=FQ","FILING_STATUS=MR","Sort=A","Dates=H","DateFormat=P","Fill=—","Direction=H","UseDPDF=Y")</f>
        <v>27.4726</v>
      </c>
      <c r="AD22" s="21">
        <f>_xll.BDH("NVDA US Equity","ALTMAN_Z_SCORE","FQ1 2019","FQ1 2019","Currency=USD","Period=FQ","BEST_FPERIOD_OVERRIDE=FQ","FILING_STATUS=MR","Sort=A","Dates=H","DateFormat=P","Fill=—","Direction=H","UseDPDF=Y")</f>
        <v>26.4697</v>
      </c>
      <c r="AE22" s="21">
        <f>_xll.BDH("NVDA US Equity","ALTMAN_Z_SCORE","FQ2 2019","FQ2 2019","Currency=USD","Period=FQ","BEST_FPERIOD_OVERRIDE=FQ","FILING_STATUS=MR","Sort=A","Dates=H","DateFormat=P","Fill=—","Direction=H","UseDPDF=Y")</f>
        <v>26.801300000000001</v>
      </c>
      <c r="AF22" s="21">
        <f>_xll.BDH("NVDA US Equity","ALTMAN_Z_SCORE","FQ3 2019","FQ3 2019","Currency=USD","Period=FQ","BEST_FPERIOD_OVERRIDE=FQ","FILING_STATUS=MR","Sort=A","Dates=H","DateFormat=P","Fill=—","Direction=H","UseDPDF=Y")</f>
        <v>21.624500000000001</v>
      </c>
      <c r="AG22" s="21">
        <f>_xll.BDH("NVDA US Equity","ALTMAN_Z_SCORE","FQ4 2019","FQ4 2019","Currency=USD","Period=FQ","BEST_FPERIOD_OVERRIDE=FQ","FILING_STATUS=MR","Sort=A","Dates=H","DateFormat=P","Fill=—","Direction=H","UseDPDF=Y")</f>
        <v>19.0307</v>
      </c>
      <c r="AH22" s="21">
        <f>_xll.BDH("NVDA US Equity","ALTMAN_Z_SCORE","FQ1 2020","FQ1 2020","Currency=USD","Period=FQ","BEST_FPERIOD_OVERRIDE=FQ","FILING_STATUS=MR","Sort=A","Dates=H","DateFormat=P","Fill=—","Direction=H","UseDPDF=Y")</f>
        <v>18.771899999999999</v>
      </c>
      <c r="AI22" s="21">
        <f>_xll.BDH("NVDA US Equity","ALTMAN_Z_SCORE","FQ2 2020","FQ2 2020","Currency=USD","Period=FQ","BEST_FPERIOD_OVERRIDE=FQ","FILING_STATUS=MR","Sort=A","Dates=H","DateFormat=P","Fill=—","Direction=H","UseDPDF=Y")</f>
        <v>17.844899999999999</v>
      </c>
      <c r="AJ22" s="21">
        <f>_xll.BDH("NVDA US Equity","ALTMAN_Z_SCORE","FQ3 2020","FQ3 2020","Currency=USD","Period=FQ","BEST_FPERIOD_OVERRIDE=FQ","FILING_STATUS=MR","Sort=A","Dates=H","DateFormat=P","Fill=—","Direction=H","UseDPDF=Y")</f>
        <v>19.563099999999999</v>
      </c>
      <c r="AK22" s="21">
        <f>_xll.BDH("NVDA US Equity","ALTMAN_Z_SCORE","FQ4 2020","FQ4 2020","Currency=USD","Period=FQ","BEST_FPERIOD_OVERRIDE=FQ","FILING_STATUS=MR","Sort=A","Dates=H","DateFormat=P","Fill=—","Direction=H","UseDPDF=Y")</f>
        <v>21.332899999999999</v>
      </c>
      <c r="AL22" s="21">
        <f>_xll.BDH("NVDA US Equity","ALTMAN_Z_SCORE","FQ1 2021","FQ1 2021","Currency=USD","Period=FQ","BEST_FPERIOD_OVERRIDE=FQ","FILING_STATUS=MR","Sort=A","Dates=H","DateFormat=P","Fill=—","Direction=H","UseDPDF=Y")</f>
        <v>13.4307</v>
      </c>
      <c r="AM22" s="21">
        <f>_xll.BDH("NVDA US Equity","ALTMAN_Z_SCORE","FQ2 2021","FQ2 2021","Currency=USD","Period=FQ","BEST_FPERIOD_OVERRIDE=FQ","FILING_STATUS=MR","Sort=A","Dates=H","DateFormat=P","Fill=—","Direction=H","UseDPDF=Y")</f>
        <v>16.793199999999999</v>
      </c>
      <c r="AN22" s="21">
        <f>_xll.BDH("NVDA US Equity","ALTMAN_Z_SCORE","FQ3 2021","FQ3 2021","Currency=USD","Period=FQ","BEST_FPERIOD_OVERRIDE=FQ","FILING_STATUS=MR","Sort=A","Dates=H","DateFormat=P","Fill=—","Direction=H","UseDPDF=Y")</f>
        <v>20.7301</v>
      </c>
      <c r="AO22" s="21">
        <f>_xll.BDH("NVDA US Equity","ALTMAN_Z_SCORE","FQ4 2021","FQ4 2021","Currency=USD","Period=FQ","BEST_FPERIOD_OVERRIDE=FQ","FILING_STATUS=MR","Sort=A","Dates=H","DateFormat=P","Fill=—","Direction=H","UseDPDF=Y")</f>
        <v>19.5428</v>
      </c>
      <c r="AP22" s="21">
        <f>_xll.BDH("NVDA US Equity","ALTMAN_Z_SCORE","FQ1 2022","FQ1 2022","Currency=USD","Period=FQ","BEST_FPERIOD_OVERRIDE=FQ","FILING_STATUS=MR","Sort=A","Dates=H","DateFormat=P","Fill=—","Direction=H","UseDPDF=Y")</f>
        <v>22.125699999999998</v>
      </c>
    </row>
    <row r="23" spans="1:42" x14ac:dyDescent="0.25">
      <c r="A23" s="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7" t="s">
        <v>108</v>
      </c>
      <c r="B24" s="7" t="s">
        <v>107</v>
      </c>
      <c r="C24" s="8" t="str">
        <f>_xll.BDH("NVDA US Equity","BS_TOTAL_LINE_OF_CREDIT","FQ2 2012","FQ2 2012","Currency=USD","Period=FQ","BEST_FPERIOD_OVERRIDE=FQ","FILING_STATUS=MR","SCALING_FORMAT=MLN","Sort=A","Dates=H","DateFormat=P","Fill=—","Direction=H","UseDPDF=Y")</f>
        <v>—</v>
      </c>
      <c r="D24" s="8" t="str">
        <f>_xll.BDH("NVDA US Equity","BS_TOTAL_LINE_OF_CREDIT","FQ3 2012","FQ3 2012","Currency=USD","Period=FQ","BEST_FPERIOD_OVERRIDE=FQ","FILING_STATUS=MR","SCALING_FORMAT=MLN","Sort=A","Dates=H","DateFormat=P","Fill=—","Direction=H","UseDPDF=Y")</f>
        <v>—</v>
      </c>
      <c r="E24" s="8">
        <f>_xll.BDH("NVDA US Equity","BS_TOTAL_LINE_OF_CREDIT","FQ4 2012","FQ4 2012","Currency=USD","Period=FQ","BEST_FPERIOD_OVERRIDE=FQ","FILING_STATUS=MR","SCALING_FORMAT=MLN","Sort=A","Dates=H","DateFormat=P","Fill=—","Direction=H","UseDPDF=Y")</f>
        <v>12.4</v>
      </c>
      <c r="F24" s="8" t="str">
        <f>_xll.BDH("NVDA US Equity","BS_TOTAL_LINE_OF_CREDIT","FQ1 2013","FQ1 2013","Currency=USD","Period=FQ","BEST_FPERIOD_OVERRIDE=FQ","FILING_STATUS=MR","SCALING_FORMAT=MLN","Sort=A","Dates=H","DateFormat=P","Fill=—","Direction=H","UseDPDF=Y")</f>
        <v>—</v>
      </c>
      <c r="G24" s="8" t="str">
        <f>_xll.BDH("NVDA US Equity","BS_TOTAL_LINE_OF_CREDIT","FQ2 2013","FQ2 2013","Currency=USD","Period=FQ","BEST_FPERIOD_OVERRIDE=FQ","FILING_STATUS=MR","SCALING_FORMAT=MLN","Sort=A","Dates=H","DateFormat=P","Fill=—","Direction=H","UseDPDF=Y")</f>
        <v>—</v>
      </c>
      <c r="H24" s="8" t="str">
        <f>_xll.BDH("NVDA US Equity","BS_TOTAL_LINE_OF_CREDIT","FQ3 2013","FQ3 2013","Currency=USD","Period=FQ","BEST_FPERIOD_OVERRIDE=FQ","FILING_STATUS=MR","SCALING_FORMAT=MLN","Sort=A","Dates=H","DateFormat=P","Fill=—","Direction=H","UseDPDF=Y")</f>
        <v>—</v>
      </c>
      <c r="I24" s="8">
        <f>_xll.BDH("NVDA US Equity","BS_TOTAL_LINE_OF_CREDIT","FQ4 2013","FQ4 2013","Currency=USD","Period=FQ","BEST_FPERIOD_OVERRIDE=FQ","FILING_STATUS=MR","SCALING_FORMAT=MLN","Sort=A","Dates=H","DateFormat=P","Fill=—","Direction=H","UseDPDF=Y")</f>
        <v>9.1999999999999993</v>
      </c>
      <c r="J24" s="8" t="str">
        <f>_xll.BDH("NVDA US Equity","BS_TOTAL_LINE_OF_CREDIT","FQ1 2014","FQ1 2014","Currency=USD","Period=FQ","BEST_FPERIOD_OVERRIDE=FQ","FILING_STATUS=MR","SCALING_FORMAT=MLN","Sort=A","Dates=H","DateFormat=P","Fill=—","Direction=H","UseDPDF=Y")</f>
        <v>—</v>
      </c>
      <c r="K24" s="8" t="str">
        <f>_xll.BDH("NVDA US Equity","BS_TOTAL_LINE_OF_CREDIT","FQ2 2014","FQ2 2014","Currency=USD","Period=FQ","BEST_FPERIOD_OVERRIDE=FQ","FILING_STATUS=MR","SCALING_FORMAT=MLN","Sort=A","Dates=H","DateFormat=P","Fill=—","Direction=H","UseDPDF=Y")</f>
        <v>—</v>
      </c>
      <c r="L24" s="8" t="str">
        <f>_xll.BDH("NVDA US Equity","BS_TOTAL_LINE_OF_CREDIT","FQ3 2014","FQ3 2014","Currency=USD","Period=FQ","BEST_FPERIOD_OVERRIDE=FQ","FILING_STATUS=MR","SCALING_FORMAT=MLN","Sort=A","Dates=H","DateFormat=P","Fill=—","Direction=H","UseDPDF=Y")</f>
        <v>—</v>
      </c>
      <c r="M24" s="8">
        <f>_xll.BDH("NVDA US Equity","BS_TOTAL_LINE_OF_CREDIT","FQ4 2014","FQ4 2014","Currency=USD","Period=FQ","BEST_FPERIOD_OVERRIDE=FQ","FILING_STATUS=MR","SCALING_FORMAT=MLN","Sort=A","Dates=H","DateFormat=P","Fill=—","Direction=H","UseDPDF=Y")</f>
        <v>23.1</v>
      </c>
      <c r="N24" s="8" t="str">
        <f>_xll.BDH("NVDA US Equity","BS_TOTAL_LINE_OF_CREDIT","FQ1 2015","FQ1 2015","Currency=USD","Period=FQ","BEST_FPERIOD_OVERRIDE=FQ","FILING_STATUS=MR","SCALING_FORMAT=MLN","Sort=A","Dates=H","DateFormat=P","Fill=—","Direction=H","UseDPDF=Y")</f>
        <v>—</v>
      </c>
      <c r="O24" s="8" t="str">
        <f>_xll.BDH("NVDA US Equity","BS_TOTAL_LINE_OF_CREDIT","FQ2 2015","FQ2 2015","Currency=USD","Period=FQ","BEST_FPERIOD_OVERRIDE=FQ","FILING_STATUS=MR","SCALING_FORMAT=MLN","Sort=A","Dates=H","DateFormat=P","Fill=—","Direction=H","UseDPDF=Y")</f>
        <v>—</v>
      </c>
      <c r="P24" s="8" t="str">
        <f>_xll.BDH("NVDA US Equity","BS_TOTAL_LINE_OF_CREDIT","FQ3 2015","FQ3 2015","Currency=USD","Period=FQ","BEST_FPERIOD_OVERRIDE=FQ","FILING_STATUS=MR","SCALING_FORMAT=MLN","Sort=A","Dates=H","DateFormat=P","Fill=—","Direction=H","UseDPDF=Y")</f>
        <v>—</v>
      </c>
      <c r="Q24" s="8" t="str">
        <f>_xll.BDH("NVDA US Equity","BS_TOTAL_LINE_OF_CREDIT","FQ4 2015","FQ4 2015","Currency=USD","Period=FQ","BEST_FPERIOD_OVERRIDE=FQ","FILING_STATUS=MR","SCALING_FORMAT=MLN","Sort=A","Dates=H","DateFormat=P","Fill=—","Direction=H","UseDPDF=Y")</f>
        <v>—</v>
      </c>
      <c r="R24" s="8" t="str">
        <f>_xll.BDH("NVDA US Equity","BS_TOTAL_LINE_OF_CREDIT","FQ1 2016","FQ1 2016","Currency=USD","Period=FQ","BEST_FPERIOD_OVERRIDE=FQ","FILING_STATUS=MR","SCALING_FORMAT=MLN","Sort=A","Dates=H","DateFormat=P","Fill=—","Direction=H","UseDPDF=Y")</f>
        <v>—</v>
      </c>
      <c r="S24" s="8" t="str">
        <f>_xll.BDH("NVDA US Equity","BS_TOTAL_LINE_OF_CREDIT","FQ2 2016","FQ2 2016","Currency=USD","Period=FQ","BEST_FPERIOD_OVERRIDE=FQ","FILING_STATUS=MR","SCALING_FORMAT=MLN","Sort=A","Dates=H","DateFormat=P","Fill=—","Direction=H","UseDPDF=Y")</f>
        <v>—</v>
      </c>
      <c r="T24" s="8" t="str">
        <f>_xll.BDH("NVDA US Equity","BS_TOTAL_LINE_OF_CREDIT","FQ3 2016","FQ3 2016","Currency=USD","Period=FQ","BEST_FPERIOD_OVERRIDE=FQ","FILING_STATUS=MR","SCALING_FORMAT=MLN","Sort=A","Dates=H","DateFormat=P","Fill=—","Direction=H","UseDPDF=Y")</f>
        <v>—</v>
      </c>
      <c r="U24" s="8" t="str">
        <f>_xll.BDH("NVDA US Equity","BS_TOTAL_LINE_OF_CREDIT","FQ4 2016","FQ4 2016","Currency=USD","Period=FQ","BEST_FPERIOD_OVERRIDE=FQ","FILING_STATUS=MR","SCALING_FORMAT=MLN","Sort=A","Dates=H","DateFormat=P","Fill=—","Direction=H","UseDPDF=Y")</f>
        <v>—</v>
      </c>
      <c r="V24" s="8" t="str">
        <f>_xll.BDH("NVDA US Equity","BS_TOTAL_LINE_OF_CREDIT","FQ1 2017","FQ1 2017","Currency=USD","Period=FQ","BEST_FPERIOD_OVERRIDE=FQ","FILING_STATUS=MR","SCALING_FORMAT=MLN","Sort=A","Dates=H","DateFormat=P","Fill=—","Direction=H","UseDPDF=Y")</f>
        <v>—</v>
      </c>
      <c r="W24" s="8" t="str">
        <f>_xll.BDH("NVDA US Equity","BS_TOTAL_LINE_OF_CREDIT","FQ2 2017","FQ2 2017","Currency=USD","Period=FQ","BEST_FPERIOD_OVERRIDE=FQ","FILING_STATUS=MR","SCALING_FORMAT=MLN","Sort=A","Dates=H","DateFormat=P","Fill=—","Direction=H","UseDPDF=Y")</f>
        <v>—</v>
      </c>
      <c r="X24" s="8">
        <f>_xll.BDH("NVDA US Equity","BS_TOTAL_LINE_OF_CREDIT","FQ3 2017","FQ3 2017","Currency=USD","Period=FQ","BEST_FPERIOD_OVERRIDE=FQ","FILING_STATUS=MR","SCALING_FORMAT=MLN","Sort=A","Dates=H","DateFormat=P","Fill=—","Direction=H","UseDPDF=Y")</f>
        <v>575</v>
      </c>
      <c r="Y24" s="8">
        <f>_xll.BDH("NVDA US Equity","BS_TOTAL_LINE_OF_CREDIT","FQ4 2017","FQ4 2017","Currency=USD","Period=FQ","BEST_FPERIOD_OVERRIDE=FQ","FILING_STATUS=MR","SCALING_FORMAT=MLN","Sort=A","Dates=H","DateFormat=P","Fill=—","Direction=H","UseDPDF=Y")</f>
        <v>575</v>
      </c>
      <c r="Z24" s="8" t="str">
        <f>_xll.BDH("NVDA US Equity","BS_TOTAL_LINE_OF_CREDIT","FQ1 2018","FQ1 2018","Currency=USD","Period=FQ","BEST_FPERIOD_OVERRIDE=FQ","FILING_STATUS=MR","SCALING_FORMAT=MLN","Sort=A","Dates=H","DateFormat=P","Fill=—","Direction=H","UseDPDF=Y")</f>
        <v>—</v>
      </c>
      <c r="AA24" s="8" t="str">
        <f>_xll.BDH("NVDA US Equity","BS_TOTAL_LINE_OF_CREDIT","FQ2 2018","FQ2 2018","Currency=USD","Period=FQ","BEST_FPERIOD_OVERRIDE=FQ","FILING_STATUS=MR","SCALING_FORMAT=MLN","Sort=A","Dates=H","DateFormat=P","Fill=—","Direction=H","UseDPDF=Y")</f>
        <v>—</v>
      </c>
      <c r="AB24" s="8" t="str">
        <f>_xll.BDH("NVDA US Equity","BS_TOTAL_LINE_OF_CREDIT","FQ3 2018","FQ3 2018","Currency=USD","Period=FQ","BEST_FPERIOD_OVERRIDE=FQ","FILING_STATUS=MR","SCALING_FORMAT=MLN","Sort=A","Dates=H","DateFormat=P","Fill=—","Direction=H","UseDPDF=Y")</f>
        <v>—</v>
      </c>
      <c r="AC24" s="8">
        <f>_xll.BDH("NVDA US Equity","BS_TOTAL_LINE_OF_CREDIT","FQ4 2018","FQ4 2018","Currency=USD","Period=FQ","BEST_FPERIOD_OVERRIDE=FQ","FILING_STATUS=MR","SCALING_FORMAT=MLN","Sort=A","Dates=H","DateFormat=P","Fill=—","Direction=H","UseDPDF=Y")</f>
        <v>575</v>
      </c>
      <c r="AD24" s="8" t="str">
        <f>_xll.BDH("NVDA US Equity","BS_TOTAL_LINE_OF_CREDIT","FQ1 2019","FQ1 2019","Currency=USD","Period=FQ","BEST_FPERIOD_OVERRIDE=FQ","FILING_STATUS=MR","SCALING_FORMAT=MLN","Sort=A","Dates=H","DateFormat=P","Fill=—","Direction=H","UseDPDF=Y")</f>
        <v>—</v>
      </c>
      <c r="AE24" s="8" t="str">
        <f>_xll.BDH("NVDA US Equity","BS_TOTAL_LINE_OF_CREDIT","FQ2 2019","FQ2 2019","Currency=USD","Period=FQ","BEST_FPERIOD_OVERRIDE=FQ","FILING_STATUS=MR","SCALING_FORMAT=MLN","Sort=A","Dates=H","DateFormat=P","Fill=—","Direction=H","UseDPDF=Y")</f>
        <v>—</v>
      </c>
      <c r="AF24" s="8" t="str">
        <f>_xll.BDH("NVDA US Equity","BS_TOTAL_LINE_OF_CREDIT","FQ3 2019","FQ3 2019","Currency=USD","Period=FQ","BEST_FPERIOD_OVERRIDE=FQ","FILING_STATUS=MR","SCALING_FORMAT=MLN","Sort=A","Dates=H","DateFormat=P","Fill=—","Direction=H","UseDPDF=Y")</f>
        <v>—</v>
      </c>
      <c r="AG24" s="8">
        <f>_xll.BDH("NVDA US Equity","BS_TOTAL_LINE_OF_CREDIT","FQ4 2019","FQ4 2019","Currency=USD","Period=FQ","BEST_FPERIOD_OVERRIDE=FQ","FILING_STATUS=MR","SCALING_FORMAT=MLN","Sort=A","Dates=H","DateFormat=P","Fill=—","Direction=H","UseDPDF=Y")</f>
        <v>575</v>
      </c>
      <c r="AH24" s="8" t="str">
        <f>_xll.BDH("NVDA US Equity","BS_TOTAL_LINE_OF_CREDIT","FQ1 2020","FQ1 2020","Currency=USD","Period=FQ","BEST_FPERIOD_OVERRIDE=FQ","FILING_STATUS=MR","SCALING_FORMAT=MLN","Sort=A","Dates=H","DateFormat=P","Fill=—","Direction=H","UseDPDF=Y")</f>
        <v>—</v>
      </c>
      <c r="AI24" s="8" t="str">
        <f>_xll.BDH("NVDA US Equity","BS_TOTAL_LINE_OF_CREDIT","FQ2 2020","FQ2 2020","Currency=USD","Period=FQ","BEST_FPERIOD_OVERRIDE=FQ","FILING_STATUS=MR","SCALING_FORMAT=MLN","Sort=A","Dates=H","DateFormat=P","Fill=—","Direction=H","UseDPDF=Y")</f>
        <v>—</v>
      </c>
      <c r="AJ24" s="8" t="str">
        <f>_xll.BDH("NVDA US Equity","BS_TOTAL_LINE_OF_CREDIT","FQ3 2020","FQ3 2020","Currency=USD","Period=FQ","BEST_FPERIOD_OVERRIDE=FQ","FILING_STATUS=MR","SCALING_FORMAT=MLN","Sort=A","Dates=H","DateFormat=P","Fill=—","Direction=H","UseDPDF=Y")</f>
        <v>—</v>
      </c>
      <c r="AK24" s="8">
        <f>_xll.BDH("NVDA US Equity","BS_TOTAL_LINE_OF_CREDIT","FQ4 2020","FQ4 2020","Currency=USD","Period=FQ","BEST_FPERIOD_OVERRIDE=FQ","FILING_STATUS=MR","SCALING_FORMAT=MLN","Sort=A","Dates=H","DateFormat=P","Fill=—","Direction=H","UseDPDF=Y")</f>
        <v>575</v>
      </c>
      <c r="AL24" s="8">
        <f>_xll.BDH("NVDA US Equity","BS_TOTAL_LINE_OF_CREDIT","FQ1 2021","FQ1 2021","Currency=USD","Period=FQ","BEST_FPERIOD_OVERRIDE=FQ","FILING_STATUS=MR","SCALING_FORMAT=MLN","Sort=A","Dates=H","DateFormat=P","Fill=—","Direction=H","UseDPDF=Y")</f>
        <v>575</v>
      </c>
      <c r="AM24" s="8" t="str">
        <f>_xll.BDH("NVDA US Equity","BS_TOTAL_LINE_OF_CREDIT","FQ2 2021","FQ2 2021","Currency=USD","Period=FQ","BEST_FPERIOD_OVERRIDE=FQ","FILING_STATUS=MR","SCALING_FORMAT=MLN","Sort=A","Dates=H","DateFormat=P","Fill=—","Direction=H","UseDPDF=Y")</f>
        <v>—</v>
      </c>
      <c r="AN24" s="8" t="str">
        <f>_xll.BDH("NVDA US Equity","BS_TOTAL_LINE_OF_CREDIT","FQ3 2021","FQ3 2021","Currency=USD","Period=FQ","BEST_FPERIOD_OVERRIDE=FQ","FILING_STATUS=MR","SCALING_FORMAT=MLN","Sort=A","Dates=H","DateFormat=P","Fill=—","Direction=H","UseDPDF=Y")</f>
        <v>—</v>
      </c>
      <c r="AO24" s="8">
        <f>_xll.BDH("NVDA US Equity","BS_TOTAL_LINE_OF_CREDIT","FQ4 2021","FQ4 2021","Currency=USD","Period=FQ","BEST_FPERIOD_OVERRIDE=FQ","FILING_STATUS=MR","SCALING_FORMAT=MLN","Sort=A","Dates=H","DateFormat=P","Fill=—","Direction=H","UseDPDF=Y")</f>
        <v>575</v>
      </c>
      <c r="AP24" s="8">
        <f>_xll.BDH("NVDA US Equity","BS_TOTAL_LINE_OF_CREDIT","FQ1 2022","FQ1 2022","Currency=USD","Period=FQ","BEST_FPERIOD_OVERRIDE=FQ","FILING_STATUS=MR","SCALING_FORMAT=MLN","Sort=A","Dates=H","DateFormat=P","Fill=—","Direction=H","UseDPDF=Y")</f>
        <v>575</v>
      </c>
    </row>
    <row r="25" spans="1:42" x14ac:dyDescent="0.25">
      <c r="A25" s="7" t="s">
        <v>106</v>
      </c>
      <c r="B25" s="7" t="s">
        <v>105</v>
      </c>
      <c r="C25" s="8" t="str">
        <f>_xll.BDH("NVDA US Equity","BS_TOTAL_AVAIL_LINE_OF_CREDIT","FQ2 2012","FQ2 2012","Currency=USD","Period=FQ","BEST_FPERIOD_OVERRIDE=FQ","FILING_STATUS=MR","SCALING_FORMAT=MLN","Sort=A","Dates=H","DateFormat=P","Fill=—","Direction=H","UseDPDF=Y")</f>
        <v>—</v>
      </c>
      <c r="D25" s="8" t="str">
        <f>_xll.BDH("NVDA US Equity","BS_TOTAL_AVAIL_LINE_OF_CREDIT","FQ3 2012","FQ3 2012","Currency=USD","Period=FQ","BEST_FPERIOD_OVERRIDE=FQ","FILING_STATUS=MR","SCALING_FORMAT=MLN","Sort=A","Dates=H","DateFormat=P","Fill=—","Direction=H","UseDPDF=Y")</f>
        <v>—</v>
      </c>
      <c r="E25" s="8" t="str">
        <f>_xll.BDH("NVDA US Equity","BS_TOTAL_AVAIL_LINE_OF_CREDIT","FQ4 2012","FQ4 2012","Currency=USD","Period=FQ","BEST_FPERIOD_OVERRIDE=FQ","FILING_STATUS=MR","SCALING_FORMAT=MLN","Sort=A","Dates=H","DateFormat=P","Fill=—","Direction=H","UseDPDF=Y")</f>
        <v>—</v>
      </c>
      <c r="F25" s="8" t="str">
        <f>_xll.BDH("NVDA US Equity","BS_TOTAL_AVAIL_LINE_OF_CREDIT","FQ1 2013","FQ1 2013","Currency=USD","Period=FQ","BEST_FPERIOD_OVERRIDE=FQ","FILING_STATUS=MR","SCALING_FORMAT=MLN","Sort=A","Dates=H","DateFormat=P","Fill=—","Direction=H","UseDPDF=Y")</f>
        <v>—</v>
      </c>
      <c r="G25" s="8" t="str">
        <f>_xll.BDH("NVDA US Equity","BS_TOTAL_AVAIL_LINE_OF_CREDIT","FQ2 2013","FQ2 2013","Currency=USD","Period=FQ","BEST_FPERIOD_OVERRIDE=FQ","FILING_STATUS=MR","SCALING_FORMAT=MLN","Sort=A","Dates=H","DateFormat=P","Fill=—","Direction=H","UseDPDF=Y")</f>
        <v>—</v>
      </c>
      <c r="H25" s="8" t="str">
        <f>_xll.BDH("NVDA US Equity","BS_TOTAL_AVAIL_LINE_OF_CREDIT","FQ3 2013","FQ3 2013","Currency=USD","Period=FQ","BEST_FPERIOD_OVERRIDE=FQ","FILING_STATUS=MR","SCALING_FORMAT=MLN","Sort=A","Dates=H","DateFormat=P","Fill=—","Direction=H","UseDPDF=Y")</f>
        <v>—</v>
      </c>
      <c r="I25" s="8" t="str">
        <f>_xll.BDH("NVDA US Equity","BS_TOTAL_AVAIL_LINE_OF_CREDIT","FQ4 2013","FQ4 2013","Currency=USD","Period=FQ","BEST_FPERIOD_OVERRIDE=FQ","FILING_STATUS=MR","SCALING_FORMAT=MLN","Sort=A","Dates=H","DateFormat=P","Fill=—","Direction=H","UseDPDF=Y")</f>
        <v>—</v>
      </c>
      <c r="J25" s="8" t="str">
        <f>_xll.BDH("NVDA US Equity","BS_TOTAL_AVAIL_LINE_OF_CREDIT","FQ1 2014","FQ1 2014","Currency=USD","Period=FQ","BEST_FPERIOD_OVERRIDE=FQ","FILING_STATUS=MR","SCALING_FORMAT=MLN","Sort=A","Dates=H","DateFormat=P","Fill=—","Direction=H","UseDPDF=Y")</f>
        <v>—</v>
      </c>
      <c r="K25" s="8" t="str">
        <f>_xll.BDH("NVDA US Equity","BS_TOTAL_AVAIL_LINE_OF_CREDIT","FQ2 2014","FQ2 2014","Currency=USD","Period=FQ","BEST_FPERIOD_OVERRIDE=FQ","FILING_STATUS=MR","SCALING_FORMAT=MLN","Sort=A","Dates=H","DateFormat=P","Fill=—","Direction=H","UseDPDF=Y")</f>
        <v>—</v>
      </c>
      <c r="L25" s="8" t="str">
        <f>_xll.BDH("NVDA US Equity","BS_TOTAL_AVAIL_LINE_OF_CREDIT","FQ3 2014","FQ3 2014","Currency=USD","Period=FQ","BEST_FPERIOD_OVERRIDE=FQ","FILING_STATUS=MR","SCALING_FORMAT=MLN","Sort=A","Dates=H","DateFormat=P","Fill=—","Direction=H","UseDPDF=Y")</f>
        <v>—</v>
      </c>
      <c r="M25" s="8">
        <f>_xll.BDH("NVDA US Equity","BS_TOTAL_AVAIL_LINE_OF_CREDIT","FQ4 2014","FQ4 2014","Currency=USD","Period=FQ","BEST_FPERIOD_OVERRIDE=FQ","FILING_STATUS=MR","SCALING_FORMAT=MLN","Sort=A","Dates=H","DateFormat=P","Fill=—","Direction=H","UseDPDF=Y")</f>
        <v>23.1</v>
      </c>
      <c r="N25" s="8" t="str">
        <f>_xll.BDH("NVDA US Equity","BS_TOTAL_AVAIL_LINE_OF_CREDIT","FQ1 2015","FQ1 2015","Currency=USD","Period=FQ","BEST_FPERIOD_OVERRIDE=FQ","FILING_STATUS=MR","SCALING_FORMAT=MLN","Sort=A","Dates=H","DateFormat=P","Fill=—","Direction=H","UseDPDF=Y")</f>
        <v>—</v>
      </c>
      <c r="O25" s="8" t="str">
        <f>_xll.BDH("NVDA US Equity","BS_TOTAL_AVAIL_LINE_OF_CREDIT","FQ2 2015","FQ2 2015","Currency=USD","Period=FQ","BEST_FPERIOD_OVERRIDE=FQ","FILING_STATUS=MR","SCALING_FORMAT=MLN","Sort=A","Dates=H","DateFormat=P","Fill=—","Direction=H","UseDPDF=Y")</f>
        <v>—</v>
      </c>
      <c r="P25" s="8" t="str">
        <f>_xll.BDH("NVDA US Equity","BS_TOTAL_AVAIL_LINE_OF_CREDIT","FQ3 2015","FQ3 2015","Currency=USD","Period=FQ","BEST_FPERIOD_OVERRIDE=FQ","FILING_STATUS=MR","SCALING_FORMAT=MLN","Sort=A","Dates=H","DateFormat=P","Fill=—","Direction=H","UseDPDF=Y")</f>
        <v>—</v>
      </c>
      <c r="Q25" s="8" t="str">
        <f>_xll.BDH("NVDA US Equity","BS_TOTAL_AVAIL_LINE_OF_CREDIT","FQ4 2015","FQ4 2015","Currency=USD","Period=FQ","BEST_FPERIOD_OVERRIDE=FQ","FILING_STATUS=MR","SCALING_FORMAT=MLN","Sort=A","Dates=H","DateFormat=P","Fill=—","Direction=H","UseDPDF=Y")</f>
        <v>—</v>
      </c>
      <c r="R25" s="8" t="str">
        <f>_xll.BDH("NVDA US Equity","BS_TOTAL_AVAIL_LINE_OF_CREDIT","FQ1 2016","FQ1 2016","Currency=USD","Period=FQ","BEST_FPERIOD_OVERRIDE=FQ","FILING_STATUS=MR","SCALING_FORMAT=MLN","Sort=A","Dates=H","DateFormat=P","Fill=—","Direction=H","UseDPDF=Y")</f>
        <v>—</v>
      </c>
      <c r="S25" s="8" t="str">
        <f>_xll.BDH("NVDA US Equity","BS_TOTAL_AVAIL_LINE_OF_CREDIT","FQ2 2016","FQ2 2016","Currency=USD","Period=FQ","BEST_FPERIOD_OVERRIDE=FQ","FILING_STATUS=MR","SCALING_FORMAT=MLN","Sort=A","Dates=H","DateFormat=P","Fill=—","Direction=H","UseDPDF=Y")</f>
        <v>—</v>
      </c>
      <c r="T25" s="8" t="str">
        <f>_xll.BDH("NVDA US Equity","BS_TOTAL_AVAIL_LINE_OF_CREDIT","FQ3 2016","FQ3 2016","Currency=USD","Period=FQ","BEST_FPERIOD_OVERRIDE=FQ","FILING_STATUS=MR","SCALING_FORMAT=MLN","Sort=A","Dates=H","DateFormat=P","Fill=—","Direction=H","UseDPDF=Y")</f>
        <v>—</v>
      </c>
      <c r="U25" s="8" t="str">
        <f>_xll.BDH("NVDA US Equity","BS_TOTAL_AVAIL_LINE_OF_CREDIT","FQ4 2016","FQ4 2016","Currency=USD","Period=FQ","BEST_FPERIOD_OVERRIDE=FQ","FILING_STATUS=MR","SCALING_FORMAT=MLN","Sort=A","Dates=H","DateFormat=P","Fill=—","Direction=H","UseDPDF=Y")</f>
        <v>—</v>
      </c>
      <c r="V25" s="8" t="str">
        <f>_xll.BDH("NVDA US Equity","BS_TOTAL_AVAIL_LINE_OF_CREDIT","FQ1 2017","FQ1 2017","Currency=USD","Period=FQ","BEST_FPERIOD_OVERRIDE=FQ","FILING_STATUS=MR","SCALING_FORMAT=MLN","Sort=A","Dates=H","DateFormat=P","Fill=—","Direction=H","UseDPDF=Y")</f>
        <v>—</v>
      </c>
      <c r="W25" s="8" t="str">
        <f>_xll.BDH("NVDA US Equity","BS_TOTAL_AVAIL_LINE_OF_CREDIT","FQ2 2017","FQ2 2017","Currency=USD","Period=FQ","BEST_FPERIOD_OVERRIDE=FQ","FILING_STATUS=MR","SCALING_FORMAT=MLN","Sort=A","Dates=H","DateFormat=P","Fill=—","Direction=H","UseDPDF=Y")</f>
        <v>—</v>
      </c>
      <c r="X25" s="8">
        <f>_xll.BDH("NVDA US Equity","BS_TOTAL_AVAIL_LINE_OF_CREDIT","FQ3 2017","FQ3 2017","Currency=USD","Period=FQ","BEST_FPERIOD_OVERRIDE=FQ","FILING_STATUS=MR","SCALING_FORMAT=MLN","Sort=A","Dates=H","DateFormat=P","Fill=—","Direction=H","UseDPDF=Y")</f>
        <v>575</v>
      </c>
      <c r="Y25" s="8">
        <f>_xll.BDH("NVDA US Equity","BS_TOTAL_AVAIL_LINE_OF_CREDIT","FQ4 2017","FQ4 2017","Currency=USD","Period=FQ","BEST_FPERIOD_OVERRIDE=FQ","FILING_STATUS=MR","SCALING_FORMAT=MLN","Sort=A","Dates=H","DateFormat=P","Fill=—","Direction=H","UseDPDF=Y")</f>
        <v>575</v>
      </c>
      <c r="Z25" s="8" t="str">
        <f>_xll.BDH("NVDA US Equity","BS_TOTAL_AVAIL_LINE_OF_CREDIT","FQ1 2018","FQ1 2018","Currency=USD","Period=FQ","BEST_FPERIOD_OVERRIDE=FQ","FILING_STATUS=MR","SCALING_FORMAT=MLN","Sort=A","Dates=H","DateFormat=P","Fill=—","Direction=H","UseDPDF=Y")</f>
        <v>—</v>
      </c>
      <c r="AA25" s="8" t="str">
        <f>_xll.BDH("NVDA US Equity","BS_TOTAL_AVAIL_LINE_OF_CREDIT","FQ2 2018","FQ2 2018","Currency=USD","Period=FQ","BEST_FPERIOD_OVERRIDE=FQ","FILING_STATUS=MR","SCALING_FORMAT=MLN","Sort=A","Dates=H","DateFormat=P","Fill=—","Direction=H","UseDPDF=Y")</f>
        <v>—</v>
      </c>
      <c r="AB25" s="8" t="str">
        <f>_xll.BDH("NVDA US Equity","BS_TOTAL_AVAIL_LINE_OF_CREDIT","FQ3 2018","FQ3 2018","Currency=USD","Period=FQ","BEST_FPERIOD_OVERRIDE=FQ","FILING_STATUS=MR","SCALING_FORMAT=MLN","Sort=A","Dates=H","DateFormat=P","Fill=—","Direction=H","UseDPDF=Y")</f>
        <v>—</v>
      </c>
      <c r="AC25" s="8">
        <f>_xll.BDH("NVDA US Equity","BS_TOTAL_AVAIL_LINE_OF_CREDIT","FQ4 2018","FQ4 2018","Currency=USD","Period=FQ","BEST_FPERIOD_OVERRIDE=FQ","FILING_STATUS=MR","SCALING_FORMAT=MLN","Sort=A","Dates=H","DateFormat=P","Fill=—","Direction=H","UseDPDF=Y")</f>
        <v>575</v>
      </c>
      <c r="AD25" s="8" t="str">
        <f>_xll.BDH("NVDA US Equity","BS_TOTAL_AVAIL_LINE_OF_CREDIT","FQ1 2019","FQ1 2019","Currency=USD","Period=FQ","BEST_FPERIOD_OVERRIDE=FQ","FILING_STATUS=MR","SCALING_FORMAT=MLN","Sort=A","Dates=H","DateFormat=P","Fill=—","Direction=H","UseDPDF=Y")</f>
        <v>—</v>
      </c>
      <c r="AE25" s="8" t="str">
        <f>_xll.BDH("NVDA US Equity","BS_TOTAL_AVAIL_LINE_OF_CREDIT","FQ2 2019","FQ2 2019","Currency=USD","Period=FQ","BEST_FPERIOD_OVERRIDE=FQ","FILING_STATUS=MR","SCALING_FORMAT=MLN","Sort=A","Dates=H","DateFormat=P","Fill=—","Direction=H","UseDPDF=Y")</f>
        <v>—</v>
      </c>
      <c r="AF25" s="8" t="str">
        <f>_xll.BDH("NVDA US Equity","BS_TOTAL_AVAIL_LINE_OF_CREDIT","FQ3 2019","FQ3 2019","Currency=USD","Period=FQ","BEST_FPERIOD_OVERRIDE=FQ","FILING_STATUS=MR","SCALING_FORMAT=MLN","Sort=A","Dates=H","DateFormat=P","Fill=—","Direction=H","UseDPDF=Y")</f>
        <v>—</v>
      </c>
      <c r="AG25" s="8">
        <f>_xll.BDH("NVDA US Equity","BS_TOTAL_AVAIL_LINE_OF_CREDIT","FQ4 2019","FQ4 2019","Currency=USD","Period=FQ","BEST_FPERIOD_OVERRIDE=FQ","FILING_STATUS=MR","SCALING_FORMAT=MLN","Sort=A","Dates=H","DateFormat=P","Fill=—","Direction=H","UseDPDF=Y")</f>
        <v>575</v>
      </c>
      <c r="AH25" s="8" t="str">
        <f>_xll.BDH("NVDA US Equity","BS_TOTAL_AVAIL_LINE_OF_CREDIT","FQ1 2020","FQ1 2020","Currency=USD","Period=FQ","BEST_FPERIOD_OVERRIDE=FQ","FILING_STATUS=MR","SCALING_FORMAT=MLN","Sort=A","Dates=H","DateFormat=P","Fill=—","Direction=H","UseDPDF=Y")</f>
        <v>—</v>
      </c>
      <c r="AI25" s="8" t="str">
        <f>_xll.BDH("NVDA US Equity","BS_TOTAL_AVAIL_LINE_OF_CREDIT","FQ2 2020","FQ2 2020","Currency=USD","Period=FQ","BEST_FPERIOD_OVERRIDE=FQ","FILING_STATUS=MR","SCALING_FORMAT=MLN","Sort=A","Dates=H","DateFormat=P","Fill=—","Direction=H","UseDPDF=Y")</f>
        <v>—</v>
      </c>
      <c r="AJ25" s="8" t="str">
        <f>_xll.BDH("NVDA US Equity","BS_TOTAL_AVAIL_LINE_OF_CREDIT","FQ3 2020","FQ3 2020","Currency=USD","Period=FQ","BEST_FPERIOD_OVERRIDE=FQ","FILING_STATUS=MR","SCALING_FORMAT=MLN","Sort=A","Dates=H","DateFormat=P","Fill=—","Direction=H","UseDPDF=Y")</f>
        <v>—</v>
      </c>
      <c r="AK25" s="8">
        <f>_xll.BDH("NVDA US Equity","BS_TOTAL_AVAIL_LINE_OF_CREDIT","FQ4 2020","FQ4 2020","Currency=USD","Period=FQ","BEST_FPERIOD_OVERRIDE=FQ","FILING_STATUS=MR","SCALING_FORMAT=MLN","Sort=A","Dates=H","DateFormat=P","Fill=—","Direction=H","UseDPDF=Y")</f>
        <v>575</v>
      </c>
      <c r="AL25" s="8">
        <f>_xll.BDH("NVDA US Equity","BS_TOTAL_AVAIL_LINE_OF_CREDIT","FQ1 2021","FQ1 2021","Currency=USD","Period=FQ","BEST_FPERIOD_OVERRIDE=FQ","FILING_STATUS=MR","SCALING_FORMAT=MLN","Sort=A","Dates=H","DateFormat=P","Fill=—","Direction=H","UseDPDF=Y")</f>
        <v>575</v>
      </c>
      <c r="AM25" s="8">
        <f>_xll.BDH("NVDA US Equity","BS_TOTAL_AVAIL_LINE_OF_CREDIT","FQ2 2021","FQ2 2021","Currency=USD","Period=FQ","BEST_FPERIOD_OVERRIDE=FQ","FILING_STATUS=MR","SCALING_FORMAT=MLN","Sort=A","Dates=H","DateFormat=P","Fill=—","Direction=H","UseDPDF=Y")</f>
        <v>0</v>
      </c>
      <c r="AN25" s="8" t="str">
        <f>_xll.BDH("NVDA US Equity","BS_TOTAL_AVAIL_LINE_OF_CREDIT","FQ3 2021","FQ3 2021","Currency=USD","Period=FQ","BEST_FPERIOD_OVERRIDE=FQ","FILING_STATUS=MR","SCALING_FORMAT=MLN","Sort=A","Dates=H","DateFormat=P","Fill=—","Direction=H","UseDPDF=Y")</f>
        <v>—</v>
      </c>
      <c r="AO25" s="8">
        <f>_xll.BDH("NVDA US Equity","BS_TOTAL_AVAIL_LINE_OF_CREDIT","FQ4 2021","FQ4 2021","Currency=USD","Period=FQ","BEST_FPERIOD_OVERRIDE=FQ","FILING_STATUS=MR","SCALING_FORMAT=MLN","Sort=A","Dates=H","DateFormat=P","Fill=—","Direction=H","UseDPDF=Y")</f>
        <v>575</v>
      </c>
      <c r="AP25" s="8">
        <f>_xll.BDH("NVDA US Equity","BS_TOTAL_AVAIL_LINE_OF_CREDIT","FQ1 2022","FQ1 2022","Currency=USD","Period=FQ","BEST_FPERIOD_OVERRIDE=FQ","FILING_STATUS=MR","SCALING_FORMAT=MLN","Sort=A","Dates=H","DateFormat=P","Fill=—","Direction=H","UseDPDF=Y")</f>
        <v>575</v>
      </c>
    </row>
    <row r="26" spans="1:42" x14ac:dyDescent="0.25">
      <c r="A26" s="7" t="s">
        <v>104</v>
      </c>
      <c r="B26" s="7" t="s">
        <v>103</v>
      </c>
      <c r="C26" s="8" t="str">
        <f>_xll.BDH("NVDA US Equity","LINE_OF_CREDIT_UTILIZED_AMOUNT","FQ2 2012","FQ2 2012","Currency=USD","Period=FQ","BEST_FPERIOD_OVERRIDE=FQ","FILING_STATUS=MR","SCALING_FORMAT=MLN","Sort=A","Dates=H","DateFormat=P","Fill=—","Direction=H","UseDPDF=Y")</f>
        <v>—</v>
      </c>
      <c r="D26" s="8" t="str">
        <f>_xll.BDH("NVDA US Equity","LINE_OF_CREDIT_UTILIZED_AMOUNT","FQ3 2012","FQ3 2012","Currency=USD","Period=FQ","BEST_FPERIOD_OVERRIDE=FQ","FILING_STATUS=MR","SCALING_FORMAT=MLN","Sort=A","Dates=H","DateFormat=P","Fill=—","Direction=H","UseDPDF=Y")</f>
        <v>—</v>
      </c>
      <c r="E26" s="8" t="str">
        <f>_xll.BDH("NVDA US Equity","LINE_OF_CREDIT_UTILIZED_AMOUNT","FQ4 2012","FQ4 2012","Currency=USD","Period=FQ","BEST_FPERIOD_OVERRIDE=FQ","FILING_STATUS=MR","SCALING_FORMAT=MLN","Sort=A","Dates=H","DateFormat=P","Fill=—","Direction=H","UseDPDF=Y")</f>
        <v>—</v>
      </c>
      <c r="F26" s="8" t="str">
        <f>_xll.BDH("NVDA US Equity","LINE_OF_CREDIT_UTILIZED_AMOUNT","FQ1 2013","FQ1 2013","Currency=USD","Period=FQ","BEST_FPERIOD_OVERRIDE=FQ","FILING_STATUS=MR","SCALING_FORMAT=MLN","Sort=A","Dates=H","DateFormat=P","Fill=—","Direction=H","UseDPDF=Y")</f>
        <v>—</v>
      </c>
      <c r="G26" s="8" t="str">
        <f>_xll.BDH("NVDA US Equity","LINE_OF_CREDIT_UTILIZED_AMOUNT","FQ2 2013","FQ2 2013","Currency=USD","Period=FQ","BEST_FPERIOD_OVERRIDE=FQ","FILING_STATUS=MR","SCALING_FORMAT=MLN","Sort=A","Dates=H","DateFormat=P","Fill=—","Direction=H","UseDPDF=Y")</f>
        <v>—</v>
      </c>
      <c r="H26" s="8" t="str">
        <f>_xll.BDH("NVDA US Equity","LINE_OF_CREDIT_UTILIZED_AMOUNT","FQ3 2013","FQ3 2013","Currency=USD","Period=FQ","BEST_FPERIOD_OVERRIDE=FQ","FILING_STATUS=MR","SCALING_FORMAT=MLN","Sort=A","Dates=H","DateFormat=P","Fill=—","Direction=H","UseDPDF=Y")</f>
        <v>—</v>
      </c>
      <c r="I26" s="8" t="str">
        <f>_xll.BDH("NVDA US Equity","LINE_OF_CREDIT_UTILIZED_AMOUNT","FQ4 2013","FQ4 2013","Currency=USD","Period=FQ","BEST_FPERIOD_OVERRIDE=FQ","FILING_STATUS=MR","SCALING_FORMAT=MLN","Sort=A","Dates=H","DateFormat=P","Fill=—","Direction=H","UseDPDF=Y")</f>
        <v>—</v>
      </c>
      <c r="J26" s="8" t="str">
        <f>_xll.BDH("NVDA US Equity","LINE_OF_CREDIT_UTILIZED_AMOUNT","FQ1 2014","FQ1 2014","Currency=USD","Period=FQ","BEST_FPERIOD_OVERRIDE=FQ","FILING_STATUS=MR","SCALING_FORMAT=MLN","Sort=A","Dates=H","DateFormat=P","Fill=—","Direction=H","UseDPDF=Y")</f>
        <v>—</v>
      </c>
      <c r="K26" s="8" t="str">
        <f>_xll.BDH("NVDA US Equity","LINE_OF_CREDIT_UTILIZED_AMOUNT","FQ2 2014","FQ2 2014","Currency=USD","Period=FQ","BEST_FPERIOD_OVERRIDE=FQ","FILING_STATUS=MR","SCALING_FORMAT=MLN","Sort=A","Dates=H","DateFormat=P","Fill=—","Direction=H","UseDPDF=Y")</f>
        <v>—</v>
      </c>
      <c r="L26" s="8" t="str">
        <f>_xll.BDH("NVDA US Equity","LINE_OF_CREDIT_UTILIZED_AMOUNT","FQ3 2014","FQ3 2014","Currency=USD","Period=FQ","BEST_FPERIOD_OVERRIDE=FQ","FILING_STATUS=MR","SCALING_FORMAT=MLN","Sort=A","Dates=H","DateFormat=P","Fill=—","Direction=H","UseDPDF=Y")</f>
        <v>—</v>
      </c>
      <c r="M26" s="8">
        <f>_xll.BDH("NVDA US Equity","LINE_OF_CREDIT_UTILIZED_AMOUNT","FQ4 2014","FQ4 2014","Currency=USD","Period=FQ","BEST_FPERIOD_OVERRIDE=FQ","FILING_STATUS=MR","SCALING_FORMAT=MLN","Sort=A","Dates=H","DateFormat=P","Fill=—","Direction=H","UseDPDF=Y")</f>
        <v>0</v>
      </c>
      <c r="N26" s="8" t="str">
        <f>_xll.BDH("NVDA US Equity","LINE_OF_CREDIT_UTILIZED_AMOUNT","FQ1 2015","FQ1 2015","Currency=USD","Period=FQ","BEST_FPERIOD_OVERRIDE=FQ","FILING_STATUS=MR","SCALING_FORMAT=MLN","Sort=A","Dates=H","DateFormat=P","Fill=—","Direction=H","UseDPDF=Y")</f>
        <v>—</v>
      </c>
      <c r="O26" s="8" t="str">
        <f>_xll.BDH("NVDA US Equity","LINE_OF_CREDIT_UTILIZED_AMOUNT","FQ2 2015","FQ2 2015","Currency=USD","Period=FQ","BEST_FPERIOD_OVERRIDE=FQ","FILING_STATUS=MR","SCALING_FORMAT=MLN","Sort=A","Dates=H","DateFormat=P","Fill=—","Direction=H","UseDPDF=Y")</f>
        <v>—</v>
      </c>
      <c r="P26" s="8" t="str">
        <f>_xll.BDH("NVDA US Equity","LINE_OF_CREDIT_UTILIZED_AMOUNT","FQ3 2015","FQ3 2015","Currency=USD","Period=FQ","BEST_FPERIOD_OVERRIDE=FQ","FILING_STATUS=MR","SCALING_FORMAT=MLN","Sort=A","Dates=H","DateFormat=P","Fill=—","Direction=H","UseDPDF=Y")</f>
        <v>—</v>
      </c>
      <c r="Q26" s="8" t="str">
        <f>_xll.BDH("NVDA US Equity","LINE_OF_CREDIT_UTILIZED_AMOUNT","FQ4 2015","FQ4 2015","Currency=USD","Period=FQ","BEST_FPERIOD_OVERRIDE=FQ","FILING_STATUS=MR","SCALING_FORMAT=MLN","Sort=A","Dates=H","DateFormat=P","Fill=—","Direction=H","UseDPDF=Y")</f>
        <v>—</v>
      </c>
      <c r="R26" s="8" t="str">
        <f>_xll.BDH("NVDA US Equity","LINE_OF_CREDIT_UTILIZED_AMOUNT","FQ1 2016","FQ1 2016","Currency=USD","Period=FQ","BEST_FPERIOD_OVERRIDE=FQ","FILING_STATUS=MR","SCALING_FORMAT=MLN","Sort=A","Dates=H","DateFormat=P","Fill=—","Direction=H","UseDPDF=Y")</f>
        <v>—</v>
      </c>
      <c r="S26" s="8" t="str">
        <f>_xll.BDH("NVDA US Equity","LINE_OF_CREDIT_UTILIZED_AMOUNT","FQ2 2016","FQ2 2016","Currency=USD","Period=FQ","BEST_FPERIOD_OVERRIDE=FQ","FILING_STATUS=MR","SCALING_FORMAT=MLN","Sort=A","Dates=H","DateFormat=P","Fill=—","Direction=H","UseDPDF=Y")</f>
        <v>—</v>
      </c>
      <c r="T26" s="8" t="str">
        <f>_xll.BDH("NVDA US Equity","LINE_OF_CREDIT_UTILIZED_AMOUNT","FQ3 2016","FQ3 2016","Currency=USD","Period=FQ","BEST_FPERIOD_OVERRIDE=FQ","FILING_STATUS=MR","SCALING_FORMAT=MLN","Sort=A","Dates=H","DateFormat=P","Fill=—","Direction=H","UseDPDF=Y")</f>
        <v>—</v>
      </c>
      <c r="U26" s="8" t="str">
        <f>_xll.BDH("NVDA US Equity","LINE_OF_CREDIT_UTILIZED_AMOUNT","FQ4 2016","FQ4 2016","Currency=USD","Period=FQ","BEST_FPERIOD_OVERRIDE=FQ","FILING_STATUS=MR","SCALING_FORMAT=MLN","Sort=A","Dates=H","DateFormat=P","Fill=—","Direction=H","UseDPDF=Y")</f>
        <v>—</v>
      </c>
      <c r="V26" s="8" t="str">
        <f>_xll.BDH("NVDA US Equity","LINE_OF_CREDIT_UTILIZED_AMOUNT","FQ1 2017","FQ1 2017","Currency=USD","Period=FQ","BEST_FPERIOD_OVERRIDE=FQ","FILING_STATUS=MR","SCALING_FORMAT=MLN","Sort=A","Dates=H","DateFormat=P","Fill=—","Direction=H","UseDPDF=Y")</f>
        <v>—</v>
      </c>
      <c r="W26" s="8" t="str">
        <f>_xll.BDH("NVDA US Equity","LINE_OF_CREDIT_UTILIZED_AMOUNT","FQ2 2017","FQ2 2017","Currency=USD","Period=FQ","BEST_FPERIOD_OVERRIDE=FQ","FILING_STATUS=MR","SCALING_FORMAT=MLN","Sort=A","Dates=H","DateFormat=P","Fill=—","Direction=H","UseDPDF=Y")</f>
        <v>—</v>
      </c>
      <c r="X26" s="8">
        <f>_xll.BDH("NVDA US Equity","LINE_OF_CREDIT_UTILIZED_AMOUNT","FQ3 2017","FQ3 2017","Currency=USD","Period=FQ","BEST_FPERIOD_OVERRIDE=FQ","FILING_STATUS=MR","SCALING_FORMAT=MLN","Sort=A","Dates=H","DateFormat=P","Fill=—","Direction=H","UseDPDF=Y")</f>
        <v>0</v>
      </c>
      <c r="Y26" s="8">
        <f>_xll.BDH("NVDA US Equity","LINE_OF_CREDIT_UTILIZED_AMOUNT","FQ4 2017","FQ4 2017","Currency=USD","Period=FQ","BEST_FPERIOD_OVERRIDE=FQ","FILING_STATUS=MR","SCALING_FORMAT=MLN","Sort=A","Dates=H","DateFormat=P","Fill=—","Direction=H","UseDPDF=Y")</f>
        <v>0</v>
      </c>
      <c r="Z26" s="8" t="str">
        <f>_xll.BDH("NVDA US Equity","LINE_OF_CREDIT_UTILIZED_AMOUNT","FQ1 2018","FQ1 2018","Currency=USD","Period=FQ","BEST_FPERIOD_OVERRIDE=FQ","FILING_STATUS=MR","SCALING_FORMAT=MLN","Sort=A","Dates=H","DateFormat=P","Fill=—","Direction=H","UseDPDF=Y")</f>
        <v>—</v>
      </c>
      <c r="AA26" s="8" t="str">
        <f>_xll.BDH("NVDA US Equity","LINE_OF_CREDIT_UTILIZED_AMOUNT","FQ2 2018","FQ2 2018","Currency=USD","Period=FQ","BEST_FPERIOD_OVERRIDE=FQ","FILING_STATUS=MR","SCALING_FORMAT=MLN","Sort=A","Dates=H","DateFormat=P","Fill=—","Direction=H","UseDPDF=Y")</f>
        <v>—</v>
      </c>
      <c r="AB26" s="8" t="str">
        <f>_xll.BDH("NVDA US Equity","LINE_OF_CREDIT_UTILIZED_AMOUNT","FQ3 2018","FQ3 2018","Currency=USD","Period=FQ","BEST_FPERIOD_OVERRIDE=FQ","FILING_STATUS=MR","SCALING_FORMAT=MLN","Sort=A","Dates=H","DateFormat=P","Fill=—","Direction=H","UseDPDF=Y")</f>
        <v>—</v>
      </c>
      <c r="AC26" s="8">
        <f>_xll.BDH("NVDA US Equity","LINE_OF_CREDIT_UTILIZED_AMOUNT","FQ4 2018","FQ4 2018","Currency=USD","Period=FQ","BEST_FPERIOD_OVERRIDE=FQ","FILING_STATUS=MR","SCALING_FORMAT=MLN","Sort=A","Dates=H","DateFormat=P","Fill=—","Direction=H","UseDPDF=Y")</f>
        <v>0</v>
      </c>
      <c r="AD26" s="8" t="str">
        <f>_xll.BDH("NVDA US Equity","LINE_OF_CREDIT_UTILIZED_AMOUNT","FQ1 2019","FQ1 2019","Currency=USD","Period=FQ","BEST_FPERIOD_OVERRIDE=FQ","FILING_STATUS=MR","SCALING_FORMAT=MLN","Sort=A","Dates=H","DateFormat=P","Fill=—","Direction=H","UseDPDF=Y")</f>
        <v>—</v>
      </c>
      <c r="AE26" s="8" t="str">
        <f>_xll.BDH("NVDA US Equity","LINE_OF_CREDIT_UTILIZED_AMOUNT","FQ2 2019","FQ2 2019","Currency=USD","Period=FQ","BEST_FPERIOD_OVERRIDE=FQ","FILING_STATUS=MR","SCALING_FORMAT=MLN","Sort=A","Dates=H","DateFormat=P","Fill=—","Direction=H","UseDPDF=Y")</f>
        <v>—</v>
      </c>
      <c r="AF26" s="8" t="str">
        <f>_xll.BDH("NVDA US Equity","LINE_OF_CREDIT_UTILIZED_AMOUNT","FQ3 2019","FQ3 2019","Currency=USD","Period=FQ","BEST_FPERIOD_OVERRIDE=FQ","FILING_STATUS=MR","SCALING_FORMAT=MLN","Sort=A","Dates=H","DateFormat=P","Fill=—","Direction=H","UseDPDF=Y")</f>
        <v>—</v>
      </c>
      <c r="AG26" s="8">
        <f>_xll.BDH("NVDA US Equity","LINE_OF_CREDIT_UTILIZED_AMOUNT","FQ4 2019","FQ4 2019","Currency=USD","Period=FQ","BEST_FPERIOD_OVERRIDE=FQ","FILING_STATUS=MR","SCALING_FORMAT=MLN","Sort=A","Dates=H","DateFormat=P","Fill=—","Direction=H","UseDPDF=Y")</f>
        <v>0</v>
      </c>
      <c r="AH26" s="8" t="str">
        <f>_xll.BDH("NVDA US Equity","LINE_OF_CREDIT_UTILIZED_AMOUNT","FQ1 2020","FQ1 2020","Currency=USD","Period=FQ","BEST_FPERIOD_OVERRIDE=FQ","FILING_STATUS=MR","SCALING_FORMAT=MLN","Sort=A","Dates=H","DateFormat=P","Fill=—","Direction=H","UseDPDF=Y")</f>
        <v>—</v>
      </c>
      <c r="AI26" s="8" t="str">
        <f>_xll.BDH("NVDA US Equity","LINE_OF_CREDIT_UTILIZED_AMOUNT","FQ2 2020","FQ2 2020","Currency=USD","Period=FQ","BEST_FPERIOD_OVERRIDE=FQ","FILING_STATUS=MR","SCALING_FORMAT=MLN","Sort=A","Dates=H","DateFormat=P","Fill=—","Direction=H","UseDPDF=Y")</f>
        <v>—</v>
      </c>
      <c r="AJ26" s="8" t="str">
        <f>_xll.BDH("NVDA US Equity","LINE_OF_CREDIT_UTILIZED_AMOUNT","FQ3 2020","FQ3 2020","Currency=USD","Period=FQ","BEST_FPERIOD_OVERRIDE=FQ","FILING_STATUS=MR","SCALING_FORMAT=MLN","Sort=A","Dates=H","DateFormat=P","Fill=—","Direction=H","UseDPDF=Y")</f>
        <v>—</v>
      </c>
      <c r="AK26" s="8">
        <f>_xll.BDH("NVDA US Equity","LINE_OF_CREDIT_UTILIZED_AMOUNT","FQ4 2020","FQ4 2020","Currency=USD","Period=FQ","BEST_FPERIOD_OVERRIDE=FQ","FILING_STATUS=MR","SCALING_FORMAT=MLN","Sort=A","Dates=H","DateFormat=P","Fill=—","Direction=H","UseDPDF=Y")</f>
        <v>0</v>
      </c>
      <c r="AL26" s="8">
        <f>_xll.BDH("NVDA US Equity","LINE_OF_CREDIT_UTILIZED_AMOUNT","FQ1 2021","FQ1 2021","Currency=USD","Period=FQ","BEST_FPERIOD_OVERRIDE=FQ","FILING_STATUS=MR","SCALING_FORMAT=MLN","Sort=A","Dates=H","DateFormat=P","Fill=—","Direction=H","UseDPDF=Y")</f>
        <v>0</v>
      </c>
      <c r="AM26" s="8" t="str">
        <f>_xll.BDH("NVDA US Equity","LINE_OF_CREDIT_UTILIZED_AMOUNT","FQ2 2021","FQ2 2021","Currency=USD","Period=FQ","BEST_FPERIOD_OVERRIDE=FQ","FILING_STATUS=MR","SCALING_FORMAT=MLN","Sort=A","Dates=H","DateFormat=P","Fill=—","Direction=H","UseDPDF=Y")</f>
        <v>—</v>
      </c>
      <c r="AN26" s="8" t="str">
        <f>_xll.BDH("NVDA US Equity","LINE_OF_CREDIT_UTILIZED_AMOUNT","FQ3 2021","FQ3 2021","Currency=USD","Period=FQ","BEST_FPERIOD_OVERRIDE=FQ","FILING_STATUS=MR","SCALING_FORMAT=MLN","Sort=A","Dates=H","DateFormat=P","Fill=—","Direction=H","UseDPDF=Y")</f>
        <v>—</v>
      </c>
      <c r="AO26" s="8">
        <f>_xll.BDH("NVDA US Equity","LINE_OF_CREDIT_UTILIZED_AMOUNT","FQ4 2021","FQ4 2021","Currency=USD","Period=FQ","BEST_FPERIOD_OVERRIDE=FQ","FILING_STATUS=MR","SCALING_FORMAT=MLN","Sort=A","Dates=H","DateFormat=P","Fill=—","Direction=H","UseDPDF=Y")</f>
        <v>0</v>
      </c>
      <c r="AP26" s="8">
        <f>_xll.BDH("NVDA US Equity","LINE_OF_CREDIT_UTILIZED_AMOUNT","FQ1 2022","FQ1 2022","Currency=USD","Period=FQ","BEST_FPERIOD_OVERRIDE=FQ","FILING_STATUS=MR","SCALING_FORMAT=MLN","Sort=A","Dates=H","DateFormat=P","Fill=—","Direction=H","UseDPDF=Y")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7" t="s">
        <v>102</v>
      </c>
      <c r="B28" s="7" t="s">
        <v>101</v>
      </c>
      <c r="C28" s="8" t="str">
        <f>_xll.BDH("NVDA US Equity","BS_TOT_COM_PAPER_ISSUED","FQ2 2012","FQ2 2012","Currency=USD","Period=FQ","BEST_FPERIOD_OVERRIDE=FQ","FILING_STATUS=MR","SCALING_FORMAT=MLN","Sort=A","Dates=H","DateFormat=P","Fill=—","Direction=H","UseDPDF=Y")</f>
        <v>—</v>
      </c>
      <c r="D28" s="8" t="str">
        <f>_xll.BDH("NVDA US Equity","BS_TOT_COM_PAPER_ISSUED","FQ3 2012","FQ3 2012","Currency=USD","Period=FQ","BEST_FPERIOD_OVERRIDE=FQ","FILING_STATUS=MR","SCALING_FORMAT=MLN","Sort=A","Dates=H","DateFormat=P","Fill=—","Direction=H","UseDPDF=Y")</f>
        <v>—</v>
      </c>
      <c r="E28" s="8" t="str">
        <f>_xll.BDH("NVDA US Equity","BS_TOT_COM_PAPER_ISSUED","FQ4 2012","FQ4 2012","Currency=USD","Period=FQ","BEST_FPERIOD_OVERRIDE=FQ","FILING_STATUS=MR","SCALING_FORMAT=MLN","Sort=A","Dates=H","DateFormat=P","Fill=—","Direction=H","UseDPDF=Y")</f>
        <v>—</v>
      </c>
      <c r="F28" s="8" t="str">
        <f>_xll.BDH("NVDA US Equity","BS_TOT_COM_PAPER_ISSUED","FQ1 2013","FQ1 2013","Currency=USD","Period=FQ","BEST_FPERIOD_OVERRIDE=FQ","FILING_STATUS=MR","SCALING_FORMAT=MLN","Sort=A","Dates=H","DateFormat=P","Fill=—","Direction=H","UseDPDF=Y")</f>
        <v>—</v>
      </c>
      <c r="G28" s="8" t="str">
        <f>_xll.BDH("NVDA US Equity","BS_TOT_COM_PAPER_ISSUED","FQ2 2013","FQ2 2013","Currency=USD","Period=FQ","BEST_FPERIOD_OVERRIDE=FQ","FILING_STATUS=MR","SCALING_FORMAT=MLN","Sort=A","Dates=H","DateFormat=P","Fill=—","Direction=H","UseDPDF=Y")</f>
        <v>—</v>
      </c>
      <c r="H28" s="8" t="str">
        <f>_xll.BDH("NVDA US Equity","BS_TOT_COM_PAPER_ISSUED","FQ3 2013","FQ3 2013","Currency=USD","Period=FQ","BEST_FPERIOD_OVERRIDE=FQ","FILING_STATUS=MR","SCALING_FORMAT=MLN","Sort=A","Dates=H","DateFormat=P","Fill=—","Direction=H","UseDPDF=Y")</f>
        <v>—</v>
      </c>
      <c r="I28" s="8" t="str">
        <f>_xll.BDH("NVDA US Equity","BS_TOT_COM_PAPER_ISSUED","FQ4 2013","FQ4 2013","Currency=USD","Period=FQ","BEST_FPERIOD_OVERRIDE=FQ","FILING_STATUS=MR","SCALING_FORMAT=MLN","Sort=A","Dates=H","DateFormat=P","Fill=—","Direction=H","UseDPDF=Y")</f>
        <v>—</v>
      </c>
      <c r="J28" s="8" t="str">
        <f>_xll.BDH("NVDA US Equity","BS_TOT_COM_PAPER_ISSUED","FQ1 2014","FQ1 2014","Currency=USD","Period=FQ","BEST_FPERIOD_OVERRIDE=FQ","FILING_STATUS=MR","SCALING_FORMAT=MLN","Sort=A","Dates=H","DateFormat=P","Fill=—","Direction=H","UseDPDF=Y")</f>
        <v>—</v>
      </c>
      <c r="K28" s="8" t="str">
        <f>_xll.BDH("NVDA US Equity","BS_TOT_COM_PAPER_ISSUED","FQ2 2014","FQ2 2014","Currency=USD","Period=FQ","BEST_FPERIOD_OVERRIDE=FQ","FILING_STATUS=MR","SCALING_FORMAT=MLN","Sort=A","Dates=H","DateFormat=P","Fill=—","Direction=H","UseDPDF=Y")</f>
        <v>—</v>
      </c>
      <c r="L28" s="8" t="str">
        <f>_xll.BDH("NVDA US Equity","BS_TOT_COM_PAPER_ISSUED","FQ3 2014","FQ3 2014","Currency=USD","Period=FQ","BEST_FPERIOD_OVERRIDE=FQ","FILING_STATUS=MR","SCALING_FORMAT=MLN","Sort=A","Dates=H","DateFormat=P","Fill=—","Direction=H","UseDPDF=Y")</f>
        <v>—</v>
      </c>
      <c r="M28" s="8" t="str">
        <f>_xll.BDH("NVDA US Equity","BS_TOT_COM_PAPER_ISSUED","FQ4 2014","FQ4 2014","Currency=USD","Period=FQ","BEST_FPERIOD_OVERRIDE=FQ","FILING_STATUS=MR","SCALING_FORMAT=MLN","Sort=A","Dates=H","DateFormat=P","Fill=—","Direction=H","UseDPDF=Y")</f>
        <v>—</v>
      </c>
      <c r="N28" s="8" t="str">
        <f>_xll.BDH("NVDA US Equity","BS_TOT_COM_PAPER_ISSUED","FQ1 2015","FQ1 2015","Currency=USD","Period=FQ","BEST_FPERIOD_OVERRIDE=FQ","FILING_STATUS=MR","SCALING_FORMAT=MLN","Sort=A","Dates=H","DateFormat=P","Fill=—","Direction=H","UseDPDF=Y")</f>
        <v>—</v>
      </c>
      <c r="O28" s="8" t="str">
        <f>_xll.BDH("NVDA US Equity","BS_TOT_COM_PAPER_ISSUED","FQ2 2015","FQ2 2015","Currency=USD","Period=FQ","BEST_FPERIOD_OVERRIDE=FQ","FILING_STATUS=MR","SCALING_FORMAT=MLN","Sort=A","Dates=H","DateFormat=P","Fill=—","Direction=H","UseDPDF=Y")</f>
        <v>—</v>
      </c>
      <c r="P28" s="8" t="str">
        <f>_xll.BDH("NVDA US Equity","BS_TOT_COM_PAPER_ISSUED","FQ3 2015","FQ3 2015","Currency=USD","Period=FQ","BEST_FPERIOD_OVERRIDE=FQ","FILING_STATUS=MR","SCALING_FORMAT=MLN","Sort=A","Dates=H","DateFormat=P","Fill=—","Direction=H","UseDPDF=Y")</f>
        <v>—</v>
      </c>
      <c r="Q28" s="8" t="str">
        <f>_xll.BDH("NVDA US Equity","BS_TOT_COM_PAPER_ISSUED","FQ4 2015","FQ4 2015","Currency=USD","Period=FQ","BEST_FPERIOD_OVERRIDE=FQ","FILING_STATUS=MR","SCALING_FORMAT=MLN","Sort=A","Dates=H","DateFormat=P","Fill=—","Direction=H","UseDPDF=Y")</f>
        <v>—</v>
      </c>
      <c r="R28" s="8" t="str">
        <f>_xll.BDH("NVDA US Equity","BS_TOT_COM_PAPER_ISSUED","FQ1 2016","FQ1 2016","Currency=USD","Period=FQ","BEST_FPERIOD_OVERRIDE=FQ","FILING_STATUS=MR","SCALING_FORMAT=MLN","Sort=A","Dates=H","DateFormat=P","Fill=—","Direction=H","UseDPDF=Y")</f>
        <v>—</v>
      </c>
      <c r="S28" s="8" t="str">
        <f>_xll.BDH("NVDA US Equity","BS_TOT_COM_PAPER_ISSUED","FQ2 2016","FQ2 2016","Currency=USD","Period=FQ","BEST_FPERIOD_OVERRIDE=FQ","FILING_STATUS=MR","SCALING_FORMAT=MLN","Sort=A","Dates=H","DateFormat=P","Fill=—","Direction=H","UseDPDF=Y")</f>
        <v>—</v>
      </c>
      <c r="T28" s="8" t="str">
        <f>_xll.BDH("NVDA US Equity","BS_TOT_COM_PAPER_ISSUED","FQ3 2016","FQ3 2016","Currency=USD","Period=FQ","BEST_FPERIOD_OVERRIDE=FQ","FILING_STATUS=MR","SCALING_FORMAT=MLN","Sort=A","Dates=H","DateFormat=P","Fill=—","Direction=H","UseDPDF=Y")</f>
        <v>—</v>
      </c>
      <c r="U28" s="8" t="str">
        <f>_xll.BDH("NVDA US Equity","BS_TOT_COM_PAPER_ISSUED","FQ4 2016","FQ4 2016","Currency=USD","Period=FQ","BEST_FPERIOD_OVERRIDE=FQ","FILING_STATUS=MR","SCALING_FORMAT=MLN","Sort=A","Dates=H","DateFormat=P","Fill=—","Direction=H","UseDPDF=Y")</f>
        <v>—</v>
      </c>
      <c r="V28" s="8" t="str">
        <f>_xll.BDH("NVDA US Equity","BS_TOT_COM_PAPER_ISSUED","FQ1 2017","FQ1 2017","Currency=USD","Period=FQ","BEST_FPERIOD_OVERRIDE=FQ","FILING_STATUS=MR","SCALING_FORMAT=MLN","Sort=A","Dates=H","DateFormat=P","Fill=—","Direction=H","UseDPDF=Y")</f>
        <v>—</v>
      </c>
      <c r="W28" s="8" t="str">
        <f>_xll.BDH("NVDA US Equity","BS_TOT_COM_PAPER_ISSUED","FQ2 2017","FQ2 2017","Currency=USD","Period=FQ","BEST_FPERIOD_OVERRIDE=FQ","FILING_STATUS=MR","SCALING_FORMAT=MLN","Sort=A","Dates=H","DateFormat=P","Fill=—","Direction=H","UseDPDF=Y")</f>
        <v>—</v>
      </c>
      <c r="X28" s="8" t="str">
        <f>_xll.BDH("NVDA US Equity","BS_TOT_COM_PAPER_ISSUED","FQ3 2017","FQ3 2017","Currency=USD","Period=FQ","BEST_FPERIOD_OVERRIDE=FQ","FILING_STATUS=MR","SCALING_FORMAT=MLN","Sort=A","Dates=H","DateFormat=P","Fill=—","Direction=H","UseDPDF=Y")</f>
        <v>—</v>
      </c>
      <c r="Y28" s="8" t="str">
        <f>_xll.BDH("NVDA US Equity","BS_TOT_COM_PAPER_ISSUED","FQ4 2017","FQ4 2017","Currency=USD","Period=FQ","BEST_FPERIOD_OVERRIDE=FQ","FILING_STATUS=MR","SCALING_FORMAT=MLN","Sort=A","Dates=H","DateFormat=P","Fill=—","Direction=H","UseDPDF=Y")</f>
        <v>—</v>
      </c>
      <c r="Z28" s="8" t="str">
        <f>_xll.BDH("NVDA US Equity","BS_TOT_COM_PAPER_ISSUED","FQ1 2018","FQ1 2018","Currency=USD","Period=FQ","BEST_FPERIOD_OVERRIDE=FQ","FILING_STATUS=MR","SCALING_FORMAT=MLN","Sort=A","Dates=H","DateFormat=P","Fill=—","Direction=H","UseDPDF=Y")</f>
        <v>—</v>
      </c>
      <c r="AA28" s="8" t="str">
        <f>_xll.BDH("NVDA US Equity","BS_TOT_COM_PAPER_ISSUED","FQ2 2018","FQ2 2018","Currency=USD","Period=FQ","BEST_FPERIOD_OVERRIDE=FQ","FILING_STATUS=MR","SCALING_FORMAT=MLN","Sort=A","Dates=H","DateFormat=P","Fill=—","Direction=H","UseDPDF=Y")</f>
        <v>—</v>
      </c>
      <c r="AB28" s="8" t="str">
        <f>_xll.BDH("NVDA US Equity","BS_TOT_COM_PAPER_ISSUED","FQ3 2018","FQ3 2018","Currency=USD","Period=FQ","BEST_FPERIOD_OVERRIDE=FQ","FILING_STATUS=MR","SCALING_FORMAT=MLN","Sort=A","Dates=H","DateFormat=P","Fill=—","Direction=H","UseDPDF=Y")</f>
        <v>—</v>
      </c>
      <c r="AC28" s="8">
        <f>_xll.BDH("NVDA US Equity","BS_TOT_COM_PAPER_ISSUED","FQ4 2018","FQ4 2018","Currency=USD","Period=FQ","BEST_FPERIOD_OVERRIDE=FQ","FILING_STATUS=MR","SCALING_FORMAT=MLN","Sort=A","Dates=H","DateFormat=P","Fill=—","Direction=H","UseDPDF=Y")</f>
        <v>0</v>
      </c>
      <c r="AD28" s="8" t="str">
        <f>_xll.BDH("NVDA US Equity","BS_TOT_COM_PAPER_ISSUED","FQ1 2019","FQ1 2019","Currency=USD","Period=FQ","BEST_FPERIOD_OVERRIDE=FQ","FILING_STATUS=MR","SCALING_FORMAT=MLN","Sort=A","Dates=H","DateFormat=P","Fill=—","Direction=H","UseDPDF=Y")</f>
        <v>—</v>
      </c>
      <c r="AE28" s="8" t="str">
        <f>_xll.BDH("NVDA US Equity","BS_TOT_COM_PAPER_ISSUED","FQ2 2019","FQ2 2019","Currency=USD","Period=FQ","BEST_FPERIOD_OVERRIDE=FQ","FILING_STATUS=MR","SCALING_FORMAT=MLN","Sort=A","Dates=H","DateFormat=P","Fill=—","Direction=H","UseDPDF=Y")</f>
        <v>—</v>
      </c>
      <c r="AF28" s="8" t="str">
        <f>_xll.BDH("NVDA US Equity","BS_TOT_COM_PAPER_ISSUED","FQ3 2019","FQ3 2019","Currency=USD","Period=FQ","BEST_FPERIOD_OVERRIDE=FQ","FILING_STATUS=MR","SCALING_FORMAT=MLN","Sort=A","Dates=H","DateFormat=P","Fill=—","Direction=H","UseDPDF=Y")</f>
        <v>—</v>
      </c>
      <c r="AG28" s="8" t="str">
        <f>_xll.BDH("NVDA US Equity","BS_TOT_COM_PAPER_ISSUED","FQ4 2019","FQ4 2019","Currency=USD","Period=FQ","BEST_FPERIOD_OVERRIDE=FQ","FILING_STATUS=MR","SCALING_FORMAT=MLN","Sort=A","Dates=H","DateFormat=P","Fill=—","Direction=H","UseDPDF=Y")</f>
        <v>—</v>
      </c>
      <c r="AH28" s="8" t="str">
        <f>_xll.BDH("NVDA US Equity","BS_TOT_COM_PAPER_ISSUED","FQ1 2020","FQ1 2020","Currency=USD","Period=FQ","BEST_FPERIOD_OVERRIDE=FQ","FILING_STATUS=MR","SCALING_FORMAT=MLN","Sort=A","Dates=H","DateFormat=P","Fill=—","Direction=H","UseDPDF=Y")</f>
        <v>—</v>
      </c>
      <c r="AI28" s="8" t="str">
        <f>_xll.BDH("NVDA US Equity","BS_TOT_COM_PAPER_ISSUED","FQ2 2020","FQ2 2020","Currency=USD","Period=FQ","BEST_FPERIOD_OVERRIDE=FQ","FILING_STATUS=MR","SCALING_FORMAT=MLN","Sort=A","Dates=H","DateFormat=P","Fill=—","Direction=H","UseDPDF=Y")</f>
        <v>—</v>
      </c>
      <c r="AJ28" s="8" t="str">
        <f>_xll.BDH("NVDA US Equity","BS_TOT_COM_PAPER_ISSUED","FQ3 2020","FQ3 2020","Currency=USD","Period=FQ","BEST_FPERIOD_OVERRIDE=FQ","FILING_STATUS=MR","SCALING_FORMAT=MLN","Sort=A","Dates=H","DateFormat=P","Fill=—","Direction=H","UseDPDF=Y")</f>
        <v>—</v>
      </c>
      <c r="AK28" s="8" t="str">
        <f>_xll.BDH("NVDA US Equity","BS_TOT_COM_PAPER_ISSUED","FQ4 2020","FQ4 2020","Currency=USD","Period=FQ","BEST_FPERIOD_OVERRIDE=FQ","FILING_STATUS=MR","SCALING_FORMAT=MLN","Sort=A","Dates=H","DateFormat=P","Fill=—","Direction=H","UseDPDF=Y")</f>
        <v>—</v>
      </c>
      <c r="AL28" s="8" t="str">
        <f>_xll.BDH("NVDA US Equity","BS_TOT_COM_PAPER_ISSUED","FQ1 2021","FQ1 2021","Currency=USD","Period=FQ","BEST_FPERIOD_OVERRIDE=FQ","FILING_STATUS=MR","SCALING_FORMAT=MLN","Sort=A","Dates=H","DateFormat=P","Fill=—","Direction=H","UseDPDF=Y")</f>
        <v>—</v>
      </c>
      <c r="AM28" s="8" t="str">
        <f>_xll.BDH("NVDA US Equity","BS_TOT_COM_PAPER_ISSUED","FQ2 2021","FQ2 2021","Currency=USD","Period=FQ","BEST_FPERIOD_OVERRIDE=FQ","FILING_STATUS=MR","SCALING_FORMAT=MLN","Sort=A","Dates=H","DateFormat=P","Fill=—","Direction=H","UseDPDF=Y")</f>
        <v>—</v>
      </c>
      <c r="AN28" s="8" t="str">
        <f>_xll.BDH("NVDA US Equity","BS_TOT_COM_PAPER_ISSUED","FQ3 2021","FQ3 2021","Currency=USD","Period=FQ","BEST_FPERIOD_OVERRIDE=FQ","FILING_STATUS=MR","SCALING_FORMAT=MLN","Sort=A","Dates=H","DateFormat=P","Fill=—","Direction=H","UseDPDF=Y")</f>
        <v>—</v>
      </c>
      <c r="AO28" s="8" t="str">
        <f>_xll.BDH("NVDA US Equity","BS_TOT_COM_PAPER_ISSUED","FQ4 2021","FQ4 2021","Currency=USD","Period=FQ","BEST_FPERIOD_OVERRIDE=FQ","FILING_STATUS=MR","SCALING_FORMAT=MLN","Sort=A","Dates=H","DateFormat=P","Fill=—","Direction=H","UseDPDF=Y")</f>
        <v>—</v>
      </c>
      <c r="AP28" s="8" t="str">
        <f>_xll.BDH("NVDA US Equity","BS_TOT_COM_PAPER_ISSUED","FQ1 2022","FQ1 2022","Currency=USD","Period=FQ","BEST_FPERIOD_OVERRIDE=FQ","FILING_STATUS=MR","SCALING_FORMAT=MLN","Sort=A","Dates=H","DateFormat=P","Fill=—","Direction=H","UseDPDF=Y")</f>
        <v>—</v>
      </c>
    </row>
    <row r="29" spans="1:42" x14ac:dyDescent="0.25">
      <c r="A29" s="15" t="s">
        <v>100</v>
      </c>
      <c r="B29" s="15"/>
      <c r="C29" s="15" t="s"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 (2)</vt:lpstr>
      <vt:lpstr>Profitability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2021-07-07T12:51:02Z</dcterms:modified>
</cp:coreProperties>
</file>