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 activeTab="1"/>
  </bookViews>
  <sheets>
    <sheet name="Profitability" sheetId="2" r:id="rId1"/>
    <sheet name="Liquidity" sheetId="3" r:id="rId2"/>
  </sheets>
  <calcPr calcId="162913"/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J9" i="2"/>
  <c r="Z13" i="2"/>
  <c r="AD29" i="2"/>
  <c r="AL25" i="2"/>
  <c r="AL22" i="2"/>
  <c r="C7" i="2"/>
  <c r="O7" i="2"/>
  <c r="AA7" i="2"/>
  <c r="K8" i="2"/>
  <c r="AI8" i="2"/>
  <c r="AM7" i="2"/>
  <c r="W8" i="2"/>
  <c r="G9" i="2"/>
  <c r="AA10" i="2"/>
  <c r="AM10" i="2"/>
  <c r="C10" i="2"/>
  <c r="S9" i="2"/>
  <c r="O10" i="2"/>
  <c r="K13" i="2"/>
  <c r="AE9" i="2"/>
  <c r="S19" i="2"/>
  <c r="G19" i="2"/>
  <c r="AM21" i="2"/>
  <c r="AI13" i="2"/>
  <c r="W13" i="2"/>
  <c r="AE19" i="2"/>
  <c r="C21" i="2"/>
  <c r="O21" i="2"/>
  <c r="K22" i="2"/>
  <c r="AA21" i="2"/>
  <c r="W22" i="2"/>
  <c r="AI22" i="2"/>
  <c r="G23" i="2"/>
  <c r="AE23" i="2"/>
  <c r="S23" i="2"/>
  <c r="AJ8" i="2"/>
  <c r="C24" i="2"/>
  <c r="O24" i="2"/>
  <c r="K25" i="2"/>
  <c r="AM24" i="2"/>
  <c r="AA24" i="2"/>
  <c r="W25" i="2"/>
  <c r="AE26" i="2"/>
  <c r="AI25" i="2"/>
  <c r="S26" i="2"/>
  <c r="O29" i="2"/>
  <c r="G26" i="2"/>
  <c r="K30" i="2"/>
  <c r="C29" i="2"/>
  <c r="AA29" i="2"/>
  <c r="W30" i="2"/>
  <c r="AM29" i="2"/>
  <c r="AP21" i="2"/>
  <c r="AE31" i="2"/>
  <c r="S31" i="2"/>
  <c r="AI30" i="2"/>
  <c r="AD10" i="2"/>
  <c r="G31" i="2"/>
  <c r="R24" i="2"/>
  <c r="R7" i="2"/>
  <c r="AH26" i="2"/>
  <c r="AB7" i="2"/>
  <c r="L8" i="2"/>
  <c r="D7" i="2"/>
  <c r="P7" i="2"/>
  <c r="AN7" i="2"/>
  <c r="X8" i="2"/>
  <c r="H9" i="2"/>
  <c r="T9" i="2"/>
  <c r="P10" i="2"/>
  <c r="D10" i="2"/>
  <c r="AF9" i="2"/>
  <c r="AB10" i="2"/>
  <c r="X13" i="2"/>
  <c r="L13" i="2"/>
  <c r="AN10" i="2"/>
  <c r="AJ13" i="2"/>
  <c r="D21" i="2"/>
  <c r="H19" i="2"/>
  <c r="AB21" i="2"/>
  <c r="AF19" i="2"/>
  <c r="T19" i="2"/>
  <c r="AN21" i="2"/>
  <c r="L22" i="2"/>
  <c r="X22" i="2"/>
  <c r="AC7" i="2"/>
  <c r="P21" i="2"/>
  <c r="AF23" i="2"/>
  <c r="AJ22" i="2"/>
  <c r="H23" i="2"/>
  <c r="P24" i="2"/>
  <c r="T23" i="2"/>
  <c r="D24" i="2"/>
  <c r="AN24" i="2"/>
  <c r="AB24" i="2"/>
  <c r="L25" i="2"/>
  <c r="X25" i="2"/>
  <c r="H26" i="2"/>
  <c r="T26" i="2"/>
  <c r="AJ25" i="2"/>
  <c r="AF26" i="2"/>
  <c r="D29" i="2"/>
  <c r="P29" i="2"/>
  <c r="AB29" i="2"/>
  <c r="AN29" i="2"/>
  <c r="L30" i="2"/>
  <c r="T31" i="2"/>
  <c r="X30" i="2"/>
  <c r="E24" i="2"/>
  <c r="F10" i="2"/>
  <c r="H31" i="2"/>
  <c r="AJ30" i="2"/>
  <c r="AF31" i="2"/>
  <c r="R21" i="2"/>
  <c r="AO7" i="2"/>
  <c r="F7" i="2"/>
  <c r="Q7" i="2"/>
  <c r="F24" i="2"/>
  <c r="F29" i="2"/>
  <c r="E7" i="2"/>
  <c r="M8" i="2"/>
  <c r="Y8" i="2"/>
  <c r="AK8" i="2"/>
  <c r="I9" i="2"/>
  <c r="E10" i="2"/>
  <c r="U9" i="2"/>
  <c r="AG9" i="2"/>
  <c r="AO10" i="2"/>
  <c r="M13" i="2"/>
  <c r="AC10" i="2"/>
  <c r="Y13" i="2"/>
  <c r="Q10" i="2"/>
  <c r="I19" i="2"/>
  <c r="U19" i="2"/>
  <c r="AK13" i="2"/>
  <c r="Q21" i="2"/>
  <c r="E21" i="2"/>
  <c r="AG19" i="2"/>
  <c r="AC21" i="2"/>
  <c r="M22" i="2"/>
  <c r="AO21" i="2"/>
  <c r="Q24" i="2"/>
  <c r="AK22" i="2"/>
  <c r="I23" i="2"/>
  <c r="U23" i="2"/>
  <c r="Y22" i="2"/>
  <c r="AK25" i="2"/>
  <c r="AG23" i="2"/>
  <c r="AC24" i="2"/>
  <c r="AO24" i="2"/>
  <c r="U26" i="2"/>
  <c r="M25" i="2"/>
  <c r="Y25" i="2"/>
  <c r="AG26" i="2"/>
  <c r="Q29" i="2"/>
  <c r="E29" i="2"/>
  <c r="I26" i="2"/>
  <c r="AC29" i="2"/>
  <c r="M30" i="2"/>
  <c r="Y30" i="2"/>
  <c r="AO29" i="2"/>
  <c r="AK30" i="2"/>
  <c r="U31" i="2"/>
  <c r="AG31" i="2"/>
  <c r="I31" i="2"/>
  <c r="AL8" i="2"/>
  <c r="G7" i="2"/>
  <c r="AH31" i="2"/>
  <c r="AH19" i="2"/>
  <c r="AP24" i="2"/>
  <c r="C8" i="2"/>
  <c r="AE7" i="2"/>
  <c r="S7" i="2"/>
  <c r="O8" i="2"/>
  <c r="AA8" i="2"/>
  <c r="W9" i="2"/>
  <c r="AM8" i="2"/>
  <c r="K9" i="2"/>
  <c r="AE10" i="2"/>
  <c r="G10" i="2"/>
  <c r="AI9" i="2"/>
  <c r="C13" i="2"/>
  <c r="S10" i="2"/>
  <c r="O13" i="2"/>
  <c r="W19" i="2"/>
  <c r="AA13" i="2"/>
  <c r="K19" i="2"/>
  <c r="AM13" i="2"/>
  <c r="G21" i="2"/>
  <c r="AI19" i="2"/>
  <c r="S21" i="2"/>
  <c r="AE21" i="2"/>
  <c r="C22" i="2"/>
  <c r="O22" i="2"/>
  <c r="AM22" i="2"/>
  <c r="AA22" i="2"/>
  <c r="K23" i="2"/>
  <c r="W23" i="2"/>
  <c r="G24" i="2"/>
  <c r="S24" i="2"/>
  <c r="AI23" i="2"/>
  <c r="AE24" i="2"/>
  <c r="AA25" i="2"/>
  <c r="C25" i="2"/>
  <c r="AM25" i="2"/>
  <c r="O25" i="2"/>
  <c r="W26" i="2"/>
  <c r="K26" i="2"/>
  <c r="G29" i="2"/>
  <c r="AI26" i="2"/>
  <c r="AM30" i="2"/>
  <c r="S29" i="2"/>
  <c r="AE29" i="2"/>
  <c r="AA30" i="2"/>
  <c r="AI31" i="2"/>
  <c r="W31" i="2"/>
  <c r="C30" i="2"/>
  <c r="O30" i="2"/>
  <c r="K31" i="2"/>
  <c r="AP10" i="2"/>
  <c r="AD7" i="2"/>
  <c r="N22" i="2"/>
  <c r="Z30" i="2"/>
  <c r="T7" i="2"/>
  <c r="Z25" i="2"/>
  <c r="AF7" i="2"/>
  <c r="H7" i="2"/>
  <c r="D8" i="2"/>
  <c r="P8" i="2"/>
  <c r="AB8" i="2"/>
  <c r="AN8" i="2"/>
  <c r="L9" i="2"/>
  <c r="X9" i="2"/>
  <c r="AJ9" i="2"/>
  <c r="D13" i="2"/>
  <c r="T10" i="2"/>
  <c r="AF10" i="2"/>
  <c r="H10" i="2"/>
  <c r="T29" i="2"/>
  <c r="T21" i="2"/>
  <c r="AN25" i="2"/>
  <c r="P13" i="2"/>
  <c r="L19" i="2"/>
  <c r="AJ19" i="2"/>
  <c r="AB13" i="2"/>
  <c r="AN13" i="2"/>
  <c r="AN22" i="2"/>
  <c r="H21" i="2"/>
  <c r="X19" i="2"/>
  <c r="AF21" i="2"/>
  <c r="D22" i="2"/>
  <c r="L23" i="2"/>
  <c r="P22" i="2"/>
  <c r="AB22" i="2"/>
  <c r="X23" i="2"/>
  <c r="H24" i="2"/>
  <c r="E8" i="2"/>
  <c r="T24" i="2"/>
  <c r="AJ23" i="2"/>
  <c r="AF24" i="2"/>
  <c r="P25" i="2"/>
  <c r="D25" i="2"/>
  <c r="AB25" i="2"/>
  <c r="L26" i="2"/>
  <c r="X26" i="2"/>
  <c r="AJ26" i="2"/>
  <c r="L31" i="2"/>
  <c r="H29" i="2"/>
  <c r="AF29" i="2"/>
  <c r="AB30" i="2"/>
  <c r="P30" i="2"/>
  <c r="D30" i="2"/>
  <c r="AJ31" i="2"/>
  <c r="X31" i="2"/>
  <c r="AN30" i="2"/>
  <c r="N8" i="2"/>
  <c r="I7" i="2"/>
  <c r="J26" i="2"/>
  <c r="Z22" i="2"/>
  <c r="N13" i="2"/>
  <c r="I21" i="2"/>
  <c r="U7" i="2"/>
  <c r="V31" i="2"/>
  <c r="AG7" i="2"/>
  <c r="Q8" i="2"/>
  <c r="AO8" i="2"/>
  <c r="M9" i="2"/>
  <c r="Y9" i="2"/>
  <c r="AC8" i="2"/>
  <c r="AK9" i="2"/>
  <c r="I10" i="2"/>
  <c r="U10" i="2"/>
  <c r="AG10" i="2"/>
  <c r="E13" i="2"/>
  <c r="AC13" i="2"/>
  <c r="Y19" i="2"/>
  <c r="AO13" i="2"/>
  <c r="Q13" i="2"/>
  <c r="AK19" i="2"/>
  <c r="M19" i="2"/>
  <c r="U21" i="2"/>
  <c r="AG21" i="2"/>
  <c r="AO22" i="2"/>
  <c r="AK23" i="2"/>
  <c r="AC22" i="2"/>
  <c r="E22" i="2"/>
  <c r="Q22" i="2"/>
  <c r="Y23" i="2"/>
  <c r="I24" i="2"/>
  <c r="M23" i="2"/>
  <c r="U24" i="2"/>
  <c r="Q25" i="2"/>
  <c r="E25" i="2"/>
  <c r="AG24" i="2"/>
  <c r="AO25" i="2"/>
  <c r="AC25" i="2"/>
  <c r="M26" i="2"/>
  <c r="AK26" i="2"/>
  <c r="Y26" i="2"/>
  <c r="I29" i="2"/>
  <c r="J10" i="2"/>
  <c r="Q30" i="2"/>
  <c r="E30" i="2"/>
  <c r="M31" i="2"/>
  <c r="U29" i="2"/>
  <c r="AG29" i="2"/>
  <c r="AO30" i="2"/>
  <c r="Y31" i="2"/>
  <c r="AC30" i="2"/>
  <c r="J7" i="2"/>
  <c r="AD21" i="2"/>
  <c r="N30" i="2"/>
  <c r="R10" i="2"/>
  <c r="AK31" i="2"/>
  <c r="V7" i="2"/>
  <c r="AH7" i="2"/>
  <c r="N25" i="2"/>
  <c r="F8" i="2"/>
  <c r="N9" i="2"/>
  <c r="Z9" i="2"/>
  <c r="R8" i="2"/>
  <c r="V10" i="2"/>
  <c r="AD8" i="2"/>
  <c r="AL9" i="2"/>
  <c r="AP8" i="2"/>
  <c r="AH10" i="2"/>
  <c r="F13" i="2"/>
  <c r="AD13" i="2"/>
  <c r="R13" i="2"/>
  <c r="AP13" i="2"/>
  <c r="Z19" i="2"/>
  <c r="N19" i="2"/>
  <c r="AL19" i="2"/>
  <c r="AH21" i="2"/>
  <c r="J21" i="2"/>
  <c r="AD22" i="2"/>
  <c r="V21" i="2"/>
  <c r="R22" i="2"/>
  <c r="F22" i="2"/>
  <c r="AP22" i="2"/>
  <c r="N23" i="2"/>
  <c r="Z23" i="2"/>
  <c r="AL23" i="2"/>
  <c r="AP25" i="2"/>
  <c r="R25" i="2"/>
  <c r="V24" i="2"/>
  <c r="N26" i="2"/>
  <c r="J24" i="2"/>
  <c r="AH24" i="2"/>
  <c r="F25" i="2"/>
  <c r="AD25" i="2"/>
  <c r="AL26" i="2"/>
  <c r="Z26" i="2"/>
  <c r="V29" i="2"/>
  <c r="J29" i="2"/>
  <c r="S8" i="2"/>
  <c r="F30" i="2"/>
  <c r="AH29" i="2"/>
  <c r="R30" i="2"/>
  <c r="AD30" i="2"/>
  <c r="AP30" i="2"/>
  <c r="N31" i="2"/>
  <c r="Z31" i="2"/>
  <c r="AL31" i="2"/>
  <c r="AD24" i="2"/>
  <c r="K7" i="2"/>
  <c r="W7" i="2"/>
  <c r="F21" i="2"/>
  <c r="J31" i="2"/>
  <c r="AA9" i="2"/>
  <c r="AH9" i="2"/>
  <c r="O9" i="2"/>
  <c r="G8" i="2"/>
  <c r="AI7" i="2"/>
  <c r="AI10" i="2"/>
  <c r="AM9" i="2"/>
  <c r="C19" i="2"/>
  <c r="AE8" i="2"/>
  <c r="C9" i="2"/>
  <c r="W10" i="2"/>
  <c r="AA19" i="2"/>
  <c r="K10" i="2"/>
  <c r="G13" i="2"/>
  <c r="AE13" i="2"/>
  <c r="S13" i="2"/>
  <c r="AM19" i="2"/>
  <c r="K21" i="2"/>
  <c r="O19" i="2"/>
  <c r="G25" i="2"/>
  <c r="AI21" i="2"/>
  <c r="W21" i="2"/>
  <c r="G22" i="2"/>
  <c r="S22" i="2"/>
  <c r="AE22" i="2"/>
  <c r="C23" i="2"/>
  <c r="AA23" i="2"/>
  <c r="S25" i="2"/>
  <c r="C26" i="2"/>
  <c r="AM23" i="2"/>
  <c r="K24" i="2"/>
  <c r="O23" i="2"/>
  <c r="O26" i="2"/>
  <c r="AI24" i="2"/>
  <c r="W24" i="2"/>
  <c r="AM26" i="2"/>
  <c r="O31" i="2"/>
  <c r="S30" i="2"/>
  <c r="AE25" i="2"/>
  <c r="G30" i="2"/>
  <c r="AA26" i="2"/>
  <c r="C31" i="2"/>
  <c r="K29" i="2"/>
  <c r="AI29" i="2"/>
  <c r="W29" i="2"/>
  <c r="AE30" i="2"/>
  <c r="AA31" i="2"/>
  <c r="AH23" i="2"/>
  <c r="AL13" i="2"/>
  <c r="Z8" i="2"/>
  <c r="AM31" i="2"/>
  <c r="L7" i="2"/>
  <c r="AP29" i="2"/>
  <c r="X7" i="2"/>
  <c r="AJ7" i="2"/>
  <c r="H8" i="2"/>
  <c r="T8" i="2"/>
  <c r="T13" i="2"/>
  <c r="AF8" i="2"/>
  <c r="L10" i="2"/>
  <c r="P19" i="2"/>
  <c r="P9" i="2"/>
  <c r="AB9" i="2"/>
  <c r="X10" i="2"/>
  <c r="D9" i="2"/>
  <c r="AN9" i="2"/>
  <c r="AF13" i="2"/>
  <c r="AJ10" i="2"/>
  <c r="AB19" i="2"/>
  <c r="X21" i="2"/>
  <c r="D19" i="2"/>
  <c r="AF22" i="2"/>
  <c r="H13" i="2"/>
  <c r="T22" i="2"/>
  <c r="P23" i="2"/>
  <c r="AN19" i="2"/>
  <c r="L21" i="2"/>
  <c r="AB23" i="2"/>
  <c r="AJ21" i="2"/>
  <c r="D23" i="2"/>
  <c r="AN23" i="2"/>
  <c r="H22" i="2"/>
  <c r="L24" i="2"/>
  <c r="AN31" i="2"/>
  <c r="X24" i="2"/>
  <c r="H25" i="2"/>
  <c r="AJ24" i="2"/>
  <c r="AC9" i="2"/>
  <c r="T25" i="2"/>
  <c r="AF25" i="2"/>
  <c r="D26" i="2"/>
  <c r="AB26" i="2"/>
  <c r="P26" i="2"/>
  <c r="AN26" i="2"/>
  <c r="X29" i="2"/>
  <c r="D31" i="2"/>
  <c r="H30" i="2"/>
  <c r="AF30" i="2"/>
  <c r="J19" i="2"/>
  <c r="AJ29" i="2"/>
  <c r="L29" i="2"/>
  <c r="R29" i="2"/>
  <c r="P31" i="2"/>
  <c r="AB31" i="2"/>
  <c r="T30" i="2"/>
  <c r="M7" i="2"/>
  <c r="AP7" i="2"/>
  <c r="Y7" i="2"/>
  <c r="E9" i="2"/>
  <c r="V23" i="2"/>
  <c r="I8" i="2"/>
  <c r="AK7" i="2"/>
  <c r="Q9" i="2"/>
  <c r="AG8" i="2"/>
  <c r="U8" i="2"/>
  <c r="AO9" i="2"/>
  <c r="M10" i="2"/>
  <c r="Y10" i="2"/>
  <c r="Q26" i="2"/>
  <c r="AK10" i="2"/>
  <c r="I13" i="2"/>
  <c r="AG13" i="2"/>
  <c r="Q19" i="2"/>
  <c r="U13" i="2"/>
  <c r="AG22" i="2"/>
  <c r="I25" i="2"/>
  <c r="AO19" i="2"/>
  <c r="M24" i="2"/>
  <c r="U22" i="2"/>
  <c r="AO23" i="2"/>
  <c r="AC23" i="2"/>
  <c r="M21" i="2"/>
  <c r="AC19" i="2"/>
  <c r="E19" i="2"/>
  <c r="E26" i="2"/>
  <c r="AK21" i="2"/>
  <c r="AK24" i="2"/>
  <c r="Y21" i="2"/>
  <c r="I22" i="2"/>
  <c r="AG25" i="2"/>
  <c r="Q23" i="2"/>
  <c r="E23" i="2"/>
  <c r="Y24" i="2"/>
  <c r="AC26" i="2"/>
  <c r="U25" i="2"/>
  <c r="AO26" i="2"/>
  <c r="M29" i="2"/>
  <c r="F9" i="2"/>
  <c r="R19" i="2"/>
  <c r="J13" i="2"/>
  <c r="Y29" i="2"/>
  <c r="U30" i="2"/>
  <c r="AO31" i="2"/>
  <c r="I30" i="2"/>
  <c r="AK29" i="2"/>
  <c r="AG30" i="2"/>
  <c r="AL30" i="2"/>
  <c r="V19" i="2"/>
  <c r="J23" i="2"/>
  <c r="J8" i="2"/>
  <c r="V8" i="2"/>
  <c r="R9" i="2"/>
  <c r="E31" i="2"/>
  <c r="AC31" i="2"/>
  <c r="AD9" i="2"/>
  <c r="V9" i="2"/>
  <c r="V26" i="2"/>
  <c r="AL10" i="2"/>
  <c r="Z10" i="2"/>
  <c r="Z7" i="2"/>
  <c r="V13" i="2"/>
  <c r="N7" i="2"/>
  <c r="Q31" i="2"/>
  <c r="AL7" i="2"/>
  <c r="AH13" i="2"/>
  <c r="F19" i="2"/>
  <c r="AP9" i="2"/>
  <c r="AH8" i="2"/>
  <c r="N10" i="2"/>
  <c r="AP23" i="2"/>
  <c r="N29" i="2"/>
  <c r="AH30" i="2"/>
  <c r="R26" i="2"/>
  <c r="AL21" i="2"/>
  <c r="V22" i="2"/>
  <c r="AP19" i="2"/>
  <c r="Z29" i="2"/>
  <c r="R31" i="2"/>
  <c r="R23" i="2"/>
  <c r="Z21" i="2"/>
  <c r="AD19" i="2"/>
  <c r="Z24" i="2"/>
  <c r="AD31" i="2"/>
  <c r="N24" i="2"/>
  <c r="F26" i="2"/>
  <c r="AP31" i="2"/>
  <c r="J22" i="2"/>
  <c r="AP26" i="2"/>
  <c r="F23" i="2"/>
  <c r="N21" i="2"/>
  <c r="J30" i="2"/>
  <c r="AD26" i="2"/>
  <c r="V25" i="2"/>
  <c r="AL24" i="2"/>
  <c r="AL29" i="2"/>
  <c r="J25" i="2"/>
  <c r="AH25" i="2"/>
  <c r="AD23" i="2"/>
  <c r="V30" i="2"/>
  <c r="AH22" i="2"/>
  <c r="F31" i="2"/>
</calcChain>
</file>

<file path=xl/sharedStrings.xml><?xml version="1.0" encoding="utf-8"?>
<sst xmlns="http://schemas.openxmlformats.org/spreadsheetml/2006/main" count="406" uniqueCount="162">
  <si>
    <t>Right click to show data transparency (not supported for all values)</t>
  </si>
  <si>
    <t>Tesla Inc (TSLA US) - Profitability</t>
  </si>
  <si>
    <t>In Millions of USD except Per Share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</si>
  <si>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</si>
  <si>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</si>
  <si>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</si>
  <si>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</si>
  <si>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</si>
  <si>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</si>
  <si>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</si>
  <si>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</si>
  <si>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</si>
  <si>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</si>
  <si>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</si>
  <si>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</si>
  <si>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</si>
  <si>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</si>
  <si>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</si>
  <si>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</si>
  <si>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</si>
  <si>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</si>
  <si>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</si>
  <si>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</si>
  <si>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</si>
  <si>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</si>
  <si>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</si>
  <si>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</si>
  <si>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</si>
  <si>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</si>
  <si>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</si>
  <si>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</si>
  <si>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</si>
  <si>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</si>
  <si>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</si>
  <si>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</si>
  <si>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</si>
  <si>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</si>
  <si>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</si>
  <si>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</si>
  <si>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</si>
  <si>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</si>
  <si>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</si>
  <si>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</si>
  <si>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3 Months Ending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</si>
  <si>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</si>
  <si>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</si>
  <si>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</si>
  <si>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</si>
  <si>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</si>
  <si>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</si>
  <si>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</si>
  <si>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</si>
  <si>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</si>
  <si>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</si>
  <si>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</si>
  <si>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</si>
  <si>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</si>
  <si>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</si>
  <si>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</si>
  <si>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</si>
  <si>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</si>
  <si>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</si>
  <si>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</si>
  <si>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</si>
  <si>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</si>
  <si>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</si>
  <si>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</si>
  <si>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</si>
  <si>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</si>
  <si>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</si>
  <si>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</si>
  <si>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</si>
  <si>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</si>
  <si>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</si>
  <si>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</si>
  <si>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</si>
  <si>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</si>
  <si>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</si>
  <si>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</si>
  <si>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</si>
  <si>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</si>
  <si>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</si>
  <si>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</si>
  <si>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</si>
  <si>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</si>
  <si>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</si>
  <si>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</si>
  <si>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</si>
  <si>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</si>
  <si>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</si>
  <si>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</si>
  <si>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</si>
  <si>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</si>
  <si>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</si>
  <si>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</si>
  <si>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</si>
  <si>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 xml:space="preserve">  Product/Brand Segments</t>
  </si>
  <si>
    <t>—</t>
  </si>
  <si>
    <t xml:space="preserve">    Automotive</t>
  </si>
  <si>
    <t xml:space="preserve">      Automotive Excluding Regulatory Credits</t>
  </si>
  <si>
    <t xml:space="preserve">    Service and Other</t>
  </si>
  <si>
    <t xml:space="preserve">    Energy Generation &amp; Storage</t>
  </si>
  <si>
    <t>EBITDA Margin</t>
  </si>
  <si>
    <t>EBITDA_TO_REVENUE</t>
  </si>
  <si>
    <t xml:space="preserve">    Growth (YoY)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</si>
  <si>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</si>
  <si>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</si>
  <si>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</si>
  <si>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</si>
  <si>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</si>
  <si>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</si>
  <si>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</si>
  <si>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</si>
  <si>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</si>
  <si>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</si>
  <si>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</si>
  <si>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</si>
  <si>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</si>
  <si>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</si>
  <si>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</si>
  <si>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</si>
  <si>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</si>
  <si>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</si>
  <si>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</si>
  <si>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</si>
  <si>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BS_TOT_COM_PAPER_ISSUED</t>
  </si>
  <si>
    <t>Total Commercial Paper Outstanding</t>
  </si>
  <si>
    <t>LINE_OF_CREDIT_UTILIZED_AMOUNT</t>
  </si>
  <si>
    <t xml:space="preserve">  Total Credit Lines Drawn</t>
  </si>
  <si>
    <t>BS_TOTAL_AVAIL_LINE_OF_CREDIT</t>
  </si>
  <si>
    <t xml:space="preserve">  Total Available Line Of Credit</t>
  </si>
  <si>
    <t>BS_TOTAL_LINE_OF_CREDIT</t>
  </si>
  <si>
    <t>Total Line of Credit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</si>
  <si>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</si>
  <si>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</si>
  <si>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</si>
  <si>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</si>
  <si>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</si>
  <si>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</si>
  <si>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</si>
  <si>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</si>
  <si>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</si>
  <si>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</si>
  <si>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</si>
  <si>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</si>
  <si>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</si>
  <si>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</si>
  <si>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</si>
  <si>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</si>
  <si>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</si>
  <si>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</si>
  <si>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</si>
  <si>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</si>
  <si>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</si>
  <si>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</si>
  <si>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</si>
  <si>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</si>
  <si>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</si>
  <si>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</si>
  <si>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</si>
  <si>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</si>
  <si>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Tesla Inc (TSLA US)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</si>
</sst>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4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3" fillId="34" borderId="18"/>
    <xf numFmtId="171" fontId="1" fillId="34" borderId="2">
      <alignment horizontal="right"/>
    </xf>
  </cellStyleXfs>
  <cellXfs count="23">
    <xf numFmtId="0" fontId="0" fillId="0" borderId="0" xfId="0"/>
    <xf numFmtId="0" fontId="7" fillId="33" borderId="16" xfId="58" applyNumberFormat="1" applyFont="1" applyFill="1" applyBorder="1" applyAlignment="1" applyProtection="1">
      <alignment horizontal="left"/>
    </xf>
    <xf numFmtId="0" fontId="7" fillId="33" borderId="16" xfId="59" applyNumberFormat="1" applyFont="1" applyFill="1" applyBorder="1" applyAlignment="1" applyProtection="1">
      <alignment horizontal="right"/>
    </xf>
    <xf numFmtId="0" fontId="7" fillId="33" borderId="17" xfId="60">
      <alignment horizontal="left"/>
    </xf>
    <xf numFmtId="0" fontId="7" fillId="33" borderId="17" xfId="61" applyNumberFormat="1" applyFont="1" applyFill="1" applyBorder="1" applyAlignment="1" applyProtection="1">
      <alignment horizontal="right"/>
    </xf>
    <xf numFmtId="0" fontId="3" fillId="34" borderId="18" xfId="62" applyNumberFormat="1" applyFont="1" applyFill="1" applyBorder="1" applyAlignment="1" applyProtection="1"/>
    <xf numFmtId="171" fontId="1" fillId="34" borderId="2" xfId="63" applyNumberFormat="1" applyFont="1" applyFill="1" applyBorder="1" applyAlignment="1" applyProtection="1">
      <alignment horizontal="right"/>
    </xf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4" fontId="8" fillId="34" borderId="2" xfId="56" applyNumberFormat="1" applyFont="1" applyFill="1" applyBorder="1" applyAlignment="1" applyProtection="1">
      <alignment horizontal="right"/>
    </xf>
    <xf numFmtId="171" fontId="11" fillId="34" borderId="2" xfId="57" applyNumberFormat="1" applyFont="1" applyFill="1" applyBorder="1" applyAlignment="1" applyProtection="1">
      <alignment horizontal="right"/>
    </xf>
  </cellXfs>
  <cellStyles count="6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1"/>
    <cellStyle name="fa_column_header_bottom_left" xfId="52"/>
    <cellStyle name="fa_column_header_bottom_left 2" xfId="60"/>
    <cellStyle name="fa_column_header_empty" xfId="31"/>
    <cellStyle name="fa_column_header_top" xfId="32"/>
    <cellStyle name="fa_column_header_top 2" xfId="59"/>
    <cellStyle name="fa_column_header_top_left" xfId="33"/>
    <cellStyle name="fa_column_header_top_left 2" xfId="58"/>
    <cellStyle name="fa_data_bold_0_grouped" xfId="55"/>
    <cellStyle name="fa_data_bold_2_grouped" xfId="56"/>
    <cellStyle name="fa_data_italic_1_grouped" xfId="57"/>
    <cellStyle name="fa_data_standard_0_grouped" xfId="53"/>
    <cellStyle name="fa_data_standard_1_grouped" xfId="63"/>
    <cellStyle name="fa_data_standard_2_grouped" xfId="54"/>
    <cellStyle name="fa_footer_italic" xfId="34"/>
    <cellStyle name="fa_row_header_bold" xfId="35"/>
    <cellStyle name="fa_row_header_italic" xfId="36"/>
    <cellStyle name="fa_row_header_standard" xfId="37"/>
    <cellStyle name="fa_row_header_standard 2" xfId="62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BDH|15203156783634755228</stp>
        <tr r="AD12" s="3"/>
      </tp>
      <tp t="s">
        <v>#N/A N/A</v>
        <stp/>
        <stp>BDH|12460448086490016451</stp>
        <tr r="AG25" s="2"/>
      </tp>
      <tp t="s">
        <v>#N/A N/A</v>
        <stp/>
        <stp>BDH|15710436381540497338</stp>
        <tr r="S13" s="2"/>
      </tp>
      <tp t="s">
        <v>#N/A N/A</v>
        <stp/>
        <stp>BDH|12159362382306271556</stp>
        <tr r="AF10" s="2"/>
      </tp>
      <tp t="s">
        <v>#N/A N/A</v>
        <stp/>
        <stp>BDH|10633535541282475955</stp>
        <tr r="AO26" s="2"/>
      </tp>
      <tp t="s">
        <v>#N/A N/A</v>
        <stp/>
        <stp>BDH|16009676591793261038</stp>
        <tr r="G10" s="3"/>
      </tp>
      <tp t="s">
        <v>#N/A N/A</v>
        <stp/>
        <stp>BDH|17533052113534313876</stp>
        <tr r="U14" s="3"/>
      </tp>
      <tp t="s">
        <v>#N/A N/A</v>
        <stp/>
        <stp>BDH|16151913845582709352</stp>
        <tr r="K17" s="3"/>
      </tp>
      <tp t="s">
        <v>#N/A N/A</v>
        <stp/>
        <stp>BDH|10974370762476398990</stp>
        <tr r="AC29" s="2"/>
      </tp>
      <tp t="s">
        <v>#N/A N/A</v>
        <stp/>
        <stp>BDH|15077962776767243648</stp>
        <tr r="AD26" s="3"/>
      </tp>
      <tp t="s">
        <v>#N/A N/A</v>
        <stp/>
        <stp>BDH|18022643153421686070</stp>
        <tr r="AN24" s="2"/>
      </tp>
      <tp t="s">
        <v>#N/A N/A</v>
        <stp/>
        <stp>BDH|12994318537809124187</stp>
        <tr r="AH30" s="2"/>
      </tp>
      <tp t="s">
        <v>#N/A N/A</v>
        <stp/>
        <stp>BDH|17525495415361425949</stp>
        <tr r="Y25" s="3"/>
      </tp>
      <tp t="s">
        <v>#N/A N/A</v>
        <stp/>
        <stp>BDH|17323987367800268275</stp>
        <tr r="AN22" s="2"/>
      </tp>
      <tp t="s">
        <v>#N/A N/A</v>
        <stp/>
        <stp>BDH|13533898917693246316</stp>
        <tr r="Y28" s="3"/>
      </tp>
      <tp t="s">
        <v>#N/A N/A</v>
        <stp/>
        <stp>BDH|11678841759783473545</stp>
        <tr r="W13" s="2"/>
      </tp>
      <tp t="s">
        <v>#N/A N/A</v>
        <stp/>
        <stp>BDH|17740301841128289292</stp>
        <tr r="AM13" s="3"/>
      </tp>
      <tp t="s">
        <v>#N/A N/A</v>
        <stp/>
        <stp>BDH|14922212065542493841</stp>
        <tr r="AC14" s="3"/>
      </tp>
      <tp t="s">
        <v>#N/A N/A</v>
        <stp/>
        <stp>BDH|11823922265115404163</stp>
        <tr r="AL8" s="3"/>
      </tp>
      <tp t="s">
        <v>#N/A N/A</v>
        <stp/>
        <stp>BDH|12734168102519692087</stp>
        <tr r="AE20" s="3"/>
      </tp>
      <tp t="s">
        <v>#N/A N/A</v>
        <stp/>
        <stp>BDH|13648307488314459670</stp>
        <tr r="AL26" s="3"/>
      </tp>
      <tp t="s">
        <v>#N/A N/A</v>
        <stp/>
        <stp>BDH|10352968538350597043</stp>
        <tr r="AL31" s="2"/>
      </tp>
      <tp t="s">
        <v>#N/A N/A</v>
        <stp/>
        <stp>BDH|16529815387248585497</stp>
        <tr r="F8" s="2"/>
      </tp>
      <tp t="s">
        <v>#N/A N/A</v>
        <stp/>
        <stp>BDH|17646589284591103144</stp>
        <tr r="W9" s="2"/>
      </tp>
      <tp t="s">
        <v>#N/A N/A</v>
        <stp/>
        <stp>BDH|11355096343496306948</stp>
        <tr r="S7" s="3"/>
      </tp>
      <tp t="s">
        <v>#N/A N/A</v>
        <stp/>
        <stp>BDH|17834479215298240194</stp>
        <tr r="K7" s="2"/>
      </tp>
      <tp t="s">
        <v>#N/A N/A</v>
        <stp/>
        <stp>BDH|13157570586056185313</stp>
        <tr r="W7" s="2"/>
      </tp>
      <tp t="s">
        <v>#N/A N/A</v>
        <stp/>
        <stp>BDH|11022549747219326231</stp>
        <tr r="Q10" s="2"/>
      </tp>
      <tp t="s">
        <v>#N/A N/A</v>
        <stp/>
        <stp>BDH|12485105687073368338</stp>
        <tr r="AL21" s="2"/>
      </tp>
      <tp t="s">
        <v>#N/A N/A</v>
        <stp/>
        <stp>BDH|11232726383397773268</stp>
        <tr r="U19" s="2"/>
      </tp>
      <tp t="s">
        <v>#N/A N/A</v>
        <stp/>
        <stp>BDH|16388007691200065404</stp>
        <tr r="S23" s="2"/>
      </tp>
      <tp t="s">
        <v>#N/A N/A</v>
        <stp/>
        <stp>BDH|11229189088235652669</stp>
        <tr r="AO22" s="3"/>
      </tp>
      <tp t="s">
        <v>#N/A N/A</v>
        <stp/>
        <stp>BDH|15654877390406294964</stp>
        <tr r="K18" s="3"/>
      </tp>
      <tp t="s">
        <v>#N/A N/A</v>
        <stp/>
        <stp>BDH|12745978497119546075</stp>
        <tr r="AC10" s="2"/>
      </tp>
      <tp t="s">
        <v>#N/A N/A</v>
        <stp/>
        <stp>BDH|18247181014157877430</stp>
        <tr r="Z31" s="2"/>
      </tp>
      <tp t="s">
        <v>#N/A N/A</v>
        <stp/>
        <stp>BDH|17217485981745709595</stp>
        <tr r="L23" s="2"/>
      </tp>
      <tp t="s">
        <v>#N/A N/A</v>
        <stp/>
        <stp>BDH|13915874693189187081</stp>
        <tr r="E24" s="2"/>
      </tp>
      <tp t="s">
        <v>#N/A N/A</v>
        <stp/>
        <stp>BDH|11174793984805167099</stp>
        <tr r="N28" s="3"/>
      </tp>
      <tp t="s">
        <v>#N/A N/A</v>
        <stp/>
        <stp>BDH|14603221882484293108</stp>
        <tr r="X7" s="3"/>
      </tp>
      <tp t="s">
        <v>#N/A N/A</v>
        <stp/>
        <stp>BDH|14221376993250576548</stp>
        <tr r="J9" s="3"/>
      </tp>
      <tp t="s">
        <v>#N/A N/A</v>
        <stp/>
        <stp>BDH|10346050574958552401</stp>
        <tr r="G19" s="2"/>
      </tp>
      <tp t="s">
        <v>#N/A N/A</v>
        <stp/>
        <stp>BDH|17686460394180443175</stp>
        <tr r="AH19" s="2"/>
      </tp>
      <tp t="s">
        <v>#N/A N/A</v>
        <stp/>
        <stp>BDH|13935163093464347481</stp>
        <tr r="G9" s="3"/>
      </tp>
      <tp t="s">
        <v>#N/A N/A</v>
        <stp/>
        <stp>BDH|11217453311688405754</stp>
        <tr r="AK7" s="3"/>
      </tp>
      <tp t="s">
        <v>#N/A N/A</v>
        <stp/>
        <stp>BDH|10702895730353987309</stp>
        <tr r="F21" s="2"/>
      </tp>
      <tp t="s">
        <v>#N/A N/A</v>
        <stp/>
        <stp>BDH|10171285231588991268</stp>
        <tr r="N10" s="3"/>
      </tp>
      <tp t="s">
        <v>#N/A N/A</v>
        <stp/>
        <stp>BDH|18162196649857105160</stp>
        <tr r="S18" s="3"/>
      </tp>
      <tp t="s">
        <v>#N/A N/A</v>
        <stp/>
        <stp>BDH|13453262090537074443</stp>
        <tr r="J24" s="2"/>
      </tp>
      <tp t="s">
        <v>#N/A N/A</v>
        <stp/>
        <stp>BDH|12405861548381778445</stp>
        <tr r="O22" s="2"/>
      </tp>
      <tp t="s">
        <v>#N/A N/A</v>
        <stp/>
        <stp>BDH|12550580592076088371</stp>
        <tr r="W25" s="3"/>
      </tp>
      <tp t="s">
        <v>#N/A N/A</v>
        <stp/>
        <stp>BDH|11488033531458587182</stp>
        <tr r="V28" s="3"/>
      </tp>
      <tp t="s">
        <v>#N/A N/A</v>
        <stp/>
        <stp>BDH|16366759891335486697</stp>
        <tr r="W6" s="3"/>
      </tp>
      <tp t="s">
        <v>#N/A N/A</v>
        <stp/>
        <stp>BDH|11309210613418983157</stp>
        <tr r="L9" s="3"/>
      </tp>
      <tp t="s">
        <v>#N/A N/A</v>
        <stp/>
        <stp>BDH|17051938528051562637</stp>
        <tr r="H26" s="2"/>
      </tp>
      <tp t="s">
        <v>#N/A N/A</v>
        <stp/>
        <stp>BDH|13574100899912723277</stp>
        <tr r="L16" s="3"/>
      </tp>
      <tp t="s">
        <v>#N/A N/A</v>
        <stp/>
        <stp>BDH|15405287482187185330</stp>
        <tr r="AA24" s="3"/>
      </tp>
      <tp t="s">
        <v>#N/A N/A</v>
        <stp/>
        <stp>BDH|15973840430657638270</stp>
        <tr r="AO13" s="2"/>
      </tp>
      <tp t="s">
        <v>#N/A N/A</v>
        <stp/>
        <stp>BDH|12730294878355266987</stp>
        <tr r="H29" s="2"/>
      </tp>
      <tp t="s">
        <v>#N/A N/A</v>
        <stp/>
        <stp>BDH|17610730145919775688</stp>
        <tr r="AD28" s="3"/>
      </tp>
      <tp t="s">
        <v>#N/A N/A</v>
        <stp/>
        <stp>BDH|12823588569279445337</stp>
        <tr r="D6" s="3"/>
      </tp>
      <tp t="s">
        <v>#N/A N/A</v>
        <stp/>
        <stp>BDH|14379354059400503946</stp>
        <tr r="R25" s="2"/>
      </tp>
      <tp t="s">
        <v>#N/A N/A</v>
        <stp/>
        <stp>BDH|17968877815382016753</stp>
        <tr r="AD18" s="3"/>
      </tp>
      <tp t="s">
        <v>#N/A N/A</v>
        <stp/>
        <stp>BDH|14365392149881899951</stp>
        <tr r="AA22" s="2"/>
      </tp>
      <tp t="s">
        <v>#N/A N/A</v>
        <stp/>
        <stp>BDH|14908902228240476746</stp>
        <tr r="AE25" s="3"/>
      </tp>
      <tp t="s">
        <v>#N/A N/A</v>
        <stp/>
        <stp>BDH|15578840490948887486</stp>
        <tr r="AF31" s="2"/>
      </tp>
      <tp t="s">
        <v>#N/A N/A</v>
        <stp/>
        <stp>BDH|13053612128416012998</stp>
        <tr r="H30" s="2"/>
      </tp>
      <tp t="s">
        <v>#N/A N/A</v>
        <stp/>
        <stp>BDH|18354724640670234339</stp>
        <tr r="AL10" s="3"/>
      </tp>
      <tp t="s">
        <v>#N/A N/A</v>
        <stp/>
        <stp>BDH|16963701159844417842</stp>
        <tr r="AK8" s="3"/>
      </tp>
      <tp t="s">
        <v>#N/A N/A</v>
        <stp/>
        <stp>BDH|12936155821188902141</stp>
        <tr r="AL22" s="2"/>
      </tp>
      <tp t="s">
        <v>#N/A N/A</v>
        <stp/>
        <stp>BDH|15765939957347006638</stp>
        <tr r="AC20" s="3"/>
      </tp>
      <tp t="s">
        <v>#N/A N/A</v>
        <stp/>
        <stp>BDH|16091141219107765992</stp>
        <tr r="L22" s="2"/>
      </tp>
      <tp t="s">
        <v>#N/A N/A</v>
        <stp/>
        <stp>BDH|14833771030921881940</stp>
        <tr r="AA7" s="3"/>
      </tp>
      <tp t="s">
        <v>#N/A N/A</v>
        <stp/>
        <stp>BDH|15818944049477588723</stp>
        <tr r="AF24" s="2"/>
      </tp>
      <tp t="s">
        <v>#N/A N/A</v>
        <stp/>
        <stp>BDH|16147352457680497851</stp>
        <tr r="H10" s="2"/>
      </tp>
      <tp t="s">
        <v>#N/A N/A</v>
        <stp/>
        <stp>BDH|18323529808042992727</stp>
        <tr r="P26" s="3"/>
      </tp>
      <tp t="s">
        <v>#N/A N/A</v>
        <stp/>
        <stp>BDH|18143187305102976371</stp>
        <tr r="R7" s="3"/>
      </tp>
      <tp t="s">
        <v>#N/A N/A</v>
        <stp/>
        <stp>BDH|10639939535282740024</stp>
        <tr r="AB16" s="3"/>
      </tp>
      <tp t="s">
        <v>#N/A N/A</v>
        <stp/>
        <stp>BDH|10942373106219454293</stp>
        <tr r="AP30" s="2"/>
      </tp>
      <tp t="s">
        <v>#N/A N/A</v>
        <stp/>
        <stp>BDH|11699476027247653858</stp>
        <tr r="U20" s="3"/>
      </tp>
      <tp t="s">
        <v>#N/A N/A</v>
        <stp/>
        <stp>BDH|13909958695918450381</stp>
        <tr r="S9" s="3"/>
      </tp>
      <tp t="s">
        <v>#N/A N/A</v>
        <stp/>
        <stp>BDH|16656800999556269983</stp>
        <tr r="AO9" s="2"/>
      </tp>
      <tp t="s">
        <v>#N/A N/A</v>
        <stp/>
        <stp>BDH|13181208573768245647</stp>
        <tr r="AK19" s="2"/>
      </tp>
      <tp t="s">
        <v>#N/A N/A</v>
        <stp/>
        <stp>BDH|10491791683135937209</stp>
        <tr r="V10" s="2"/>
      </tp>
      <tp t="s">
        <v>#N/A N/A</v>
        <stp/>
        <stp>BDH|18143354665041361453</stp>
        <tr r="T25" s="3"/>
      </tp>
      <tp t="s">
        <v>#N/A N/A</v>
        <stp/>
        <stp>BDH|11058643888123280484</stp>
        <tr r="O8" s="2"/>
      </tp>
      <tp t="s">
        <v>#N/A N/A</v>
        <stp/>
        <stp>BDH|16371687084004131482</stp>
        <tr r="U13" s="3"/>
      </tp>
      <tp t="s">
        <v>#N/A N/A</v>
        <stp/>
        <stp>BDH|16447244310289737414</stp>
        <tr r="L28" s="3"/>
      </tp>
      <tp t="s">
        <v>#N/A N/A</v>
        <stp/>
        <stp>BDH|16100211398880076511</stp>
        <tr r="AA19" s="2"/>
      </tp>
      <tp t="s">
        <v>#N/A N/A</v>
        <stp/>
        <stp>BDH|11399518485177575397</stp>
        <tr r="E23" s="2"/>
      </tp>
      <tp t="s">
        <v>#N/A N/A</v>
        <stp/>
        <stp>BDH|13331885637916666602</stp>
        <tr r="K25" s="3"/>
      </tp>
      <tp t="s">
        <v>#N/A N/A</v>
        <stp/>
        <stp>BDH|12649446296814902379</stp>
        <tr r="K30" s="2"/>
      </tp>
      <tp t="s">
        <v>#N/A N/A</v>
        <stp/>
        <stp>BDH|16263663696751110091</stp>
        <tr r="AE7" s="3"/>
      </tp>
      <tp t="s">
        <v>#N/A N/A</v>
        <stp/>
        <stp>BDH|16142454326428168093</stp>
        <tr r="AJ17" s="3"/>
      </tp>
      <tp t="s">
        <v>#N/A N/A</v>
        <stp/>
        <stp>BDH|12296722086716394388</stp>
        <tr r="L9" s="2"/>
      </tp>
      <tp t="s">
        <v>#N/A N/A</v>
        <stp/>
        <stp>BDH|15498808532795930326</stp>
        <tr r="C28" s="3"/>
      </tp>
      <tp t="s">
        <v>#N/A N/A</v>
        <stp/>
        <stp>BDH|12820340084043162244</stp>
        <tr r="P26" s="2"/>
      </tp>
      <tp t="s">
        <v>#N/A N/A</v>
        <stp/>
        <stp>BDH|10339990907266775773</stp>
        <tr r="C17" s="3"/>
      </tp>
      <tp t="s">
        <v>#N/A N/A</v>
        <stp/>
        <stp>BDH|15962786756027251881</stp>
        <tr r="AF30" s="2"/>
      </tp>
      <tp t="s">
        <v>#N/A N/A</v>
        <stp/>
        <stp>BDH|12832445598447921004</stp>
        <tr r="H19" s="2"/>
      </tp>
      <tp t="s">
        <v>#N/A N/A</v>
        <stp/>
        <stp>BDH|16391722595917898704</stp>
        <tr r="AP18" s="3"/>
      </tp>
      <tp t="s">
        <v>#N/A N/A</v>
        <stp/>
        <stp>BDH|18028094852557239250</stp>
        <tr r="AN25" s="2"/>
      </tp>
      <tp t="s">
        <v>#N/A N/A</v>
        <stp/>
        <stp>BDH|16070230761899936340</stp>
        <tr r="AH31" s="2"/>
      </tp>
      <tp t="s">
        <v>#N/A N/A</v>
        <stp/>
        <stp>BDH|11660494381673492641</stp>
        <tr r="X31" s="2"/>
      </tp>
      <tp t="s">
        <v>#N/A N/A</v>
        <stp/>
        <stp>BDH|17970208488823904664</stp>
        <tr r="AL7" s="3"/>
      </tp>
      <tp t="s">
        <v>#N/A N/A</v>
        <stp/>
        <stp>BDH|10947285871938294438</stp>
        <tr r="T24" s="2"/>
      </tp>
      <tp t="s">
        <v>#N/A N/A</v>
        <stp/>
        <stp>BDH|17248475921040084854</stp>
        <tr r="Q25" s="2"/>
      </tp>
      <tp t="s">
        <v>#N/A N/A</v>
        <stp/>
        <stp>BDH|10200756051523170864</stp>
        <tr r="D8" s="2"/>
      </tp>
      <tp t="s">
        <v>#N/A N/A</v>
        <stp/>
        <stp>BDH|13892081592990272312</stp>
        <tr r="Q18" s="3"/>
      </tp>
      <tp t="s">
        <v>#N/A N/A</v>
        <stp/>
        <stp>BDH|17045276252480135976</stp>
        <tr r="N6" s="3"/>
      </tp>
      <tp t="s">
        <v>#N/A N/A</v>
        <stp/>
        <stp>BDH|10156852971527258145</stp>
        <tr r="S21" s="3"/>
      </tp>
      <tp t="s">
        <v>#N/A N/A</v>
        <stp/>
        <stp>BDH|16794238982064678130</stp>
        <tr r="P19" s="2"/>
      </tp>
      <tp t="s">
        <v>#N/A N/A</v>
        <stp/>
        <stp>BDH|10725232686047330439</stp>
        <tr r="AO17" s="3"/>
      </tp>
      <tp t="s">
        <v>#N/A N/A</v>
        <stp/>
        <stp>BDH|14712235482940315774</stp>
        <tr r="O25" s="3"/>
      </tp>
      <tp t="s">
        <v>#N/A N/A</v>
        <stp/>
        <stp>BDH|14486998601715859113</stp>
        <tr r="G13" s="2"/>
      </tp>
      <tp t="s">
        <v>#N/A N/A</v>
        <stp/>
        <stp>BDH|16320016831684140870</stp>
        <tr r="J26" s="2"/>
      </tp>
      <tp t="s">
        <v>#N/A N/A</v>
        <stp/>
        <stp>BDH|12480682184935490082</stp>
        <tr r="X23" s="2"/>
      </tp>
      <tp t="s">
        <v>#N/A N/A</v>
        <stp/>
        <stp>BDH|14478461910830693809</stp>
        <tr r="W13" s="3"/>
      </tp>
      <tp t="s">
        <v>#N/A N/A</v>
        <stp/>
        <stp>BDH|11791855374536599175</stp>
        <tr r="E24" s="3"/>
      </tp>
      <tp t="s">
        <v>#N/A N/A</v>
        <stp/>
        <stp>BDH|14943916848639372976</stp>
        <tr r="AC13" s="3"/>
      </tp>
      <tp t="s">
        <v>#N/A N/A</v>
        <stp/>
        <stp>BDH|14562843839535819373</stp>
        <tr r="C6" s="3"/>
      </tp>
      <tp t="s">
        <v>#N/A N/A</v>
        <stp/>
        <stp>BDH|18294062553950165413</stp>
        <tr r="AF26" s="3"/>
      </tp>
      <tp t="s">
        <v>#N/A N/A</v>
        <stp/>
        <stp>BDH|10623474354628356010</stp>
        <tr r="AC12" s="3"/>
      </tp>
      <tp t="s">
        <v>#N/A N/A</v>
        <stp/>
        <stp>BDH|16307686258268274467</stp>
        <tr r="O28" s="3"/>
      </tp>
      <tp t="s">
        <v>#N/A N/A</v>
        <stp/>
        <stp>BDH|14285822551499789903</stp>
        <tr r="F6" s="3"/>
      </tp>
      <tp t="s">
        <v>#N/A N/A</v>
        <stp/>
        <stp>BDH|12698221653064155809</stp>
        <tr r="N22" s="2"/>
      </tp>
      <tp t="s">
        <v>#N/A N/A</v>
        <stp/>
        <stp>BDH|15565014032697449844</stp>
        <tr r="V24" s="3"/>
      </tp>
      <tp t="s">
        <v>#N/A N/A</v>
        <stp/>
        <stp>BDH|15138998799924898803</stp>
        <tr r="I9" s="2"/>
      </tp>
      <tp t="s">
        <v>#N/A N/A</v>
        <stp/>
        <stp>BDH|16881940220745219173</stp>
        <tr r="N8" s="2"/>
      </tp>
      <tp t="s">
        <v>#N/A N/A</v>
        <stp/>
        <stp>BDH|11001757799017520123</stp>
        <tr r="V25" s="3"/>
      </tp>
      <tp t="s">
        <v>#N/A N/A</v>
        <stp/>
        <stp>BDH|12496923514907854412</stp>
        <tr r="AI12" s="3"/>
      </tp>
      <tp t="s">
        <v>#N/A N/A</v>
        <stp/>
        <stp>BDH|13748465653412868909</stp>
        <tr r="AG8" s="3"/>
      </tp>
      <tp t="s">
        <v>#N/A N/A</v>
        <stp/>
        <stp>BDH|12176733614609409483</stp>
        <tr r="C10" s="2"/>
      </tp>
      <tp t="s">
        <v>#N/A N/A</v>
        <stp/>
        <stp>BDH|17971343080045773006</stp>
        <tr r="AM7" s="3"/>
      </tp>
      <tp t="s">
        <v>#N/A N/A</v>
        <stp/>
        <stp>BDH|11349136013261010995</stp>
        <tr r="P30" s="2"/>
      </tp>
      <tp t="s">
        <v>#N/A N/A</v>
        <stp/>
        <stp>BDH|10012485481122416707</stp>
        <tr r="O29" s="2"/>
      </tp>
      <tp t="s">
        <v>#N/A N/A</v>
        <stp/>
        <stp>BDH|15618819861800303286</stp>
        <tr r="E8" s="2"/>
      </tp>
      <tp t="s">
        <v>#N/A N/A</v>
        <stp/>
        <stp>BDH|16954633253668623435</stp>
        <tr r="AJ24" s="3"/>
      </tp>
      <tp t="s">
        <v>#N/A N/A</v>
        <stp/>
        <stp>BDH|12034455693237909131</stp>
        <tr r="D21" s="3"/>
      </tp>
      <tp t="s">
        <v>#N/A N/A</v>
        <stp/>
        <stp>BDH|11211745663809955037</stp>
        <tr r="V13" s="3"/>
      </tp>
      <tp t="s">
        <v>#N/A N/A</v>
        <stp/>
        <stp>BDH|14274645342387391885</stp>
        <tr r="K8" s="2"/>
      </tp>
      <tp t="s">
        <v>#N/A N/A</v>
        <stp/>
        <stp>BDH|10470551942931530998</stp>
        <tr r="F26" s="3"/>
      </tp>
      <tp t="s">
        <v>#N/A N/A</v>
        <stp/>
        <stp>BDH|17996428541437005947</stp>
        <tr r="AM22" s="2"/>
      </tp>
      <tp t="s">
        <v>#N/A N/A</v>
        <stp/>
        <stp>BDH|13459185632779642162</stp>
        <tr r="I22" s="2"/>
      </tp>
      <tp t="s">
        <v>#N/A N/A</v>
        <stp/>
        <stp>BDH|10718971613396432790</stp>
        <tr r="X21" s="2"/>
      </tp>
      <tp t="s">
        <v>#N/A N/A</v>
        <stp/>
        <stp>BDH|18404549585328301375</stp>
        <tr r="Y21" s="3"/>
      </tp>
      <tp t="s">
        <v>#N/A N/A</v>
        <stp/>
        <stp>BDH|15696111335181191821</stp>
        <tr r="AG24" s="2"/>
      </tp>
      <tp t="s">
        <v>#N/A N/A</v>
        <stp/>
        <stp>BDH|15779900574936607354</stp>
        <tr r="AH21" s="3"/>
      </tp>
      <tp t="s">
        <v>#N/A N/A</v>
        <stp/>
        <stp>BDH|10630297292013441693</stp>
        <tr r="AG22" s="3"/>
      </tp>
      <tp t="s">
        <v>#N/A N/A</v>
        <stp/>
        <stp>BDH|12247049965328352236</stp>
        <tr r="Y25" s="2"/>
      </tp>
      <tp t="s">
        <v>#N/A N/A</v>
        <stp/>
        <stp>BDH|11019790968527534974</stp>
        <tr r="C30" s="2"/>
      </tp>
      <tp t="s">
        <v>#N/A N/A</v>
        <stp/>
        <stp>BDH|12334712293394665645</stp>
        <tr r="AI31" s="2"/>
      </tp>
      <tp t="s">
        <v>#N/A N/A</v>
        <stp/>
        <stp>BDH|14139281469087696948</stp>
        <tr r="AP7" s="2"/>
      </tp>
      <tp t="s">
        <v>#N/A N/A</v>
        <stp/>
        <stp>BDH|10574973058567041584</stp>
        <tr r="AK17" s="3"/>
      </tp>
      <tp t="s">
        <v>#N/A N/A</v>
        <stp/>
        <stp>BDH|16511858372605485247</stp>
        <tr r="AP8" s="2"/>
      </tp>
      <tp t="s">
        <v>#N/A N/A</v>
        <stp/>
        <stp>BDH|17554613431378838486</stp>
        <tr r="D19" s="2"/>
      </tp>
      <tp t="s">
        <v>#N/A N/A</v>
        <stp/>
        <stp>BDH|17352867202110451162</stp>
        <tr r="U31" s="2"/>
      </tp>
      <tp t="s">
        <v>#N/A N/A</v>
        <stp/>
        <stp>BDH|14241584458008468228</stp>
        <tr r="M24" s="3"/>
      </tp>
      <tp t="s">
        <v>#N/A N/A</v>
        <stp/>
        <stp>BDH|13986942768896993489</stp>
        <tr r="AN23" s="2"/>
      </tp>
      <tp t="s">
        <v>#N/A N/A</v>
        <stp/>
        <stp>BDH|11441414594335529704</stp>
        <tr r="L10" s="2"/>
      </tp>
      <tp t="s">
        <v>#N/A N/A</v>
        <stp/>
        <stp>BDH|18009439501624167640</stp>
        <tr r="AC6" s="3"/>
      </tp>
      <tp t="s">
        <v>#N/A N/A</v>
        <stp/>
        <stp>BDH|11962492795167080529</stp>
        <tr r="I8" s="2"/>
      </tp>
      <tp t="s">
        <v>#N/A N/A</v>
        <stp/>
        <stp>BDH|15473181813973058860</stp>
        <tr r="F7" s="2"/>
      </tp>
      <tp t="s">
        <v>#N/A N/A</v>
        <stp/>
        <stp>BDH|15829824874821412533</stp>
        <tr r="AG21" s="2"/>
      </tp>
      <tp t="s">
        <v>#N/A N/A</v>
        <stp/>
        <stp>BDH|16974183198450253020</stp>
        <tr r="V16" s="3"/>
      </tp>
      <tp t="s">
        <v>#N/A N/A</v>
        <stp/>
        <stp>BDH|17125078730948700299</stp>
        <tr r="Y24" s="3"/>
      </tp>
      <tp t="s">
        <v>#N/A N/A</v>
        <stp/>
        <stp>BDH|16239213095857477496</stp>
        <tr r="J25" s="3"/>
      </tp>
      <tp t="s">
        <v>#N/A N/A</v>
        <stp/>
        <stp>BDH|14597910732418995847</stp>
        <tr r="AN28" s="3"/>
      </tp>
      <tp t="s">
        <v>#N/A N/A</v>
        <stp/>
        <stp>BDH|15939651868772821971</stp>
        <tr r="AI28" s="3"/>
      </tp>
      <tp t="s">
        <v>#N/A N/A</v>
        <stp/>
        <stp>BDH|13805956832190319773</stp>
        <tr r="N7" s="2"/>
      </tp>
      <tp t="s">
        <v>#N/A N/A</v>
        <stp/>
        <stp>BDH|12114144011275948971</stp>
        <tr r="AI25" s="2"/>
      </tp>
      <tp t="s">
        <v>#N/A N/A</v>
        <stp/>
        <stp>BDH|17719738269621825981</stp>
        <tr r="AA10" s="2"/>
      </tp>
      <tp t="s">
        <v>#N/A N/A</v>
        <stp/>
        <stp>BDH|14297794561428027379</stp>
        <tr r="W20" s="3"/>
      </tp>
      <tp t="s">
        <v>#N/A N/A</v>
        <stp/>
        <stp>BDH|18363579139446444657</stp>
        <tr r="AH7" s="3"/>
      </tp>
      <tp t="s">
        <v>#N/A N/A</v>
        <stp/>
        <stp>BDH|14261849265935710185</stp>
        <tr r="F29" s="2"/>
      </tp>
      <tp t="s">
        <v>#N/A N/A</v>
        <stp/>
        <stp>BDH|11128817999508253677</stp>
        <tr r="AD25" s="2"/>
      </tp>
      <tp t="s">
        <v>#N/A N/A</v>
        <stp/>
        <stp>BDH|15586540971860562992</stp>
        <tr r="AO30" s="2"/>
      </tp>
      <tp t="s">
        <v>#N/A N/A</v>
        <stp/>
        <stp>BDH|11531305468913024919</stp>
        <tr r="AE7" s="2"/>
      </tp>
      <tp t="s">
        <v>#N/A N/A</v>
        <stp/>
        <stp>BDH|17070097762996526918</stp>
        <tr r="U24" s="2"/>
      </tp>
      <tp t="s">
        <v>#N/A N/A</v>
        <stp/>
        <stp>BDH|10806868017331612608</stp>
        <tr r="Q14" s="3"/>
      </tp>
      <tp t="s">
        <v>#N/A N/A</v>
        <stp/>
        <stp>BDH|15544162595975139697</stp>
        <tr r="AO7" s="3"/>
      </tp>
      <tp t="s">
        <v>#N/A N/A</v>
        <stp/>
        <stp>BDH|13616750350729872653</stp>
        <tr r="Z25" s="2"/>
      </tp>
      <tp t="s">
        <v>#N/A N/A</v>
        <stp/>
        <stp>BDH|10553775558479301571</stp>
        <tr r="L13" s="3"/>
      </tp>
    </main>
    <main first="bofaddin.rtdserver">
      <tp t="s">
        <v>#N/A N/A</v>
        <stp/>
        <stp>BDH|13663038651269245072</stp>
        <tr r="H25" s="2"/>
      </tp>
      <tp t="s">
        <v>#N/A N/A</v>
        <stp/>
        <stp>BDH|16076346880605564709</stp>
        <tr r="C8" s="2"/>
      </tp>
      <tp t="s">
        <v>#N/A N/A</v>
        <stp/>
        <stp>BDH|17038744613757672914</stp>
        <tr r="Z18" s="3"/>
      </tp>
      <tp t="s">
        <v>#N/A N/A</v>
        <stp/>
        <stp>BDH|15833005797305845672</stp>
        <tr r="D26" s="3"/>
      </tp>
      <tp t="s">
        <v>#N/A N/A</v>
        <stp/>
        <stp>BDH|17243969086689187007</stp>
        <tr r="S22" s="2"/>
      </tp>
      <tp t="s">
        <v>#N/A N/A</v>
        <stp/>
        <stp>BDH|12684379593905363235</stp>
        <tr r="AF13" s="2"/>
      </tp>
      <tp t="s">
        <v>#N/A N/A</v>
        <stp/>
        <stp>BDH|10107245496455132108</stp>
        <tr r="AK22" s="3"/>
      </tp>
      <tp t="s">
        <v>#N/A N/A</v>
        <stp/>
        <stp>BDH|13632314482685484237</stp>
        <tr r="M9" s="3"/>
      </tp>
      <tp t="s">
        <v>#N/A N/A</v>
        <stp/>
        <stp>BDH|14373674200148650504</stp>
        <tr r="K31" s="2"/>
      </tp>
      <tp t="s">
        <v>#N/A N/A</v>
        <stp/>
        <stp>BDH|15993282340234625859</stp>
        <tr r="J23" s="2"/>
      </tp>
      <tp t="s">
        <v>#N/A N/A</v>
        <stp/>
        <stp>BDH|12739613967259010445</stp>
        <tr r="AG19" s="2"/>
      </tp>
      <tp t="s">
        <v>#N/A N/A</v>
        <stp/>
        <stp>BDH|11423324674583250953</stp>
        <tr r="AO9" s="3"/>
      </tp>
    </main>
    <main first="bofaddin.rtdserver">
      <tp t="s">
        <v>#N/A N/A</v>
        <stp/>
        <stp>BDH|13936239839668624514</stp>
        <tr r="I12" s="3"/>
      </tp>
      <tp t="s">
        <v>#N/A N/A</v>
        <stp/>
        <stp>BDH|16482921969294261297</stp>
        <tr r="X24" s="3"/>
      </tp>
      <tp t="s">
        <v>#N/A N/A</v>
        <stp/>
        <stp>BDH|12504816074824457607</stp>
        <tr r="R10" s="3"/>
      </tp>
      <tp t="s">
        <v>#N/A N/A</v>
        <stp/>
        <stp>BDH|13069521318241855959</stp>
        <tr r="F10" s="2"/>
      </tp>
      <tp t="s">
        <v>#N/A N/A</v>
        <stp/>
        <stp>BDH|18158173435002074749</stp>
        <tr r="AA18" s="3"/>
      </tp>
      <tp t="s">
        <v>#N/A N/A</v>
        <stp/>
        <stp>BDH|16774951127056088421</stp>
        <tr r="AF18" s="3"/>
      </tp>
      <tp t="s">
        <v>#N/A N/A</v>
        <stp/>
        <stp>BDH|17818784982495663231</stp>
        <tr r="I18" s="3"/>
      </tp>
      <tp t="s">
        <v>#N/A N/A</v>
        <stp/>
        <stp>BDH|12377231630935907909</stp>
        <tr r="W7" s="3"/>
      </tp>
      <tp t="s">
        <v>#N/A N/A</v>
        <stp/>
        <stp>BDH|12452095196176309208</stp>
        <tr r="U7" s="2"/>
      </tp>
      <tp t="s">
        <v>#N/A N/A</v>
        <stp/>
        <stp>BDH|15724845668850717446</stp>
        <tr r="AL18" s="3"/>
      </tp>
      <tp t="s">
        <v>#N/A N/A</v>
        <stp/>
        <stp>BDH|17143252501873519981</stp>
        <tr r="F9" s="3"/>
      </tp>
      <tp t="s">
        <v>#N/A N/A</v>
        <stp/>
        <stp>BDH|10118427273939067584</stp>
        <tr r="AA26" s="2"/>
      </tp>
      <tp t="s">
        <v>#N/A N/A</v>
        <stp/>
        <stp>BDH|14469295024909923284</stp>
        <tr r="S16" s="3"/>
      </tp>
      <tp t="s">
        <v>#N/A N/A</v>
        <stp/>
        <stp>BDH|13262366596843984519</stp>
        <tr r="Q21" s="3"/>
      </tp>
      <tp t="s">
        <v>#N/A N/A</v>
        <stp/>
        <stp>BDH|15381282743729036527</stp>
        <tr r="K13" s="3"/>
      </tp>
      <tp t="s">
        <v>#N/A N/A</v>
        <stp/>
        <stp>BDH|10430922051967589481</stp>
        <tr r="G8" s="3"/>
      </tp>
      <tp t="s">
        <v>#N/A N/A</v>
        <stp/>
        <stp>BDH|10148391716358515569</stp>
        <tr r="U22" s="2"/>
      </tp>
      <tp t="s">
        <v>#N/A N/A</v>
        <stp/>
        <stp>BDH|14295752814034627987</stp>
        <tr r="AK20" s="3"/>
      </tp>
      <tp t="s">
        <v>#N/A N/A</v>
        <stp/>
        <stp>BDH|10351590982736722433</stp>
        <tr r="J30" s="2"/>
      </tp>
      <tp t="s">
        <v>#N/A N/A</v>
        <stp/>
        <stp>BDH|14960378693230451164</stp>
        <tr r="AJ21" s="2"/>
      </tp>
      <tp t="s">
        <v>#N/A N/A</v>
        <stp/>
        <stp>BDH|12887127581432058642</stp>
        <tr r="AD29" s="2"/>
      </tp>
      <tp t="s">
        <v>#N/A N/A</v>
        <stp/>
        <stp>BDH|14590099497695160753</stp>
        <tr r="K22" s="2"/>
      </tp>
      <tp t="s">
        <v>#N/A N/A</v>
        <stp/>
        <stp>BDH|17112995003621639030</stp>
        <tr r="E19" s="2"/>
      </tp>
      <tp t="s">
        <v>#N/A N/A</v>
        <stp/>
        <stp>BDH|14983121806320969956</stp>
        <tr r="AN6" s="3"/>
      </tp>
      <tp t="s">
        <v>#N/A N/A</v>
        <stp/>
        <stp>BDH|16277083938468589164</stp>
        <tr r="O24" s="2"/>
      </tp>
      <tp t="s">
        <v>#N/A N/A</v>
        <stp/>
        <stp>BDH|17681619137158311623</stp>
        <tr r="Y24" s="2"/>
      </tp>
      <tp t="s">
        <v>#N/A N/A</v>
        <stp/>
        <stp>BDH|11170567081396740603</stp>
        <tr r="AC18" s="3"/>
      </tp>
      <tp t="s">
        <v>#N/A N/A</v>
        <stp/>
        <stp>BDH|12199664348504628895</stp>
        <tr r="AB12" s="3"/>
      </tp>
      <tp t="s">
        <v>#N/A N/A</v>
        <stp/>
        <stp>BDH|16902703693516933233</stp>
        <tr r="AA13" s="2"/>
      </tp>
      <tp t="s">
        <v>#N/A N/A</v>
        <stp/>
        <stp>BDH|17013368510830535934</stp>
        <tr r="AI23" s="2"/>
      </tp>
      <tp t="s">
        <v>#N/A N/A</v>
        <stp/>
        <stp>BDH|12877033484885863346</stp>
        <tr r="I7" s="2"/>
      </tp>
      <tp t="s">
        <v>#N/A N/A</v>
        <stp/>
        <stp>BDH|15584855410057164730</stp>
        <tr r="M10" s="3"/>
      </tp>
      <tp t="s">
        <v>#N/A N/A</v>
        <stp/>
        <stp>BDH|14158827933640383312</stp>
        <tr r="AE14" s="3"/>
      </tp>
      <tp t="s">
        <v>#N/A N/A</v>
        <stp/>
        <stp>BDH|14214638194756675114</stp>
        <tr r="AP26" s="3"/>
      </tp>
      <tp t="s">
        <v>#N/A N/A</v>
        <stp/>
        <stp>BDH|15409081392688432889</stp>
        <tr r="N8" s="3"/>
      </tp>
      <tp t="s">
        <v>#N/A N/A</v>
        <stp/>
        <stp>BDH|16783150172204687841</stp>
        <tr r="P17" s="3"/>
      </tp>
      <tp t="s">
        <v>#N/A N/A</v>
        <stp/>
        <stp>BDH|11738560190211787038</stp>
        <tr r="AA23" s="2"/>
      </tp>
      <tp t="s">
        <v>#N/A N/A</v>
        <stp/>
        <stp>BDH|16099627751928600101</stp>
        <tr r="M17" s="3"/>
      </tp>
      <tp t="s">
        <v>#N/A N/A</v>
        <stp/>
        <stp>BDH|13405157501668076648</stp>
        <tr r="X29" s="2"/>
      </tp>
      <tp t="s">
        <v>#N/A N/A</v>
        <stp/>
        <stp>BDH|16060617075712284929</stp>
        <tr r="AH6" s="3"/>
      </tp>
      <tp t="s">
        <v>#N/A N/A</v>
        <stp/>
        <stp>BDH|13562805905612148568</stp>
        <tr r="AK21" s="3"/>
      </tp>
      <tp t="s">
        <v>#N/A N/A</v>
        <stp/>
        <stp>BDH|11109277820585119803</stp>
        <tr r="P7" s="3"/>
      </tp>
      <tp t="s">
        <v>#N/A N/A</v>
        <stp/>
        <stp>BDH|11956223208456421905</stp>
        <tr r="AC8" s="3"/>
      </tp>
      <tp t="s">
        <v>#N/A N/A</v>
        <stp/>
        <stp>BDH|12734600205831126953</stp>
        <tr r="AB26" s="2"/>
      </tp>
      <tp t="s">
        <v>#N/A N/A</v>
        <stp/>
        <stp>BDH|14090272195301168257</stp>
        <tr r="H21" s="3"/>
      </tp>
      <tp t="s">
        <v>#N/A N/A</v>
        <stp/>
        <stp>BDH|18251401770313624426</stp>
        <tr r="AF29" s="2"/>
      </tp>
      <tp t="s">
        <v>#N/A N/A</v>
        <stp/>
        <stp>BDH|15508576469269963345</stp>
        <tr r="F25" s="3"/>
      </tp>
      <tp t="s">
        <v>#N/A N/A</v>
        <stp/>
        <stp>BDH|16762359492967091769</stp>
        <tr r="R26" s="2"/>
      </tp>
      <tp t="s">
        <v>#N/A N/A</v>
        <stp/>
        <stp>BDH|18395052417121010485</stp>
        <tr r="AC7" s="2"/>
      </tp>
      <tp t="s">
        <v>#N/A N/A</v>
        <stp/>
        <stp>BDH|12241009043103087987</stp>
        <tr r="L12" s="3"/>
      </tp>
      <tp t="s">
        <v>#N/A N/A</v>
        <stp/>
        <stp>BDH|15033932783719007197</stp>
        <tr r="T9" s="2"/>
      </tp>
      <tp t="s">
        <v>#N/A N/A</v>
        <stp/>
        <stp>BDH|16463361965687938868</stp>
        <tr r="S26" s="3"/>
      </tp>
      <tp t="s">
        <v>#N/A N/A</v>
        <stp/>
        <stp>BDH|12461294778423493890</stp>
        <tr r="AH8" s="2"/>
      </tp>
      <tp t="s">
        <v>#N/A N/A</v>
        <stp/>
        <stp>BDH|13714091155118643262</stp>
        <tr r="AF10" s="3"/>
      </tp>
      <tp t="s">
        <v>#N/A N/A</v>
        <stp/>
        <stp>BDH|13939427520051772875</stp>
        <tr r="M29" s="2"/>
      </tp>
      <tp t="s">
        <v>#N/A N/A</v>
        <stp/>
        <stp>BDH|12806238183721540577</stp>
        <tr r="T7" s="2"/>
      </tp>
      <tp t="s">
        <v>#N/A N/A</v>
        <stp/>
        <stp>BDH|16778153394786809443</stp>
        <tr r="M24" s="2"/>
      </tp>
      <tp t="s">
        <v>#N/A N/A</v>
        <stp/>
        <stp>BDH|13316396495897365216</stp>
        <tr r="AG25" s="3"/>
      </tp>
      <tp t="s">
        <v>#N/A N/A</v>
        <stp/>
        <stp>BDH|17023899942636687113</stp>
        <tr r="X24" s="2"/>
      </tp>
      <tp t="s">
        <v>#N/A N/A</v>
        <stp/>
        <stp>BDH|10151892050089396846</stp>
        <tr r="AG29" s="2"/>
      </tp>
      <tp t="s">
        <v>#N/A N/A</v>
        <stp/>
        <stp>BDH|16079842587909411381</stp>
        <tr r="D8" s="3"/>
      </tp>
      <tp t="s">
        <v>#N/A N/A</v>
        <stp/>
        <stp>BDH|11314740191845824606</stp>
        <tr r="H7" s="2"/>
      </tp>
      <tp t="s">
        <v>#N/A N/A</v>
        <stp/>
        <stp>BDH|16260691866732521864</stp>
        <tr r="T26" s="3"/>
      </tp>
      <tp t="s">
        <v>#N/A N/A</v>
        <stp/>
        <stp>BDH|14829067694262992223</stp>
        <tr r="T10" s="2"/>
      </tp>
      <tp t="s">
        <v>#N/A N/A</v>
        <stp/>
        <stp>BDH|14234363832408608117</stp>
        <tr r="AN24" s="3"/>
      </tp>
      <tp t="s">
        <v>#N/A N/A</v>
        <stp/>
        <stp>BDH|11477607723528332051</stp>
        <tr r="P10" s="3"/>
      </tp>
      <tp t="s">
        <v>#N/A N/A</v>
        <stp/>
        <stp>BDH|17096757582981630401</stp>
        <tr r="G7" s="3"/>
      </tp>
      <tp t="s">
        <v>#N/A N/A</v>
        <stp/>
        <stp>BDH|16961045382786663593</stp>
        <tr r="W16" s="3"/>
      </tp>
      <tp t="s">
        <v>#N/A N/A</v>
        <stp/>
        <stp>BDH|16175486632054843834</stp>
        <tr r="U21" s="2"/>
      </tp>
      <tp t="s">
        <v>#N/A N/A</v>
        <stp/>
        <stp>BDH|11962905118875050128</stp>
        <tr r="V21" s="2"/>
      </tp>
      <tp t="s">
        <v>#N/A N/A</v>
        <stp/>
        <stp>BDH|16875279188549126834</stp>
        <tr r="E26" s="3"/>
      </tp>
      <tp t="s">
        <v>#N/A N/A</v>
        <stp/>
        <stp>BDH|13619841349016631480</stp>
        <tr r="AH16" s="3"/>
      </tp>
      <tp t="s">
        <v>#N/A N/A</v>
        <stp/>
        <stp>BDH|11774401386437412704</stp>
        <tr r="AJ12" s="3"/>
      </tp>
      <tp t="s">
        <v>#N/A N/A</v>
        <stp/>
        <stp>BDH|13152397085043143683</stp>
        <tr r="AI24" s="2"/>
      </tp>
      <tp t="s">
        <v>#N/A N/A</v>
        <stp/>
        <stp>BDH|15105962633705954794</stp>
        <tr r="AP31" s="2"/>
      </tp>
      <tp t="s">
        <v>#N/A N/A</v>
        <stp/>
        <stp>BDH|12957759288559081938</stp>
        <tr r="AD17" s="3"/>
      </tp>
      <tp t="s">
        <v>#N/A N/A</v>
        <stp/>
        <stp>BDH|17336627722218616628</stp>
        <tr r="G12" s="3"/>
      </tp>
      <tp t="s">
        <v>#N/A N/A</v>
        <stp/>
        <stp>BDH|12327070717826399869</stp>
        <tr r="AO19" s="2"/>
      </tp>
      <tp t="s">
        <v>#N/A N/A</v>
        <stp/>
        <stp>BDH|13507974252477291541</stp>
        <tr r="M22" s="2"/>
      </tp>
      <tp t="s">
        <v>#N/A N/A</v>
        <stp/>
        <stp>BDH|11083146390865112137</stp>
        <tr r="AM17" s="3"/>
      </tp>
      <tp t="s">
        <v>#N/A N/A</v>
        <stp/>
        <stp>BDH|10380658862105819852</stp>
        <tr r="Z13" s="2"/>
      </tp>
      <tp t="s">
        <v>#N/A N/A</v>
        <stp/>
        <stp>BDH|11160021995250693599</stp>
        <tr r="N10" s="2"/>
      </tp>
      <tp t="s">
        <v>#N/A N/A</v>
        <stp/>
        <stp>BDH|15349112218518162020</stp>
        <tr r="AE8" s="2"/>
      </tp>
      <tp t="s">
        <v>#N/A N/A</v>
        <stp/>
        <stp>BDH|17180752145489849012</stp>
        <tr r="AI21" s="2"/>
      </tp>
      <tp t="s">
        <v>#N/A N/A</v>
        <stp/>
        <stp>BDH|11629054999052093721</stp>
        <tr r="AN13" s="3"/>
      </tp>
      <tp t="s">
        <v>#N/A N/A</v>
        <stp/>
        <stp>BDH|12833479900103504829</stp>
        <tr r="AP24" s="3"/>
      </tp>
      <tp t="s">
        <v>#N/A N/A</v>
        <stp/>
        <stp>BDH|10875669825128461179</stp>
        <tr r="P7" s="2"/>
      </tp>
      <tp t="s">
        <v>#N/A N/A</v>
        <stp/>
        <stp>BDH|17146578620245458891</stp>
        <tr r="AG18" s="3"/>
      </tp>
      <tp t="s">
        <v>#N/A N/A</v>
        <stp/>
        <stp>BDH|10697433579348608617</stp>
        <tr r="Y6" s="3"/>
      </tp>
      <tp t="s">
        <v>#N/A N/A</v>
        <stp/>
        <stp>BDH|13091963527857379298</stp>
        <tr r="F22" s="2"/>
      </tp>
      <tp t="s">
        <v>#N/A N/A</v>
        <stp/>
        <stp>BDH|18188816393853953712</stp>
        <tr r="L24" s="2"/>
      </tp>
      <tp t="s">
        <v>#N/A N/A</v>
        <stp/>
        <stp>BDH|17235320599176246614</stp>
        <tr r="AD13" s="3"/>
      </tp>
      <tp t="s">
        <v>#N/A N/A</v>
        <stp/>
        <stp>BDH|15517072520078984267</stp>
        <tr r="M13" s="3"/>
      </tp>
      <tp t="s">
        <v>#N/A N/A</v>
        <stp/>
        <stp>BDH|13916071153118514354</stp>
        <tr r="Y10" s="3"/>
      </tp>
      <tp t="s">
        <v>#N/A N/A</v>
        <stp/>
        <stp>BDH|10118229443378924350</stp>
        <tr r="AO8" s="2"/>
      </tp>
      <tp t="s">
        <v>#N/A N/A</v>
        <stp/>
        <stp>BDH|18103406122134909765</stp>
        <tr r="AF25" s="2"/>
      </tp>
      <tp t="s">
        <v>#N/A N/A</v>
        <stp/>
        <stp>BDH|15461867448061389559</stp>
        <tr r="D26" s="2"/>
      </tp>
      <tp t="s">
        <v>#N/A N/A</v>
        <stp/>
        <stp>BDH|16888594687310225688</stp>
        <tr r="AB29" s="2"/>
      </tp>
      <tp t="s">
        <v>#N/A N/A</v>
        <stp/>
        <stp>BDH|11402193693664767069</stp>
        <tr r="AJ14" s="3"/>
      </tp>
      <tp t="s">
        <v>#N/A N/A</v>
        <stp/>
        <stp>BDH|10802707904049748342</stp>
        <tr r="C16" s="3"/>
      </tp>
      <tp t="s">
        <v>#N/A N/A</v>
        <stp/>
        <stp>BDH|15346933138946746411</stp>
        <tr r="AG14" s="3"/>
      </tp>
      <tp t="s">
        <v>#N/A N/A</v>
        <stp/>
        <stp>BDH|16510159897134342852</stp>
        <tr r="V20" s="3"/>
      </tp>
      <tp t="s">
        <v>#N/A N/A</v>
        <stp/>
        <stp>BDH|15029196734603530693</stp>
        <tr r="AF8" s="2"/>
      </tp>
      <tp t="s">
        <v>#N/A N/A</v>
        <stp/>
        <stp>BDH|12956793765497078644</stp>
        <tr r="AL24" s="2"/>
      </tp>
      <tp t="s">
        <v>#N/A N/A</v>
        <stp/>
        <stp>BDH|11589131598809737299</stp>
        <tr r="AF22" s="2"/>
      </tp>
      <tp t="s">
        <v>#N/A N/A</v>
        <stp/>
        <stp>BDH|16391609037790145150</stp>
        <tr r="AJ10" s="2"/>
      </tp>
      <tp t="s">
        <v>#N/A N/A</v>
        <stp/>
        <stp>BDH|10537167000076846581</stp>
        <tr r="F25" s="2"/>
      </tp>
      <tp t="s">
        <v>#N/A N/A</v>
        <stp/>
        <stp>BDH|11666020607563130009</stp>
        <tr r="E6" s="3"/>
      </tp>
      <tp t="s">
        <v>#N/A N/A</v>
        <stp/>
        <stp>BDH|16812753198313179909</stp>
        <tr r="AI22" s="3"/>
      </tp>
      <tp t="s">
        <v>#N/A N/A</v>
        <stp/>
        <stp>BDH|11566026335929686903</stp>
        <tr r="AG16" s="3"/>
      </tp>
      <tp t="s">
        <v>#N/A N/A</v>
        <stp/>
        <stp>BDH|15280428439767636789</stp>
        <tr r="AM7" s="2"/>
      </tp>
      <tp t="s">
        <v>#N/A N/A</v>
        <stp/>
        <stp>BDH|18185743566493283862</stp>
        <tr r="J9" s="2"/>
      </tp>
      <tp t="s">
        <v>#N/A N/A</v>
        <stp/>
        <stp>BDH|11119183371552818764</stp>
        <tr r="AP21" s="2"/>
      </tp>
      <tp t="s">
        <v>#N/A N/A</v>
        <stp/>
        <stp>BDH|16578068080379505509</stp>
        <tr r="O22" s="3"/>
      </tp>
      <tp t="s">
        <v>#N/A N/A</v>
        <stp/>
        <stp>BDH|14090707500485489426</stp>
        <tr r="AM6" s="3"/>
      </tp>
      <tp t="s">
        <v>#N/A N/A</v>
        <stp/>
        <stp>BDH|11343352369647642112</stp>
        <tr r="AI8" s="3"/>
      </tp>
      <tp t="s">
        <v>#N/A N/A</v>
        <stp/>
        <stp>BDH|14625715475356331092</stp>
        <tr r="AE22" s="2"/>
      </tp>
      <tp t="s">
        <v>#N/A N/A</v>
        <stp/>
        <stp>BDH|12898078227046194420</stp>
        <tr r="AP25" s="2"/>
      </tp>
      <tp t="s">
        <v>#N/A N/A</v>
        <stp/>
        <stp>BDH|12091165825221974215</stp>
        <tr r="Z26" s="2"/>
      </tp>
      <tp t="s">
        <v>#N/A N/A</v>
        <stp/>
        <stp>BDH|12287439628463314515</stp>
        <tr r="AI26" s="3"/>
      </tp>
      <tp t="s">
        <v>#N/A N/A</v>
        <stp/>
        <stp>BDH|13067042213256559693</stp>
        <tr r="AE17" s="3"/>
      </tp>
      <tp t="s">
        <v>#N/A N/A</v>
        <stp/>
        <stp>BDH|17868121970293288027</stp>
        <tr r="AE30" s="2"/>
      </tp>
      <tp t="s">
        <v>#N/A N/A</v>
        <stp/>
        <stp>BDH|18374737965032025982</stp>
        <tr r="Z17" s="3"/>
      </tp>
      <tp t="s">
        <v>#N/A N/A</v>
        <stp/>
        <stp>BDH|18203895789829669387</stp>
        <tr r="AO24" s="2"/>
      </tp>
      <tp t="s">
        <v>#N/A N/A</v>
        <stp/>
        <stp>BDH|12134898187651124129</stp>
        <tr r="O21" s="2"/>
      </tp>
      <tp t="s">
        <v>#N/A N/A</v>
        <stp/>
        <stp>BDH|17541053164642965122</stp>
        <tr r="M18" s="3"/>
      </tp>
      <tp t="s">
        <v>#N/A N/A</v>
        <stp/>
        <stp>BDH|16199957404058530446</stp>
        <tr r="O19" s="2"/>
      </tp>
      <tp t="s">
        <v>#N/A N/A</v>
        <stp/>
        <stp>BDH|16885387280858567649</stp>
        <tr r="C14" s="3"/>
      </tp>
      <tp t="s">
        <v>#N/A N/A</v>
        <stp/>
        <stp>BDH|16137784996573793897</stp>
        <tr r="R17" s="3"/>
      </tp>
      <tp t="s">
        <v>#N/A N/A</v>
        <stp/>
        <stp>BDH|16791339367642523278</stp>
        <tr r="AO12" s="3"/>
      </tp>
      <tp t="s">
        <v>#N/A N/A</v>
        <stp/>
        <stp>BDH|13898065890238814179</stp>
        <tr r="H22" s="2"/>
      </tp>
      <tp t="s">
        <v>#N/A N/A</v>
        <stp/>
        <stp>BDH|11534049296609200256</stp>
        <tr r="AK26" s="3"/>
      </tp>
      <tp t="s">
        <v>#N/A N/A</v>
        <stp/>
        <stp>BDH|17134349578119543986</stp>
        <tr r="AI25" s="3"/>
      </tp>
      <tp t="s">
        <v>#N/A N/A</v>
        <stp/>
        <stp>BDH|14280143862090175051</stp>
        <tr r="R13" s="2"/>
      </tp>
      <tp t="s">
        <v>#N/A N/A</v>
        <stp/>
        <stp>BDH|16918052649930018157</stp>
        <tr r="AK24" s="3"/>
      </tp>
      <tp t="s">
        <v>#N/A N/A</v>
        <stp/>
        <stp>BDH|16729527046484471074</stp>
        <tr r="W29" s="2"/>
      </tp>
      <tp t="s">
        <v>#N/A N/A</v>
        <stp/>
        <stp>BDH|17885722581798909312</stp>
        <tr r="AD20" s="3"/>
      </tp>
      <tp t="s">
        <v>#N/A N/A</v>
        <stp/>
        <stp>BDH|12190014314516027663</stp>
        <tr r="J25" s="2"/>
      </tp>
      <tp t="s">
        <v>#N/A N/A</v>
        <stp/>
        <stp>BDH|10347065115160385217</stp>
        <tr r="X17" s="3"/>
      </tp>
      <tp t="s">
        <v>#N/A N/A</v>
        <stp/>
        <stp>BDH|12527166953624065127</stp>
        <tr r="AL9" s="3"/>
      </tp>
      <tp t="s">
        <v>#N/A N/A</v>
        <stp/>
        <stp>BDH|15213599785522385987</stp>
        <tr r="AD21" s="3"/>
      </tp>
      <tp t="s">
        <v>#N/A N/A</v>
        <stp/>
        <stp>BDH|16206369766183617318</stp>
        <tr r="AI13" s="3"/>
      </tp>
      <tp t="s">
        <v>#N/A N/A</v>
        <stp/>
        <stp>BDH|10217935671535525805</stp>
        <tr r="U26" s="2"/>
      </tp>
      <tp t="s">
        <v>#N/A N/A</v>
        <stp/>
        <stp>BDH|14562627703881783064</stp>
        <tr r="C25" s="3"/>
      </tp>
      <tp t="s">
        <v>#N/A N/A</v>
        <stp/>
        <stp>BDH|12750165478345928241</stp>
        <tr r="I28" s="3"/>
      </tp>
      <tp t="s">
        <v>#N/A N/A</v>
        <stp/>
        <stp>BDH|13860795300222273572</stp>
        <tr r="AL17" s="3"/>
      </tp>
      <tp t="s">
        <v>#N/A N/A</v>
        <stp/>
        <stp>BDH|14798541174337945295</stp>
        <tr r="V19" s="2"/>
      </tp>
      <tp t="s">
        <v>#N/A N/A</v>
        <stp/>
        <stp>BDH|11409768224152777567</stp>
        <tr r="Q13" s="2"/>
      </tp>
      <tp t="s">
        <v>#N/A N/A</v>
        <stp/>
        <stp>BDH|12633527311150178528</stp>
        <tr r="AH26" s="2"/>
      </tp>
      <tp t="s">
        <v>#N/A N/A</v>
        <stp/>
        <stp>BDH|12159874071588118606</stp>
        <tr r="V6" s="3"/>
      </tp>
      <tp t="s">
        <v>#N/A N/A</v>
        <stp/>
        <stp>BDH|16602180772797809421</stp>
        <tr r="X26" s="2"/>
      </tp>
      <tp t="s">
        <v>#N/A N/A</v>
        <stp/>
        <stp>BDH|15970725674863189570</stp>
        <tr r="K28" s="3"/>
      </tp>
      <tp t="s">
        <v>#N/A N/A</v>
        <stp/>
        <stp>BDH|14456322139507072071</stp>
        <tr r="AI7" s="3"/>
      </tp>
      <tp t="s">
        <v>#N/A N/A</v>
        <stp/>
        <stp>BDH|17823220505010592612</stp>
        <tr r="AN7" s="3"/>
      </tp>
      <tp t="s">
        <v>#N/A N/A</v>
        <stp/>
        <stp>BDH|18148904255587687093</stp>
        <tr r="G6" s="3"/>
      </tp>
      <tp t="s">
        <v>#N/A N/A</v>
        <stp/>
        <stp>BDH|10297557167731868139</stp>
        <tr r="F16" s="3"/>
      </tp>
      <tp t="s">
        <v>#N/A N/A</v>
        <stp/>
        <stp>BDH|11077118313261194399</stp>
        <tr r="F30" s="2"/>
      </tp>
      <tp t="s">
        <v>#N/A N/A</v>
        <stp/>
        <stp>BDH|14386649505615155497</stp>
        <tr r="T26" s="2"/>
      </tp>
      <tp t="s">
        <v>#N/A N/A</v>
        <stp/>
        <stp>BDH|12617477457053289395</stp>
        <tr r="AM24" s="2"/>
      </tp>
      <tp t="s">
        <v>#N/A N/A</v>
        <stp/>
        <stp>BDH|13655421029052293423</stp>
        <tr r="AI7" s="2"/>
      </tp>
      <tp t="s">
        <v>#N/A N/A</v>
        <stp/>
        <stp>BDH|13342190734290118221</stp>
        <tr r="AP14" s="3"/>
      </tp>
      <tp t="s">
        <v>#N/A N/A</v>
        <stp/>
        <stp>BDH|14983151831477349222</stp>
        <tr r="AH9" s="2"/>
      </tp>
      <tp t="s">
        <v>#N/A N/A</v>
        <stp/>
        <stp>BDH|14422298530110016617</stp>
        <tr r="S24" s="2"/>
      </tp>
      <tp t="s">
        <v>#N/A N/A</v>
        <stp/>
        <stp>BDH|10189461159094245627</stp>
        <tr r="V9" s="2"/>
      </tp>
      <tp t="s">
        <v>#N/A N/A</v>
        <stp/>
        <stp>BDH|14769019223327233299</stp>
        <tr r="AF23" s="2"/>
      </tp>
      <tp t="s">
        <v>#N/A N/A</v>
        <stp/>
        <stp>BDH|17020522578583449505</stp>
        <tr r="AA21" s="3"/>
      </tp>
      <tp t="s">
        <v>#N/A N/A</v>
        <stp/>
        <stp>BDH|10450072705187561727</stp>
        <tr r="AG20" s="3"/>
      </tp>
      <tp t="s">
        <v>#N/A N/A</v>
        <stp/>
        <stp>BDH|18107082881261080181</stp>
        <tr r="AK13" s="3"/>
      </tp>
      <tp t="s">
        <v>#N/A N/A</v>
        <stp/>
        <stp>BDH|13197809136998099078</stp>
        <tr r="AH20" s="3"/>
      </tp>
      <tp t="s">
        <v>#N/A N/A</v>
        <stp/>
        <stp>BDH|16773643862746290035</stp>
        <tr r="AD7" s="2"/>
      </tp>
      <tp t="s">
        <v>#N/A N/A</v>
        <stp/>
        <stp>BDH|12664633103872715613</stp>
        <tr r="N17" s="3"/>
      </tp>
      <tp t="s">
        <v>#N/A N/A</v>
        <stp/>
        <stp>BDH|16483868091822393502</stp>
        <tr r="C22" s="2"/>
      </tp>
      <tp t="s">
        <v>#N/A N/A</v>
        <stp/>
        <stp>BDH|16467301877213774142</stp>
        <tr r="AA24" s="2"/>
      </tp>
      <tp t="s">
        <v>#N/A N/A</v>
        <stp/>
        <stp>BDH|12256475323767111371</stp>
        <tr r="AE10" s="2"/>
      </tp>
      <tp t="s">
        <v>#N/A N/A</v>
        <stp/>
        <stp>BDH|17576024170955084577</stp>
        <tr r="AI19" s="2"/>
      </tp>
      <tp t="s">
        <v>#N/A N/A</v>
        <stp/>
        <stp>BDH|13668039790823598931</stp>
        <tr r="Q25" s="3"/>
      </tp>
      <tp t="s">
        <v>#N/A N/A</v>
        <stp/>
        <stp>BDH|17505628375097198107</stp>
        <tr r="AI6" s="3"/>
      </tp>
      <tp t="s">
        <v>#N/A N/A</v>
        <stp/>
        <stp>BDH|14614357232226427279</stp>
        <tr r="L24" s="3"/>
      </tp>
      <tp t="s">
        <v>#N/A N/A</v>
        <stp/>
        <stp>BDH|17968141659644342753</stp>
        <tr r="AB7" s="3"/>
      </tp>
      <tp t="s">
        <v>#N/A N/A</v>
        <stp/>
        <stp>BDH|12500723941658122953</stp>
        <tr r="U25" s="2"/>
      </tp>
      <tp t="s">
        <v>#N/A N/A</v>
        <stp/>
        <stp>BDH|10057669246260239209</stp>
        <tr r="Q19" s="2"/>
      </tp>
      <tp t="s">
        <v>#N/A N/A</v>
        <stp/>
        <stp>BDH|10032380168732475712</stp>
        <tr r="AC25" s="3"/>
      </tp>
      <tp t="s">
        <v>#N/A N/A</v>
        <stp/>
        <stp>BDH|12462162311184645604</stp>
        <tr r="R9" s="2"/>
      </tp>
      <tp t="s">
        <v>#N/A N/A</v>
        <stp/>
        <stp>BDH|12808648500130934412</stp>
        <tr r="AD21" s="2"/>
      </tp>
      <tp t="s">
        <v>#N/A N/A</v>
        <stp/>
        <stp>BDH|12528933522848595153</stp>
        <tr r="U8" s="2"/>
      </tp>
      <tp t="s">
        <v>#N/A N/A</v>
        <stp/>
        <stp>BDH|10716059314093596271</stp>
        <tr r="O6" s="3"/>
      </tp>
      <tp t="s">
        <v>#N/A N/A</v>
        <stp/>
        <stp>BDH|11016950492549093807</stp>
        <tr r="N16" s="3"/>
      </tp>
      <tp t="s">
        <v>#N/A N/A</v>
        <stp/>
        <stp>BDH|17696240222773118467</stp>
        <tr r="AI22" s="2"/>
      </tp>
      <tp t="s">
        <v>#N/A N/A</v>
        <stp/>
        <stp>BDH|14894051801092308684</stp>
        <tr r="O23" s="2"/>
      </tp>
      <tp t="s">
        <v>#N/A N/A</v>
        <stp/>
        <stp>BDH|11397806134912496843</stp>
        <tr r="O24" s="3"/>
      </tp>
      <tp t="s">
        <v>#N/A N/A</v>
        <stp/>
        <stp>BDH|11026735003523779507</stp>
        <tr r="C26" s="3"/>
      </tp>
      <tp t="s">
        <v>#N/A N/A</v>
        <stp/>
        <stp>BDH|11479049222861376265</stp>
        <tr r="Y21" s="2"/>
      </tp>
      <tp t="s">
        <v>#N/A N/A</v>
        <stp/>
        <stp>BDH|13561351562762230477</stp>
        <tr r="K12" s="3"/>
      </tp>
      <tp t="s">
        <v>#N/A N/A</v>
        <stp/>
        <stp>BDH|14009738877122752653</stp>
        <tr r="J13" s="3"/>
      </tp>
      <tp t="s">
        <v>#N/A N/A</v>
        <stp/>
        <stp>BDH|15110785857670873703</stp>
        <tr r="N29" s="2"/>
      </tp>
      <tp t="s">
        <v>#N/A N/A</v>
        <stp/>
        <stp>BDH|12614006609496010463</stp>
        <tr r="G22" s="3"/>
      </tp>
      <tp t="s">
        <v>#N/A N/A</v>
        <stp/>
        <stp>BDH|15611733661596859256</stp>
        <tr r="AN8" s="3"/>
      </tp>
      <tp t="s">
        <v>#N/A N/A</v>
        <stp/>
        <stp>BDH|16116381873180080228</stp>
        <tr r="U9" s="3"/>
      </tp>
      <tp t="s">
        <v>#N/A N/A</v>
        <stp/>
        <stp>BDH|15052379193117868875</stp>
        <tr r="J12" s="3"/>
      </tp>
      <tp t="s">
        <v>#N/A N/A</v>
        <stp/>
        <stp>BDH|11699014820163985057</stp>
        <tr r="G17" s="3"/>
      </tp>
      <tp t="s">
        <v>#N/A N/A</v>
        <stp/>
        <stp>BDH|11310919681986107697</stp>
        <tr r="AD30" s="2"/>
      </tp>
      <tp t="s">
        <v>#N/A N/A</v>
        <stp/>
        <stp>BDH|14701898373932059960</stp>
        <tr r="O16" s="3"/>
      </tp>
      <tp t="s">
        <v>#N/A N/A</v>
        <stp/>
        <stp>BDH|15949650005203396008</stp>
        <tr r="E9" s="2"/>
      </tp>
      <tp t="s">
        <v>#N/A N/A</v>
        <stp/>
        <stp>BDH|17916025005243560414</stp>
        <tr r="K10" s="2"/>
      </tp>
      <tp t="s">
        <v>#N/A N/A</v>
        <stp/>
        <stp>BDH|17992505375432403753</stp>
        <tr r="X13" s="3"/>
      </tp>
      <tp t="s">
        <v>#N/A N/A</v>
        <stp/>
        <stp>BDH|11974319001085325778</stp>
        <tr r="AN13" s="2"/>
      </tp>
      <tp t="s">
        <v>#N/A N/A</v>
        <stp/>
        <stp>BDH|11835210623898435925</stp>
        <tr r="T25" s="2"/>
      </tp>
      <tp t="s">
        <v>#N/A N/A</v>
        <stp/>
        <stp>BDH|12668479426405965117</stp>
        <tr r="L10" s="3"/>
      </tp>
      <tp t="s">
        <v>#N/A N/A</v>
        <stp/>
        <stp>BDH|15236788225901195116</stp>
        <tr r="W26" s="2"/>
      </tp>
      <tp t="s">
        <v>#N/A N/A</v>
        <stp/>
        <stp>BDH|16798545081172530994</stp>
        <tr r="AM21" s="2"/>
      </tp>
      <tp t="s">
        <v>#N/A N/A</v>
        <stp/>
        <stp>BDH|14529510550150825429</stp>
        <tr r="AP21" s="3"/>
      </tp>
      <tp t="s">
        <v>#N/A N/A</v>
        <stp/>
        <stp>BDH|13289194344132907489</stp>
        <tr r="G26" s="2"/>
      </tp>
    </main>
    <main first="bofaddin.rtdserver">
      <tp t="s">
        <v>#N/A N/A</v>
        <stp/>
        <stp>BDH|11537452516890047576</stp>
        <tr r="AJ25" s="3"/>
      </tp>
      <tp t="s">
        <v>#N/A N/A</v>
        <stp/>
        <stp>BDH|16751271041873133205</stp>
        <tr r="E25" s="3"/>
      </tp>
      <tp t="s">
        <v>#N/A N/A</v>
        <stp/>
        <stp>BDH|12192093922492313390</stp>
        <tr r="C31" s="2"/>
      </tp>
      <tp t="s">
        <v>#N/A N/A</v>
        <stp/>
        <stp>BDH|14760854935359662716</stp>
        <tr r="D28" s="3"/>
      </tp>
      <tp t="s">
        <v>#N/A N/A</v>
        <stp/>
        <stp>BDH|12121465970185312541</stp>
        <tr r="H24" s="2"/>
      </tp>
      <tp t="s">
        <v>#N/A N/A</v>
        <stp/>
        <stp>BDH|14606478651853078737</stp>
        <tr r="AF21" s="2"/>
      </tp>
      <tp t="s">
        <v>#N/A N/A</v>
        <stp/>
        <stp>BDH|12665435632325086148</stp>
        <tr r="AC16" s="3"/>
      </tp>
      <tp t="s">
        <v>#N/A N/A</v>
        <stp/>
        <stp>BDH|17453110960075241447</stp>
        <tr r="AN22" s="3"/>
      </tp>
      <tp t="s">
        <v>#N/A N/A</v>
        <stp/>
        <stp>BDH|16517323535543205433</stp>
        <tr r="AL24" s="3"/>
      </tp>
      <tp t="s">
        <v>#N/A N/A</v>
        <stp/>
        <stp>BDH|16906736813493386280</stp>
        <tr r="T9" s="3"/>
      </tp>
      <tp t="s">
        <v>#N/A N/A</v>
        <stp/>
        <stp>BDH|17556807896351163607</stp>
        <tr r="H22" s="3"/>
      </tp>
      <tp t="s">
        <v>#N/A N/A</v>
        <stp/>
        <stp>BDH|12697938291496595547</stp>
        <tr r="T19" s="2"/>
      </tp>
      <tp t="s">
        <v>#N/A N/A</v>
        <stp/>
        <stp>BDH|10934601943592871179</stp>
        <tr r="V13" s="2"/>
      </tp>
      <tp t="s">
        <v>#N/A N/A</v>
        <stp/>
        <stp>BDH|16694526832810122126</stp>
        <tr r="P9" s="3"/>
      </tp>
      <tp t="s">
        <v>#N/A N/A</v>
        <stp/>
        <stp>BDH|14171659613837472560</stp>
        <tr r="R9" s="3"/>
      </tp>
      <tp t="s">
        <v>#N/A N/A</v>
        <stp/>
        <stp>BDH|17611313137261229772</stp>
        <tr r="AE16" s="3"/>
      </tp>
      <tp t="s">
        <v>#N/A N/A</v>
        <stp/>
        <stp>BDH|14656006871393739153</stp>
        <tr r="M26" s="3"/>
      </tp>
      <tp t="s">
        <v>#N/A N/A</v>
        <stp/>
        <stp>BDH|11958289811484087756</stp>
        <tr r="AG26" s="3"/>
      </tp>
      <tp t="s">
        <v>#N/A N/A</v>
        <stp/>
        <stp>BDH|11980886341534222867</stp>
        <tr r="K22" s="3"/>
      </tp>
      <tp t="s">
        <v>#N/A N/A</v>
        <stp/>
        <stp>BDH|14023637199099643380</stp>
        <tr r="AF13" s="3"/>
      </tp>
      <tp t="s">
        <v>#N/A N/A</v>
        <stp/>
        <stp>BDH|14782964395980928596</stp>
        <tr r="R25" s="3"/>
      </tp>
      <tp t="s">
        <v>#N/A N/A</v>
        <stp/>
        <stp>BDH|17751669344573890794</stp>
        <tr r="L7" s="3"/>
      </tp>
      <tp t="s">
        <v>#N/A N/A</v>
        <stp/>
        <stp>BDH|10649841365107481840</stp>
        <tr r="Y17" s="3"/>
      </tp>
      <tp t="s">
        <v>#N/A N/A</v>
        <stp/>
        <stp>BDH|15279503215040864081</stp>
        <tr r="J7" s="3"/>
      </tp>
      <tp t="s">
        <v>#N/A N/A</v>
        <stp/>
        <stp>BDH|10728603402473326413</stp>
        <tr r="Q8" s="3"/>
      </tp>
      <tp t="s">
        <v>#N/A N/A</v>
        <stp/>
        <stp>BDH|15088653841774183239</stp>
        <tr r="AI30" s="2"/>
      </tp>
      <tp t="s">
        <v>#N/A N/A</v>
        <stp/>
        <stp>BDH|12752623008526871334</stp>
        <tr r="L31" s="2"/>
      </tp>
      <tp t="s">
        <v>#N/A N/A</v>
        <stp/>
        <stp>BDH|13672403477236157764</stp>
        <tr r="AL16" s="3"/>
      </tp>
      <tp t="s">
        <v>#N/A N/A</v>
        <stp/>
        <stp>BDH|15151823304475828969</stp>
        <tr r="AO25" s="2"/>
      </tp>
      <tp t="s">
        <v>#N/A N/A</v>
        <stp/>
        <stp>BDH|16998749111545628432</stp>
        <tr r="AB30" s="2"/>
      </tp>
      <tp t="s">
        <v>#N/A N/A</v>
        <stp/>
        <stp>BDH|11926671331771105471</stp>
        <tr r="G25" s="3"/>
      </tp>
      <tp t="s">
        <v>#N/A N/A</v>
        <stp/>
        <stp>BDH|18216409321548214796</stp>
        <tr r="AN16" s="3"/>
      </tp>
      <tp t="s">
        <v>#N/A N/A</v>
        <stp/>
        <stp>BDH|11812189717111571190</stp>
        <tr r="V9" s="3"/>
      </tp>
      <tp t="s">
        <v>#N/A N/A</v>
        <stp/>
        <stp>BDH|11819696459862761153</stp>
        <tr r="M26" s="2"/>
      </tp>
      <tp t="s">
        <v>#N/A N/A</v>
        <stp/>
        <stp>BDH|12140960977979897425</stp>
        <tr r="I14" s="3"/>
      </tp>
      <tp t="s">
        <v>#N/A N/A</v>
        <stp/>
        <stp>BDH|15892090551034968542</stp>
        <tr r="O9" s="3"/>
      </tp>
      <tp t="s">
        <v>#N/A N/A</v>
        <stp/>
        <stp>BDH|14767110316994405185</stp>
        <tr r="C13" s="3"/>
      </tp>
      <tp t="s">
        <v>#N/A N/A</v>
        <stp/>
        <stp>BDH|14035097841632241365</stp>
        <tr r="AP28" s="3"/>
      </tp>
      <tp t="s">
        <v>#N/A N/A</v>
        <stp/>
        <stp>BDH|11537482513607033226</stp>
        <tr r="O21" s="3"/>
      </tp>
      <tp t="s">
        <v>#N/A N/A</v>
        <stp/>
        <stp>BDH|15475862133489852669</stp>
        <tr r="J22" s="2"/>
      </tp>
      <tp t="s">
        <v>#N/A N/A</v>
        <stp/>
        <stp>BDH|11007381025464586579</stp>
        <tr r="N13" s="3"/>
      </tp>
      <tp t="s">
        <v>#N/A N/A</v>
        <stp/>
        <stp>BDH|13295412965273072387</stp>
        <tr r="C23" s="2"/>
      </tp>
      <tp t="s">
        <v>#N/A N/A</v>
        <stp/>
        <stp>BDH|14361637111287626592</stp>
        <tr r="G8" s="2"/>
      </tp>
      <tp t="s">
        <v>#N/A N/A</v>
        <stp/>
        <stp>BDH|11319166401599371894</stp>
        <tr r="P9" s="2"/>
      </tp>
      <tp t="s">
        <v>#N/A N/A</v>
        <stp/>
        <stp>BDH|11455986839938604524</stp>
        <tr r="D18" s="3"/>
      </tp>
      <tp t="s">
        <v>#N/A N/A</v>
        <stp/>
        <stp>BDH|13005363862117338763</stp>
        <tr r="W23" s="2"/>
      </tp>
      <tp t="s">
        <v>#N/A N/A</v>
        <stp/>
        <stp>BDH|13373145972547721430</stp>
        <tr r="AM13" s="2"/>
      </tp>
      <tp t="s">
        <v>#N/A N/A</v>
        <stp/>
        <stp>BDH|10625831662429239140</stp>
        <tr r="R6" s="3"/>
      </tp>
      <tp t="s">
        <v>#N/A N/A</v>
        <stp/>
        <stp>BDH|17335139697700169969</stp>
        <tr r="D31" s="2"/>
      </tp>
      <tp t="s">
        <v>#N/A N/A</v>
        <stp/>
        <stp>BDH|18147940420933682637</stp>
        <tr r="AH14" s="3"/>
      </tp>
      <tp t="s">
        <v>#N/A N/A</v>
        <stp/>
        <stp>BDH|13105941825737035903</stp>
        <tr r="I21" s="3"/>
      </tp>
      <tp t="s">
        <v>#N/A N/A</v>
        <stp/>
        <stp>BDH|12564870467388574239</stp>
        <tr r="O7" s="3"/>
      </tp>
      <tp t="s">
        <v>#N/A N/A</v>
        <stp/>
        <stp>BDH|12251094600497884306</stp>
        <tr r="AJ24" s="2"/>
      </tp>
      <tp t="s">
        <v>#N/A N/A</v>
        <stp/>
        <stp>BDH|10065766645312199717</stp>
        <tr r="X9" s="2"/>
      </tp>
      <tp t="s">
        <v>#N/A N/A</v>
        <stp/>
        <stp>BDH|18243019842848025220</stp>
        <tr r="O31" s="2"/>
      </tp>
      <tp t="s">
        <v>#N/A N/A</v>
        <stp/>
        <stp>BDH|16033943441148263542</stp>
        <tr r="AA26" s="3"/>
      </tp>
    </main>
    <main first="bofaddin.rtdserver">
      <tp t="s">
        <v>#N/A N/A</v>
        <stp/>
        <stp>BDH|10626068985279760706</stp>
        <tr r="I23" s="2"/>
      </tp>
      <tp t="s">
        <v>#N/A N/A</v>
        <stp/>
        <stp>BDH|13738553370024462342</stp>
        <tr r="Q6" s="3"/>
      </tp>
      <tp t="s">
        <v>#N/A N/A</v>
        <stp/>
        <stp>BDH|10187204025072146401</stp>
        <tr r="AI10" s="2"/>
      </tp>
      <tp t="s">
        <v>#N/A N/A</v>
        <stp/>
        <stp>BDH|10539977471251356953</stp>
        <tr r="Y22" s="2"/>
      </tp>
      <tp t="s">
        <v>#N/A N/A</v>
        <stp/>
        <stp>BDH|18231950250961595340</stp>
        <tr r="H14" s="3"/>
      </tp>
      <tp t="s">
        <v>#N/A N/A</v>
        <stp/>
        <stp>BDH|10932008048090613218</stp>
        <tr r="V7" s="3"/>
      </tp>
      <tp t="s">
        <v>#N/A N/A</v>
        <stp/>
        <stp>BDH|18105957964420358156</stp>
        <tr r="AH28" s="3"/>
      </tp>
      <tp t="s">
        <v>#N/A N/A</v>
        <stp/>
        <stp>BDH|17216009267546544192</stp>
        <tr r="AN30" s="2"/>
      </tp>
      <tp t="s">
        <v>#N/A N/A</v>
        <stp/>
        <stp>BDH|17768048229461775243</stp>
        <tr r="F22" s="3"/>
      </tp>
      <tp t="s">
        <v>#N/A N/A</v>
        <stp/>
        <stp>BDH|14594222299890345941</stp>
        <tr r="W31" s="2"/>
      </tp>
      <tp t="s">
        <v>#N/A N/A</v>
        <stp/>
        <stp>BDH|14441099391243720835</stp>
        <tr r="AI29" s="2"/>
      </tp>
      <tp t="s">
        <v>#N/A N/A</v>
        <stp/>
        <stp>BDH|14821430575416490720</stp>
        <tr r="R30" s="2"/>
      </tp>
      <tp t="s">
        <v>#N/A N/A</v>
        <stp/>
        <stp>BDH|12717466319174493577</stp>
        <tr r="H12" s="3"/>
      </tp>
      <tp t="s">
        <v>#N/A N/A</v>
        <stp/>
        <stp>BDH|10276595453916184026</stp>
        <tr r="Z19" s="2"/>
      </tp>
      <tp t="s">
        <v>#N/A N/A</v>
        <stp/>
        <stp>BDH|16113720518474872293</stp>
        <tr r="F8" s="3"/>
      </tp>
      <tp t="s">
        <v>#N/A N/A</v>
        <stp/>
        <stp>BDH|15614607764025962617</stp>
        <tr r="AG7" s="2"/>
      </tp>
      <tp t="s">
        <v>#N/A N/A</v>
        <stp/>
        <stp>BDH|17409417642760899124</stp>
        <tr r="C24" s="2"/>
      </tp>
      <tp t="s">
        <v>#N/A N/A</v>
        <stp/>
        <stp>BDH|13967503105290456052</stp>
        <tr r="Y20" s="3"/>
      </tp>
      <tp t="s">
        <v>#N/A N/A</v>
        <stp/>
        <stp>BDH|16081704267132298381</stp>
        <tr r="AM28" s="3"/>
      </tp>
      <tp t="s">
        <v>#N/A N/A</v>
        <stp/>
        <stp>BDH|15487637170026315486</stp>
        <tr r="AK13" s="2"/>
      </tp>
      <tp t="s">
        <v>#N/A N/A</v>
        <stp/>
        <stp>BDH|14266231798799796027</stp>
        <tr r="C29" s="2"/>
      </tp>
      <tp t="s">
        <v>#N/A N/A</v>
        <stp/>
        <stp>BDH|13382121854297029695</stp>
        <tr r="U16" s="3"/>
      </tp>
      <tp t="s">
        <v>#N/A N/A</v>
        <stp/>
        <stp>BDH|16193851655539595486</stp>
        <tr r="N30" s="2"/>
      </tp>
      <tp t="s">
        <v>#N/A N/A</v>
        <stp/>
        <stp>BDH|11862275995589304557</stp>
        <tr r="AI10" s="3"/>
      </tp>
      <tp t="s">
        <v>#N/A N/A</v>
        <stp/>
        <stp>BDH|11212062946956485593</stp>
        <tr r="AK9" s="3"/>
      </tp>
      <tp t="s">
        <v>#N/A N/A</v>
        <stp/>
        <stp>BDH|10972142672207544753</stp>
        <tr r="E7" s="2"/>
      </tp>
      <tp t="s">
        <v>#N/A N/A</v>
        <stp/>
        <stp>BDH|14768455807925232389</stp>
        <tr r="G26" s="3"/>
      </tp>
      <tp t="s">
        <v>#N/A N/A</v>
        <stp/>
        <stp>BDH|14121071028012334226</stp>
        <tr r="W25" s="2"/>
      </tp>
      <tp t="s">
        <v>#N/A N/A</v>
        <stp/>
        <stp>BDH|15494306623357079599</stp>
        <tr r="AL12" s="3"/>
      </tp>
      <tp t="s">
        <v>#N/A N/A</v>
        <stp/>
        <stp>BDH|10295176840202897133</stp>
        <tr r="AP10" s="2"/>
      </tp>
      <tp t="s">
        <v>#N/A N/A</v>
        <stp/>
        <stp>BDH|12204821419874167897</stp>
        <tr r="AA21" s="2"/>
      </tp>
      <tp t="s">
        <v>#N/A N/A</v>
        <stp/>
        <stp>BDH|16169398579002955781</stp>
        <tr r="Z24" s="2"/>
      </tp>
      <tp t="s">
        <v>#N/A N/A</v>
        <stp/>
        <stp>BDH|16839455285798832508</stp>
        <tr r="AC24" s="3"/>
      </tp>
      <tp t="s">
        <v>#N/A N/A</v>
        <stp/>
        <stp>BDH|15745204204846740675</stp>
        <tr r="AJ26" s="3"/>
      </tp>
      <tp t="s">
        <v>#N/A N/A</v>
        <stp/>
        <stp>BDH|13310696449242821487</stp>
        <tr r="Q29" s="2"/>
      </tp>
      <tp t="s">
        <v>#N/A N/A</v>
        <stp/>
        <stp>BDH|15366475412347785042</stp>
        <tr r="N24" s="3"/>
      </tp>
      <tp t="s">
        <v>#N/A N/A</v>
        <stp/>
        <stp>BDH|12219709533153117250</stp>
        <tr r="AD14" s="3"/>
      </tp>
      <tp t="s">
        <v>#N/A N/A</v>
        <stp/>
        <stp>BDH|18144011924609892494</stp>
        <tr r="X25" s="2"/>
      </tp>
      <tp t="s">
        <v>#N/A N/A</v>
        <stp/>
        <stp>BDH|13017794673341839575</stp>
        <tr r="U6" s="3"/>
      </tp>
      <tp t="s">
        <v>#N/A N/A</v>
        <stp/>
        <stp>BDH|15429733277415503701</stp>
        <tr r="AO31" s="2"/>
      </tp>
      <tp t="s">
        <v>#N/A N/A</v>
        <stp/>
        <stp>BDH|15359901233889164154</stp>
        <tr r="Z16" s="3"/>
      </tp>
      <tp t="s">
        <v>#N/A N/A</v>
        <stp/>
        <stp>BDH|13790730485243259872</stp>
        <tr r="AO16" s="3"/>
      </tp>
      <tp t="s">
        <v>#N/A N/A</v>
        <stp/>
        <stp>BDH|11974869224809840573</stp>
        <tr r="R28" s="3"/>
      </tp>
      <tp t="s">
        <v>#N/A N/A</v>
        <stp/>
        <stp>BDH|10593432004367213477</stp>
        <tr r="U13" s="2"/>
      </tp>
      <tp t="s">
        <v>#N/A N/A</v>
        <stp/>
        <stp>BDH|14647145920748118857</stp>
        <tr r="S24" s="3"/>
      </tp>
      <tp t="s">
        <v>#N/A N/A</v>
        <stp/>
        <stp>BDH|17490240896483926898</stp>
        <tr r="K23" s="2"/>
      </tp>
      <tp t="s">
        <v>#N/A N/A</v>
        <stp/>
        <stp>BDH|13393603500583174192</stp>
        <tr r="I6" s="3"/>
      </tp>
      <tp t="s">
        <v>#N/A N/A</v>
        <stp/>
        <stp>BDH|16945125000158158814</stp>
        <tr r="AI14" s="3"/>
      </tp>
      <tp t="s">
        <v>#N/A N/A</v>
        <stp/>
        <stp>BDH|16620694301844675338</stp>
        <tr r="E7" s="3"/>
      </tp>
      <tp t="s">
        <v>#N/A N/A</v>
        <stp/>
        <stp>BDH|15668241686138715080</stp>
        <tr r="F9" s="2"/>
      </tp>
      <tp t="s">
        <v>#N/A N/A</v>
        <stp/>
        <stp>BDH|17453505076001838301</stp>
        <tr r="N25" s="2"/>
      </tp>
      <tp t="s">
        <v>#N/A N/A</v>
        <stp/>
        <stp>BDH|17555546070437322587</stp>
        <tr r="R12" s="3"/>
      </tp>
      <tp t="s">
        <v>#N/A N/A</v>
        <stp/>
        <stp>BDH|11972794614311806166</stp>
        <tr r="AB10" s="2"/>
      </tp>
      <tp t="s">
        <v>#N/A N/A</v>
        <stp/>
        <stp>BDH|13110436402149372997</stp>
        <tr r="M16" s="3"/>
      </tp>
      <tp t="s">
        <v>#N/A N/A</v>
        <stp/>
        <stp>BDH|11519126459146719449</stp>
        <tr r="V18" s="3"/>
      </tp>
      <tp t="s">
        <v>#N/A N/A</v>
        <stp/>
        <stp>BDH|11745572404342953102</stp>
        <tr r="AN10" s="3"/>
      </tp>
      <tp t="s">
        <v>#N/A N/A</v>
        <stp/>
        <stp>BDH|18186805053740887273</stp>
        <tr r="K21" s="2"/>
      </tp>
      <tp t="s">
        <v>#N/A N/A</v>
        <stp/>
        <stp>BDH|16523395130618434957</stp>
        <tr r="M31" s="2"/>
      </tp>
      <tp t="s">
        <v>#N/A N/A</v>
        <stp/>
        <stp>BDH|13140423319327470637</stp>
        <tr r="C21" s="3"/>
      </tp>
      <tp t="s">
        <v>#N/A N/A</v>
        <stp/>
        <stp>BDH|11351614523567861570</stp>
        <tr r="AC23" s="2"/>
      </tp>
      <tp t="s">
        <v>#N/A N/A</v>
        <stp/>
        <stp>BDH|17030177977163694588</stp>
        <tr r="L26" s="3"/>
      </tp>
    </main>
    <main first="bofaddin.rtdserver">
      <tp t="s">
        <v>#N/A N/A</v>
        <stp/>
        <stp>BDH|16534380214368097882</stp>
        <tr r="AJ26" s="2"/>
      </tp>
      <tp t="s">
        <v>#N/A N/A</v>
        <stp/>
        <stp>BDH|16789752116942785621</stp>
        <tr r="R24" s="2"/>
      </tp>
      <tp t="s">
        <v>#N/A N/A</v>
        <stp/>
        <stp>BDH|10037291599727451858</stp>
        <tr r="D13" s="2"/>
      </tp>
      <tp t="s">
        <v>#N/A N/A</v>
        <stp/>
        <stp>BDH|11783660841390473753</stp>
        <tr r="AJ28" s="3"/>
      </tp>
      <tp t="s">
        <v>#N/A N/A</v>
        <stp/>
        <stp>BDH|12681700804843664257</stp>
        <tr r="AM23" s="2"/>
      </tp>
      <tp t="s">
        <v>#N/A N/A</v>
        <stp/>
        <stp>BDH|14607115365193570463</stp>
        <tr r="AM20" s="3"/>
      </tp>
      <tp t="s">
        <v>#N/A N/A</v>
        <stp/>
        <stp>BDH|14812308657651885767</stp>
        <tr r="AG13" s="3"/>
      </tp>
      <tp t="s">
        <v>#N/A N/A</v>
        <stp/>
        <stp>BDH|12334297212812034786</stp>
        <tr r="D9" s="3"/>
      </tp>
      <tp t="s">
        <v>#N/A N/A</v>
        <stp/>
        <stp>BDH|11720471723937432452</stp>
        <tr r="P21" s="3"/>
      </tp>
      <tp t="s">
        <v>#N/A N/A</v>
        <stp/>
        <stp>BDH|10819664670630581597</stp>
        <tr r="I29" s="2"/>
      </tp>
      <tp t="s">
        <v>#N/A N/A</v>
        <stp/>
        <stp>BDH|18055856252860458167</stp>
        <tr r="AJ22" s="3"/>
      </tp>
      <tp t="s">
        <v>#N/A N/A</v>
        <stp/>
        <stp>BDH|17469132117762409112</stp>
        <tr r="U7" s="3"/>
      </tp>
      <tp t="s">
        <v>#N/A N/A</v>
        <stp/>
        <stp>BDH|18339720687921442265</stp>
        <tr r="AB24" s="3"/>
      </tp>
      <tp t="s">
        <v>#N/A N/A</v>
        <stp/>
        <stp>BDH|10176956970018533258</stp>
        <tr r="Q8" s="2"/>
      </tp>
      <tp t="s">
        <v>#N/A N/A</v>
        <stp/>
        <stp>BDH|16551413618665902218</stp>
        <tr r="Q22" s="3"/>
      </tp>
      <tp t="s">
        <v>#N/A N/A</v>
        <stp/>
        <stp>BDH|14652500443014730568</stp>
        <tr r="AO21" s="2"/>
      </tp>
      <tp t="s">
        <v>#N/A N/A</v>
        <stp/>
        <stp>BDH|17265749477201380250</stp>
        <tr r="Q26" s="3"/>
      </tp>
      <tp t="s">
        <v>#N/A N/A</v>
        <stp/>
        <stp>BDH|11266521802123326378</stp>
        <tr r="I10" s="2"/>
      </tp>
      <tp t="s">
        <v>#N/A N/A</v>
        <stp/>
        <stp>BDH|16516592184397720892</stp>
        <tr r="Y7" s="2"/>
      </tp>
      <tp t="s">
        <v>#N/A N/A</v>
        <stp/>
        <stp>BDH|11877394048396191417</stp>
        <tr r="AB18" s="3"/>
      </tp>
      <tp t="s">
        <v>#N/A N/A</v>
        <stp/>
        <stp>BDH|10402686842103557523</stp>
        <tr r="AK25" s="3"/>
      </tp>
      <tp t="s">
        <v>#N/A N/A</v>
        <stp/>
        <stp>BDH|15148696957435779710</stp>
        <tr r="AE12" s="3"/>
      </tp>
      <tp t="s">
        <v>#N/A N/A</v>
        <stp/>
        <stp>BDH|12705533003826623589</stp>
        <tr r="AA9" s="3"/>
      </tp>
      <tp t="s">
        <v>#N/A N/A</v>
        <stp/>
        <stp>BDH|15939426530542355407</stp>
        <tr r="Y12" s="3"/>
      </tp>
      <tp t="s">
        <v>#N/A N/A</v>
        <stp/>
        <stp>BDH|17516597259085760694</stp>
        <tr r="AC19" s="2"/>
      </tp>
      <tp t="s">
        <v>#N/A N/A</v>
        <stp/>
        <stp>BDH|17050295071204509279</stp>
        <tr r="AF17" s="3"/>
      </tp>
      <tp t="s">
        <v>#N/A N/A</v>
        <stp/>
        <stp>BDH|14952859567236307825</stp>
        <tr r="U12" s="3"/>
      </tp>
      <tp t="s">
        <v>#N/A N/A</v>
        <stp/>
        <stp>BDH|17635379134032830170</stp>
        <tr r="AE26" s="2"/>
      </tp>
      <tp t="s">
        <v>#N/A N/A</v>
        <stp/>
        <stp>BDH|14710838453939975445</stp>
        <tr r="X28" s="3"/>
      </tp>
      <tp t="s">
        <v>#N/A N/A</v>
        <stp/>
        <stp>BDH|17148016319480596217</stp>
        <tr r="AM26" s="3"/>
      </tp>
      <tp t="s">
        <v>#N/A N/A</v>
        <stp/>
        <stp>BDH|18402784991967228527</stp>
        <tr r="J8" s="2"/>
      </tp>
      <tp t="s">
        <v>#N/A N/A</v>
        <stp/>
        <stp>BDH|11921340718032165599</stp>
        <tr r="AN26" s="2"/>
      </tp>
      <tp t="s">
        <v>#N/A N/A</v>
        <stp/>
        <stp>BDH|15053003269553562414</stp>
        <tr r="AP25" s="3"/>
      </tp>
      <tp t="s">
        <v>#N/A N/A</v>
        <stp/>
        <stp>BDH|16819688731997480093</stp>
        <tr r="AP17" s="3"/>
      </tp>
      <tp t="s">
        <v>#N/A N/A</v>
        <stp/>
        <stp>BDH|11595604768725523043</stp>
        <tr r="C21" s="2"/>
      </tp>
      <tp t="s">
        <v>#N/A N/A</v>
        <stp/>
        <stp>BDH|17731192023747080717</stp>
        <tr r="P8" s="3"/>
      </tp>
      <tp t="s">
        <v>#N/A N/A</v>
        <stp/>
        <stp>BDH|11597477929214320746</stp>
        <tr r="AB14" s="3"/>
      </tp>
      <tp t="s">
        <v>#N/A N/A</v>
        <stp/>
        <stp>BDH|10834430215125333415</stp>
        <tr r="AA30" s="2"/>
      </tp>
      <tp t="s">
        <v>#N/A N/A</v>
        <stp/>
        <stp>BDH|14747006407707845779</stp>
        <tr r="AI8" s="2"/>
      </tp>
      <tp t="s">
        <v>#N/A N/A</v>
        <stp/>
        <stp>BDH|10179512625236903537</stp>
        <tr r="O20" s="3"/>
      </tp>
      <tp t="s">
        <v>#N/A N/A</v>
        <stp/>
        <stp>BDH|12277340025853576572</stp>
        <tr r="Y14" s="3"/>
      </tp>
      <tp t="s">
        <v>#N/A N/A</v>
        <stp/>
        <stp>BDH|10529593396810961905</stp>
        <tr r="AJ23" s="2"/>
      </tp>
      <tp t="s">
        <v>#N/A N/A</v>
        <stp/>
        <stp>BDH|14096912663326416853</stp>
        <tr r="Z29" s="2"/>
      </tp>
      <tp t="s">
        <v>#N/A N/A</v>
        <stp/>
        <stp>BDH|13114504192789379333</stp>
        <tr r="AA25" s="2"/>
      </tp>
      <tp t="s">
        <v>#N/A N/A</v>
        <stp/>
        <stp>BDH|17575733204453556643</stp>
        <tr r="G24" s="2"/>
      </tp>
      <tp t="s">
        <v>#N/A N/A</v>
        <stp/>
        <stp>BDH|10148203766200347175</stp>
        <tr r="AK23" s="2"/>
      </tp>
      <tp t="s">
        <v>#N/A N/A</v>
        <stp/>
        <stp>BDH|17803191506077783420</stp>
        <tr r="AD7" s="3"/>
      </tp>
      <tp t="s">
        <v>#N/A N/A</v>
        <stp/>
        <stp>BDH|11833556895838973034</stp>
        <tr r="AJ30" s="2"/>
      </tp>
      <tp t="s">
        <v>#N/A N/A</v>
        <stp/>
        <stp>BDH|16647141044057716139</stp>
        <tr r="AC9" s="3"/>
      </tp>
      <tp t="s">
        <v>#N/A N/A</v>
        <stp/>
        <stp>BDH|16726531950184473726</stp>
        <tr r="AA20" s="3"/>
      </tp>
      <tp t="s">
        <v>#N/A N/A</v>
        <stp/>
        <stp>BDH|17628022193143783852</stp>
        <tr r="AD8" s="3"/>
      </tp>
      <tp t="s">
        <v>#N/A N/A</v>
        <stp/>
        <stp>BDH|12471472532203527314</stp>
        <tr r="AE18" s="3"/>
      </tp>
      <tp t="s">
        <v>#N/A N/A</v>
        <stp/>
        <stp>BDH|17220492976753858204</stp>
        <tr r="AM22" s="3"/>
      </tp>
      <tp t="s">
        <v>#N/A N/A</v>
        <stp/>
        <stp>BDH|10492982983704301099</stp>
        <tr r="N24" s="2"/>
      </tp>
      <tp t="s">
        <v>#N/A N/A</v>
        <stp/>
        <stp>BDH|16754296464861961670</stp>
        <tr r="AK22" s="2"/>
      </tp>
      <tp t="s">
        <v>#N/A N/A</v>
        <stp/>
        <stp>BDH|18112988511932521791</stp>
        <tr r="U28" s="3"/>
      </tp>
      <tp t="s">
        <v>#N/A N/A</v>
        <stp/>
        <stp>BDH|17182559057185664716</stp>
        <tr r="H6" s="3"/>
      </tp>
      <tp t="s">
        <v>#N/A N/A</v>
        <stp/>
        <stp>BDH|14017733117157412044</stp>
        <tr r="AG17" s="3"/>
      </tp>
      <tp t="s">
        <v>#N/A N/A</v>
        <stp/>
        <stp>BDH|13938113648500088373</stp>
        <tr r="AN12" s="3"/>
      </tp>
      <tp t="s">
        <v>#N/A N/A</v>
        <stp/>
        <stp>BDH|18325498588493751229</stp>
        <tr r="O10" s="3"/>
      </tp>
      <tp t="s">
        <v>#N/A N/A</v>
        <stp/>
        <stp>BDH|10285528676983659494</stp>
        <tr r="W19" s="2"/>
      </tp>
      <tp t="s">
        <v>#N/A N/A</v>
        <stp/>
        <stp>BDH|14962394400617858516</stp>
        <tr r="R18" s="3"/>
      </tp>
      <tp t="s">
        <v>#N/A N/A</v>
        <stp/>
        <stp>BDH|13820491840990006694</stp>
        <tr r="AG13" s="2"/>
      </tp>
      <tp t="s">
        <v>#N/A N/A</v>
        <stp/>
        <stp>BDH|12410594240254179242</stp>
        <tr r="M23" s="2"/>
      </tp>
      <tp t="s">
        <v>#N/A N/A</v>
        <stp/>
        <stp>BDH|10753685453256735033</stp>
        <tr r="AI16" s="3"/>
      </tp>
      <tp t="s">
        <v>#N/A N/A</v>
        <stp/>
        <stp>BDH|16484695930605760306</stp>
        <tr r="F24" s="2"/>
      </tp>
      <tp t="s">
        <v>#N/A N/A</v>
        <stp/>
        <stp>BDH|17833065146324384265</stp>
        <tr r="L21" s="2"/>
      </tp>
      <tp t="s">
        <v>#N/A N/A</v>
        <stp/>
        <stp>BDH|10434460062053856459</stp>
        <tr r="Y9" s="2"/>
      </tp>
      <tp t="s">
        <v>#N/A N/A</v>
        <stp/>
        <stp>BDH|18393070224979401693</stp>
        <tr r="E10" s="2"/>
      </tp>
      <tp t="s">
        <v>#N/A N/A</v>
        <stp/>
        <stp>BDH|15577657727961930538</stp>
        <tr r="I16" s="3"/>
      </tp>
      <tp t="s">
        <v>#N/A N/A</v>
        <stp/>
        <stp>BDH|17007792338643433587</stp>
        <tr r="AO7" s="2"/>
      </tp>
      <tp t="s">
        <v>#N/A N/A</v>
        <stp/>
        <stp>BDH|12086785213062564317</stp>
        <tr r="Y31" s="2"/>
      </tp>
      <tp t="s">
        <v>#N/A N/A</v>
        <stp/>
        <stp>BDH|12223410658771440700</stp>
        <tr r="AP10" s="3"/>
      </tp>
      <tp t="s">
        <v>#N/A N/A</v>
        <stp/>
        <stp>BDH|15799287213563790045</stp>
        <tr r="M25" s="2"/>
      </tp>
      <tp t="s">
        <v>#N/A N/A</v>
        <stp/>
        <stp>BDH|10134384335301514475</stp>
        <tr r="AA13" s="3"/>
      </tp>
      <tp t="s">
        <v>#N/A N/A</v>
        <stp/>
        <stp>BDH|10052981333489726627</stp>
        <tr r="AK31" s="2"/>
      </tp>
    </main>
    <main first="bofaddin.rtdserver">
      <tp t="s">
        <v>#N/A N/A</v>
        <stp/>
        <stp>BDH|2038293436178689735</stp>
        <tr r="AJ13" s="2"/>
      </tp>
      <tp t="s">
        <v>#N/A N/A</v>
        <stp/>
        <stp>BDH|7885668324146277937</stp>
        <tr r="L29" s="2"/>
      </tp>
      <tp t="s">
        <v>#N/A N/A</v>
        <stp/>
        <stp>BDH|7245439289796584161</stp>
        <tr r="AE21" s="3"/>
      </tp>
      <tp t="s">
        <v>#N/A N/A</v>
        <stp/>
        <stp>BDH|6746484117696632950</stp>
        <tr r="AM9" s="3"/>
      </tp>
      <tp t="s">
        <v>#N/A N/A</v>
        <stp/>
        <stp>BDH|6436963505606581599</stp>
        <tr r="Q9" s="3"/>
      </tp>
      <tp t="s">
        <v>#N/A N/A</v>
        <stp/>
        <stp>BDH|2731113888293343468</stp>
        <tr r="T22" s="2"/>
      </tp>
      <tp t="s">
        <v>#N/A N/A</v>
        <stp/>
        <stp>BDH|9784605241543630482</stp>
        <tr r="Z22" s="3"/>
      </tp>
      <tp t="s">
        <v>#N/A N/A</v>
        <stp/>
        <stp>BDH|3245994770042582360</stp>
        <tr r="AD10" s="2"/>
      </tp>
      <tp t="s">
        <v>#N/A N/A</v>
        <stp/>
        <stp>BDH|1998758424271745967</stp>
        <tr r="S22" s="3"/>
      </tp>
      <tp t="s">
        <v>#N/A N/A</v>
        <stp/>
        <stp>BDH|8318585500612359312</stp>
        <tr r="AF12" s="3"/>
      </tp>
      <tp t="s">
        <v>#N/A N/A</v>
        <stp/>
        <stp>BDH|2848509107303233846</stp>
        <tr r="P13" s="2"/>
      </tp>
      <tp t="s">
        <v>#N/A N/A</v>
        <stp/>
        <stp>BDH|7493942666143615791</stp>
        <tr r="AO21" s="3"/>
      </tp>
      <tp t="s">
        <v>#N/A N/A</v>
        <stp/>
        <stp>BDH|5488915481838529088</stp>
        <tr r="I13" s="2"/>
      </tp>
      <tp t="s">
        <v>#N/A N/A</v>
        <stp/>
        <stp>BDH|3539743337118979369</stp>
        <tr r="J31" s="2"/>
      </tp>
      <tp t="s">
        <v>#N/A N/A</v>
        <stp/>
        <stp>BDH|6297381036899211300</stp>
        <tr r="D9" s="2"/>
      </tp>
      <tp t="s">
        <v>#N/A N/A</v>
        <stp/>
        <stp>BDH|5313971807297903741</stp>
        <tr r="AA8" s="3"/>
      </tp>
      <tp t="s">
        <v>#N/A N/A</v>
        <stp/>
        <stp>BDH|8724609021960859004</stp>
        <tr r="AD22" s="3"/>
      </tp>
      <tp t="s">
        <v>#N/A N/A</v>
        <stp/>
        <stp>BDH|5812361734888757138</stp>
        <tr r="R19" s="2"/>
      </tp>
      <tp t="s">
        <v>#N/A N/A</v>
        <stp/>
        <stp>BDH|2621888648576953412</stp>
        <tr r="Y8" s="3"/>
      </tp>
      <tp t="s">
        <v>#N/A N/A</v>
        <stp/>
        <stp>BDH|1494182701808648477</stp>
        <tr r="AJ21" s="3"/>
      </tp>
      <tp t="s">
        <v>#N/A N/A</v>
        <stp/>
        <stp>BDH|5542765098362105571</stp>
        <tr r="D12" s="3"/>
      </tp>
      <tp t="s">
        <v>#N/A N/A</v>
        <stp/>
        <stp>BDH|9546627335927761780</stp>
        <tr r="R13" s="3"/>
      </tp>
      <tp t="s">
        <v>#N/A N/A</v>
        <stp/>
        <stp>BDH|8183658866923711778</stp>
        <tr r="AA6" s="3"/>
      </tp>
      <tp t="s">
        <v>#N/A N/A</v>
        <stp/>
        <stp>BDH|6532401654873547864</stp>
        <tr r="Y13" s="2"/>
      </tp>
      <tp t="s">
        <v>#N/A N/A</v>
        <stp/>
        <stp>BDH|8309373205923171438</stp>
        <tr r="G28" s="3"/>
      </tp>
      <tp t="s">
        <v>#N/A N/A</v>
        <stp/>
        <stp>BDH|5194166893523499235</stp>
        <tr r="AL10" s="2"/>
      </tp>
      <tp t="s">
        <v>#N/A N/A</v>
        <stp/>
        <stp>BDH|5690423981401057463</stp>
        <tr r="P16" s="3"/>
      </tp>
      <tp t="s">
        <v>#N/A N/A</v>
        <stp/>
        <stp>BDH|8738424405528571856</stp>
        <tr r="R20" s="3"/>
      </tp>
      <tp t="s">
        <v>#N/A N/A</v>
        <stp/>
        <stp>BDH|5876873738737010512</stp>
        <tr r="K19" s="2"/>
      </tp>
      <tp t="s">
        <v>#N/A N/A</v>
        <stp/>
        <stp>BDH|2270723554394513867</stp>
        <tr r="AM24" s="3"/>
      </tp>
      <tp t="s">
        <v>#N/A N/A</v>
        <stp/>
        <stp>BDH|2839411482195977751</stp>
        <tr r="AA29" s="2"/>
      </tp>
      <tp t="s">
        <v>#N/A N/A</v>
        <stp/>
        <stp>BDH|1389927952884037542</stp>
        <tr r="AG31" s="2"/>
      </tp>
      <tp t="s">
        <v>#N/A N/A</v>
        <stp/>
        <stp>BDH|3637961874705586460</stp>
        <tr r="AM19" s="2"/>
      </tp>
      <tp t="s">
        <v>#N/A N/A</v>
        <stp/>
        <stp>BDH|9934627074945815139</stp>
        <tr r="H13" s="3"/>
      </tp>
      <tp t="s">
        <v>#N/A N/A</v>
        <stp/>
        <stp>BDH|2400042105128431640</stp>
        <tr r="D24" s="2"/>
      </tp>
      <tp t="s">
        <v>#N/A N/A</v>
        <stp/>
        <stp>BDH|8142760054096148076</stp>
        <tr r="U25" s="3"/>
      </tp>
      <tp t="s">
        <v>#N/A N/A</v>
        <stp/>
        <stp>BDH|4995844219129655980</stp>
        <tr r="AC22" s="3"/>
      </tp>
      <tp t="s">
        <v>#N/A N/A</v>
        <stp/>
        <stp>BDH|9331189629445970212</stp>
        <tr r="AB23" s="2"/>
      </tp>
      <tp t="s">
        <v>#N/A N/A</v>
        <stp/>
        <stp>BDH|2877870305913679464</stp>
        <tr r="I25" s="2"/>
      </tp>
      <tp t="s">
        <v>#N/A N/A</v>
        <stp/>
        <stp>BDH|4842150575137287816</stp>
        <tr r="O12" s="3"/>
      </tp>
      <tp t="s">
        <v>#N/A N/A</v>
        <stp/>
        <stp>BDH|4112239902072087981</stp>
        <tr r="AP9" s="2"/>
      </tp>
      <tp t="s">
        <v>#N/A N/A</v>
        <stp/>
        <stp>BDH|7836800333123270200</stp>
        <tr r="P12" s="3"/>
      </tp>
      <tp t="s">
        <v>#N/A N/A</v>
        <stp/>
        <stp>BDH|3166647698672399375</stp>
        <tr r="AB28" s="3"/>
      </tp>
      <tp t="s">
        <v>#N/A N/A</v>
        <stp/>
        <stp>BDH|7738853873395614096</stp>
        <tr r="AH22" s="2"/>
      </tp>
      <tp t="s">
        <v>#N/A N/A</v>
        <stp/>
        <stp>BDH|3728583233920791856</stp>
        <tr r="T22" s="3"/>
      </tp>
      <tp t="s">
        <v>#N/A N/A</v>
        <stp/>
        <stp>BDH|9018586960595645210</stp>
        <tr r="N13" s="2"/>
      </tp>
      <tp t="s">
        <v>#N/A N/A</v>
        <stp/>
        <stp>BDH|9880737247457527061</stp>
        <tr r="AP19" s="2"/>
      </tp>
      <tp t="s">
        <v>#N/A N/A</v>
        <stp/>
        <stp>BDH|1174080776183289816</stp>
        <tr r="AL30" s="2"/>
      </tp>
      <tp t="s">
        <v>#N/A N/A</v>
        <stp/>
        <stp>BDH|2857285599395457107</stp>
        <tr r="O30" s="2"/>
      </tp>
      <tp t="s">
        <v>#N/A N/A</v>
        <stp/>
        <stp>BDH|7835224695981633043</stp>
        <tr r="E22" s="2"/>
      </tp>
      <tp t="s">
        <v>#N/A N/A</v>
        <stp/>
        <stp>BDH|1841295594761345648</stp>
        <tr r="AP12" s="3"/>
      </tp>
      <tp t="s">
        <v>#N/A N/A</v>
        <stp/>
        <stp>BDH|9047492078513067438</stp>
        <tr r="AI17" s="3"/>
      </tp>
      <tp t="s">
        <v>#N/A N/A</v>
        <stp/>
        <stp>BDH|6272817205492730138</stp>
        <tr r="K13" s="2"/>
      </tp>
      <tp t="s">
        <v>#N/A N/A</v>
        <stp/>
        <stp>BDH|9841743468864518122</stp>
        <tr r="Y23" s="2"/>
      </tp>
      <tp t="s">
        <v>#N/A N/A</v>
        <stp/>
        <stp>BDH|3695415134478482171</stp>
        <tr r="AJ20" s="3"/>
      </tp>
      <tp t="s">
        <v>#N/A N/A</v>
        <stp/>
        <stp>BDH|5011124370676466866</stp>
        <tr r="R23" s="2"/>
      </tp>
      <tp t="s">
        <v>#N/A N/A</v>
        <stp/>
        <stp>BDH|9571644135366557706</stp>
        <tr r="D25" s="2"/>
      </tp>
      <tp t="s">
        <v>#N/A N/A</v>
        <stp/>
        <stp>BDH|3138571360268108567</stp>
        <tr r="V8" s="3"/>
      </tp>
      <tp t="s">
        <v>#N/A N/A</v>
        <stp/>
        <stp>BDH|9249581110640219094</stp>
        <tr r="AI13" s="2"/>
      </tp>
      <tp t="s">
        <v>#N/A N/A</v>
        <stp/>
        <stp>BDH|6388969531459481812</stp>
        <tr r="C22" s="3"/>
      </tp>
      <tp t="s">
        <v>#N/A N/A</v>
        <stp/>
        <stp>BDH|8207523212402726320</stp>
        <tr r="AB6" s="3"/>
      </tp>
      <tp t="s">
        <v>#N/A N/A</v>
        <stp/>
        <stp>BDH|2432855234686307223</stp>
        <tr r="M6" s="3"/>
      </tp>
      <tp t="s">
        <v>#N/A N/A</v>
        <stp/>
        <stp>BDH|3586039284005170366</stp>
        <tr r="AN20" s="3"/>
      </tp>
      <tp t="s">
        <v>#N/A N/A</v>
        <stp/>
        <stp>BDH|9510632370507130226</stp>
        <tr r="G30" s="2"/>
      </tp>
      <tp t="s">
        <v>#N/A N/A</v>
        <stp/>
        <stp>BDH|7437393979927959985</stp>
        <tr r="J21" s="3"/>
      </tp>
      <tp t="s">
        <v>#N/A N/A</v>
        <stp/>
        <stp>BDH|9933035767595082780</stp>
        <tr r="AM30" s="2"/>
      </tp>
      <tp t="s">
        <v>#N/A N/A</v>
        <stp/>
        <stp>BDH|3961389642078716112</stp>
        <tr r="R7" s="2"/>
      </tp>
      <tp t="s">
        <v>#N/A N/A</v>
        <stp/>
        <stp>BDH|3162454016809105266</stp>
        <tr r="Z7" s="2"/>
      </tp>
      <tp t="s">
        <v>#N/A N/A</v>
        <stp/>
        <stp>BDH|6168818473762406625</stp>
        <tr r="X10" s="3"/>
      </tp>
      <tp t="s">
        <v>#N/A N/A</v>
        <stp/>
        <stp>BDH|2359234230827711927</stp>
        <tr r="Z8" s="2"/>
      </tp>
      <tp t="s">
        <v>#N/A N/A</v>
        <stp/>
        <stp>BDH|2882630292960270313</stp>
        <tr r="Q26" s="2"/>
      </tp>
      <tp t="s">
        <v>#N/A N/A</v>
        <stp/>
        <stp>BDH|4421917347632007586</stp>
        <tr r="AH10" s="2"/>
      </tp>
      <tp t="s">
        <v>#N/A N/A</v>
        <stp/>
        <stp>BDH|9287157827646975239</stp>
        <tr r="Q30" s="2"/>
      </tp>
      <tp t="s">
        <v>#N/A N/A</v>
        <stp/>
        <stp>BDH|5959638410719771575</stp>
        <tr r="Z25" s="3"/>
      </tp>
      <tp t="s">
        <v>#N/A N/A</v>
        <stp/>
        <stp>BDH|7637680455192931897</stp>
        <tr r="X19" s="2"/>
      </tp>
      <tp t="s">
        <v>#N/A N/A</v>
        <stp/>
        <stp>BDH|8251398861195305619</stp>
        <tr r="AE29" s="2"/>
      </tp>
      <tp t="s">
        <v>#N/A N/A</v>
        <stp/>
        <stp>BDH|5365451548868652306</stp>
        <tr r="I26" s="3"/>
      </tp>
      <tp t="s">
        <v>#N/A N/A</v>
        <stp/>
        <stp>BDH|9496097952861135374</stp>
        <tr r="Q21" s="2"/>
      </tp>
      <tp t="s">
        <v>#N/A N/A</v>
        <stp/>
        <stp>BDH|7691336695731804218</stp>
        <tr r="AK24" s="2"/>
      </tp>
      <tp t="s">
        <v>#N/A N/A</v>
        <stp/>
        <stp>BDH|7288749289614623207</stp>
        <tr r="AN17" s="3"/>
      </tp>
      <tp t="s">
        <v>#N/A N/A</v>
        <stp/>
        <stp>BDH|1151604935008988240</stp>
        <tr r="AL7" s="2"/>
      </tp>
      <tp t="s">
        <v>#N/A N/A</v>
        <stp/>
        <stp>BDH|6886738503859750619</stp>
        <tr r="N21" s="3"/>
      </tp>
      <tp t="s">
        <v>#N/A N/A</v>
        <stp/>
        <stp>BDH|5763838499742317800</stp>
        <tr r="F7" s="3"/>
      </tp>
      <tp t="s">
        <v>#N/A N/A</v>
        <stp/>
        <stp>BDH|1464264837878273686</stp>
        <tr r="P25" s="3"/>
      </tp>
      <tp t="s">
        <v>#N/A N/A</v>
        <stp/>
        <stp>BDH|7780927907442450293</stp>
        <tr r="O26" s="3"/>
      </tp>
      <tp t="s">
        <v>#N/A N/A</v>
        <stp/>
        <stp>BDH|9882089379332319269</stp>
        <tr r="AI20" s="3"/>
      </tp>
      <tp t="s">
        <v>#N/A N/A</v>
        <stp/>
        <stp>BDH|9019580576674409173</stp>
        <tr r="Q20" s="3"/>
      </tp>
      <tp t="s">
        <v>#N/A N/A</v>
        <stp/>
        <stp>BDH|9043730103578928847</stp>
        <tr r="L21" s="3"/>
      </tp>
      <tp t="s">
        <v>#N/A N/A</v>
        <stp/>
        <stp>BDH|5071555861150103871</stp>
        <tr r="T24" s="3"/>
      </tp>
      <tp t="s">
        <v>#N/A N/A</v>
        <stp/>
        <stp>BDH|9289324668636886432</stp>
        <tr r="X8" s="3"/>
      </tp>
      <tp t="s">
        <v>#N/A N/A</v>
        <stp/>
        <stp>BDH|9069570357534772344</stp>
        <tr r="E21" s="2"/>
      </tp>
      <tp t="s">
        <v>#N/A N/A</v>
        <stp/>
        <stp>BDH|9193445343587349068</stp>
        <tr r="AH21" s="2"/>
      </tp>
      <tp t="s">
        <v>#N/A N/A</v>
        <stp/>
        <stp>BDH|1492029192431056775</stp>
        <tr r="I10" s="3"/>
      </tp>
      <tp t="s">
        <v>#N/A N/A</v>
        <stp/>
        <stp>BDH|2565816012311456425</stp>
        <tr r="L7" s="2"/>
      </tp>
      <tp t="s">
        <v>#N/A N/A</v>
        <stp/>
        <stp>BDH|8739038030736372378</stp>
        <tr r="D7" s="3"/>
      </tp>
      <tp t="s">
        <v>#N/A N/A</v>
        <stp/>
        <stp>BDH|6161604247358073264</stp>
        <tr r="AK14" s="3"/>
      </tp>
      <tp t="s">
        <v>#N/A N/A</v>
        <stp/>
        <stp>BDH|8978300347465746492</stp>
        <tr r="AL13" s="3"/>
      </tp>
      <tp t="s">
        <v>#N/A N/A</v>
        <stp/>
        <stp>BDH|8676314899428928465</stp>
        <tr r="T20" s="3"/>
      </tp>
      <tp t="s">
        <v>#N/A N/A</v>
        <stp/>
        <stp>BDH|2316426886886427629</stp>
        <tr r="X10" s="2"/>
      </tp>
      <tp t="s">
        <v>#N/A N/A</v>
        <stp/>
        <stp>BDH|1422832232557221361</stp>
        <tr r="Y9" s="3"/>
      </tp>
      <tp t="s">
        <v>#N/A N/A</v>
        <stp/>
        <stp>BDH|4670876088462185893</stp>
        <tr r="AJ19" s="2"/>
      </tp>
      <tp t="s">
        <v>#N/A N/A</v>
        <stp/>
        <stp>BDH|6724242409858873249</stp>
        <tr r="Y26" s="3"/>
      </tp>
      <tp t="s">
        <v>#N/A N/A</v>
        <stp/>
        <stp>BDH|3505127768852973803</stp>
        <tr r="AN7" s="2"/>
      </tp>
      <tp t="s">
        <v>#N/A N/A</v>
        <stp/>
        <stp>BDH|7187900978625810275</stp>
        <tr r="U10" s="2"/>
      </tp>
      <tp t="s">
        <v>#N/A N/A</v>
        <stp/>
        <stp>BDH|5586980629333034325</stp>
        <tr r="AI21" s="3"/>
      </tp>
      <tp t="s">
        <v>#N/A N/A</v>
        <stp/>
        <stp>BDH|9143518403051109341</stp>
        <tr r="AK10" s="2"/>
      </tp>
      <tp t="s">
        <v>#N/A N/A</v>
        <stp/>
        <stp>BDH|1815417117518144284</stp>
        <tr r="P22" s="2"/>
      </tp>
      <tp t="s">
        <v>#N/A N/A</v>
        <stp/>
        <stp>BDH|8149605760983072569</stp>
        <tr r="U29" s="2"/>
      </tp>
      <tp t="s">
        <v>#N/A N/A</v>
        <stp/>
        <stp>BDH|5318820799702731889</stp>
        <tr r="K7" s="3"/>
      </tp>
      <tp t="s">
        <v>#N/A N/A</v>
        <stp/>
        <stp>BDH|9417613609690821107</stp>
        <tr r="S25" s="3"/>
      </tp>
      <tp t="s">
        <v>#N/A N/A</v>
        <stp/>
        <stp>BDH|5529191508549443346</stp>
        <tr r="AH18" s="3"/>
      </tp>
      <tp t="s">
        <v>#N/A N/A</v>
        <stp/>
        <stp>BDH|9120090434550957415</stp>
        <tr r="G10" s="2"/>
      </tp>
      <tp t="s">
        <v>#N/A N/A</v>
        <stp/>
        <stp>BDH|9722903373319469054</stp>
        <tr r="P28" s="3"/>
      </tp>
      <tp t="s">
        <v>#N/A N/A</v>
        <stp/>
        <stp>BDH|7774277332459068179</stp>
        <tr r="AK18" s="3"/>
      </tp>
      <tp t="s">
        <v>#N/A N/A</v>
        <stp/>
        <stp>BDH|3199809242808338957</stp>
        <tr r="AO22" s="2"/>
      </tp>
      <tp t="s">
        <v>#N/A N/A</v>
        <stp/>
        <stp>BDH|5452386370487220949</stp>
        <tr r="U24" s="3"/>
      </tp>
      <tp t="s">
        <v>#N/A N/A</v>
        <stp/>
        <stp>BDH|2012192356181750836</stp>
        <tr r="AE22" s="3"/>
      </tp>
      <tp t="s">
        <v>#N/A N/A</v>
        <stp/>
        <stp>BDH|3199952845944275589</stp>
        <tr r="K26" s="3"/>
      </tp>
      <tp t="s">
        <v>#N/A N/A</v>
        <stp/>
        <stp>BDH|4287948951264776381</stp>
        <tr r="H24" s="3"/>
      </tp>
      <tp t="s">
        <v>#N/A N/A</v>
        <stp/>
        <stp>BDH|7688197204748101123</stp>
        <tr r="W14" s="3"/>
      </tp>
      <tp t="s">
        <v>#N/A N/A</v>
        <stp/>
        <stp>BDH|1677485187341863384</stp>
        <tr r="AC10" s="3"/>
      </tp>
      <tp t="s">
        <v>#N/A N/A</v>
        <stp/>
        <stp>BDH|7615933886759242083</stp>
        <tr r="M22" s="3"/>
      </tp>
      <tp t="s">
        <v>#N/A N/A</v>
        <stp/>
        <stp>BDH|1113737574989625798</stp>
        <tr r="Y22" s="3"/>
      </tp>
      <tp t="s">
        <v>#N/A N/A</v>
        <stp/>
        <stp>BDH|2058728657588847748</stp>
        <tr r="O25" s="2"/>
      </tp>
      <tp t="s">
        <v>#N/A N/A</v>
        <stp/>
        <stp>BDH|7777853008289613927</stp>
        <tr r="Y7" s="3"/>
      </tp>
      <tp t="s">
        <v>#N/A N/A</v>
        <stp/>
        <stp>BDH|3434231309416654865</stp>
        <tr r="N22" s="3"/>
      </tp>
      <tp t="s">
        <v>#N/A N/A</v>
        <stp/>
        <stp>BDH|8569799125371069370</stp>
        <tr r="AG6" s="3"/>
      </tp>
      <tp t="s">
        <v>#N/A N/A</v>
        <stp/>
        <stp>BDH|3334223545703340985</stp>
        <tr r="J22" s="3"/>
      </tp>
      <tp t="s">
        <v>#N/A N/A</v>
        <stp/>
        <stp>BDH|6754045622449652288</stp>
        <tr r="N23" s="2"/>
      </tp>
      <tp t="s">
        <v>#N/A N/A</v>
        <stp/>
        <stp>BDH|1962068439289213496</stp>
        <tr r="J7" s="2"/>
      </tp>
      <tp t="s">
        <v>#N/A N/A</v>
        <stp/>
        <stp>BDH|1621739611959209140</stp>
        <tr r="D10" s="3"/>
      </tp>
      <tp t="s">
        <v>#N/A N/A</v>
        <stp/>
        <stp>BDH|2409121960039223366</stp>
        <tr r="M12" s="3"/>
      </tp>
      <tp t="s">
        <v>#N/A N/A</v>
        <stp/>
        <stp>BDH|5153195818019681341</stp>
        <tr r="W26" s="3"/>
      </tp>
      <tp t="s">
        <v>#N/A N/A</v>
        <stp/>
        <stp>BDH|7045152721982285952</stp>
        <tr r="AC24" s="2"/>
      </tp>
      <tp t="s">
        <v>#N/A N/A</v>
        <stp/>
        <stp>BDH|3685950730610678662</stp>
        <tr r="P18" s="3"/>
      </tp>
      <tp t="s">
        <v>#N/A N/A</v>
        <stp/>
        <stp>BDH|1931932556232796085</stp>
        <tr r="AJ8" s="2"/>
      </tp>
      <tp t="s">
        <v>#N/A N/A</v>
        <stp/>
        <stp>BDH|6709427820246558906</stp>
        <tr r="L22" s="3"/>
      </tp>
      <tp t="s">
        <v>#N/A N/A</v>
        <stp/>
        <stp>BDH|2525759386191767310</stp>
        <tr r="G29" s="2"/>
      </tp>
      <tp t="s">
        <v>#N/A N/A</v>
        <stp/>
        <stp>BDH|5127555571359262168</stp>
        <tr r="C9" s="3"/>
      </tp>
      <tp t="s">
        <v>#N/A N/A</v>
        <stp/>
        <stp>BDH|6109819952303506766</stp>
        <tr r="AL28" s="3"/>
      </tp>
      <tp t="s">
        <v>#N/A N/A</v>
        <stp/>
        <stp>BDH|6052373753649638647</stp>
        <tr r="AA22" s="3"/>
      </tp>
      <tp t="s">
        <v>#N/A N/A</v>
        <stp/>
        <stp>BDH|8657510759142878508</stp>
        <tr r="AB13" s="2"/>
      </tp>
      <tp t="s">
        <v>#N/A N/A</v>
        <stp/>
        <stp>BDH|4038961356925023262</stp>
        <tr r="R16" s="3"/>
      </tp>
      <tp t="s">
        <v>#N/A N/A</v>
        <stp/>
        <stp>BDH|5696988759775085314</stp>
        <tr r="AC30" s="2"/>
      </tp>
      <tp t="s">
        <v>#N/A N/A</v>
        <stp/>
        <stp>BDH|4287405122304094972</stp>
        <tr r="AB20" s="3"/>
      </tp>
      <tp t="s">
        <v>#N/A N/A</v>
        <stp/>
        <stp>BDH|3940842730327389096</stp>
        <tr r="AN8" s="2"/>
      </tp>
      <tp t="s">
        <v>#N/A N/A</v>
        <stp/>
        <stp>BDH|1086522190486003452</stp>
        <tr r="AP13" s="2"/>
      </tp>
      <tp t="s">
        <v>#N/A N/A</v>
        <stp/>
        <stp>BDH|7690180697841886158</stp>
        <tr r="S30" s="2"/>
      </tp>
      <tp t="s">
        <v>#N/A N/A</v>
        <stp/>
        <stp>BDH|6607431850270232836</stp>
        <tr r="M8" s="2"/>
      </tp>
      <tp t="s">
        <v>#N/A N/A</v>
        <stp/>
        <stp>BDH|5131831905960113223</stp>
        <tr r="AM8" s="3"/>
      </tp>
      <tp t="s">
        <v>#N/A N/A</v>
        <stp/>
        <stp>BDH|9382679417774472527</stp>
        <tr r="M20" s="3"/>
      </tp>
      <tp t="s">
        <v>#N/A N/A</v>
        <stp/>
        <stp>BDH|3590366601716096978</stp>
        <tr r="AB17" s="3"/>
      </tp>
      <tp t="s">
        <v>#N/A N/A</v>
        <stp/>
        <stp>BDH|6031987728911535303</stp>
        <tr r="K16" s="3"/>
      </tp>
      <tp t="s">
        <v>#N/A N/A</v>
        <stp/>
        <stp>BDH|9517846444983532950</stp>
        <tr r="AD16" s="3"/>
      </tp>
      <tp t="s">
        <v>#N/A N/A</v>
        <stp/>
        <stp>BDH|8967566226333698452</stp>
        <tr r="AE13" s="3"/>
      </tp>
      <tp t="s">
        <v>#N/A N/A</v>
        <stp/>
        <stp>BDH|9331537843944041495</stp>
        <tr r="AH13" s="3"/>
      </tp>
      <tp t="s">
        <v>#N/A N/A</v>
        <stp/>
        <stp>BDH|4001953453092857257</stp>
        <tr r="E30" s="2"/>
      </tp>
      <tp t="s">
        <v>#N/A N/A</v>
        <stp/>
        <stp>BDH|1157494131058298608</stp>
        <tr r="AO10" s="3"/>
      </tp>
      <tp t="s">
        <v>#N/A N/A</v>
        <stp/>
        <stp>BDH|3943911054116294159</stp>
        <tr r="N26" s="3"/>
      </tp>
      <tp t="s">
        <v>#N/A N/A</v>
        <stp/>
        <stp>BDH|1133087351688348439</stp>
        <tr r="C24" s="3"/>
      </tp>
      <tp t="s">
        <v>#N/A N/A</v>
        <stp/>
        <stp>BDH|7023504108782460849</stp>
        <tr r="X14" s="3"/>
      </tp>
      <tp t="s">
        <v>#N/A N/A</v>
        <stp/>
        <stp>BDH|4423834018347589253</stp>
        <tr r="W21" s="3"/>
      </tp>
      <tp t="s">
        <v>#N/A N/A</v>
        <stp/>
        <stp>BDH|3493016845079902659</stp>
        <tr r="AG28" s="3"/>
      </tp>
      <tp t="s">
        <v>#N/A N/A</v>
        <stp/>
        <stp>BDH|6851613308939842153</stp>
        <tr r="R31" s="2"/>
      </tp>
      <tp t="s">
        <v>#N/A N/A</v>
        <stp/>
        <stp>BDH|7398882566007745663</stp>
        <tr r="Q10" s="3"/>
      </tp>
      <tp t="s">
        <v>#N/A N/A</v>
        <stp/>
        <stp>BDH|4568504893474867431</stp>
        <tr r="AF9" s="3"/>
      </tp>
      <tp t="s">
        <v>#N/A N/A</v>
        <stp/>
        <stp>BDH|5980417726938173321</stp>
        <tr r="Q16" s="3"/>
      </tp>
      <tp t="s">
        <v>#N/A N/A</v>
        <stp/>
        <stp>BDH|9548274383019814241</stp>
        <tr r="R24" s="3"/>
      </tp>
      <tp t="s">
        <v>#N/A N/A</v>
        <stp/>
        <stp>BDH|3066077129540503967</stp>
        <tr r="J17" s="3"/>
      </tp>
      <tp t="s">
        <v>#N/A N/A</v>
        <stp/>
        <stp>BDH|3042853462832998735</stp>
        <tr r="AF24" s="3"/>
      </tp>
      <tp t="s">
        <v>#N/A N/A</v>
        <stp/>
        <stp>BDH|3796480612216548852</stp>
        <tr r="N26" s="2"/>
      </tp>
      <tp t="s">
        <v>#N/A N/A</v>
        <stp/>
        <stp>BDH|3714848613967434566</stp>
        <tr r="N21" s="2"/>
      </tp>
      <tp t="s">
        <v>#N/A N/A</v>
        <stp/>
        <stp>BDH|8252091726002635090</stp>
        <tr r="AD6" s="3"/>
      </tp>
      <tp t="s">
        <v>#N/A N/A</v>
        <stp/>
        <stp>BDH|4792358099592949409</stp>
        <tr r="V14" s="3"/>
      </tp>
      <tp t="s">
        <v>#N/A N/A</v>
        <stp/>
        <stp>BDH|9508277772185253111</stp>
        <tr r="AD24" s="2"/>
      </tp>
      <tp t="s">
        <v>#N/A N/A</v>
        <stp/>
        <stp>BDH|3620250154554040870</stp>
        <tr r="O9" s="2"/>
      </tp>
      <tp t="s">
        <v>#N/A N/A</v>
        <stp/>
        <stp>BDH|1357250936169374139</stp>
        <tr r="F24" s="3"/>
      </tp>
      <tp t="s">
        <v>#N/A N/A</v>
        <stp/>
        <stp>BDH|4073466716349771062</stp>
        <tr r="E20" s="3"/>
      </tp>
      <tp t="s">
        <v>#N/A N/A</v>
        <stp/>
        <stp>BDH|9059012600380274124</stp>
        <tr r="AG8" s="2"/>
      </tp>
      <tp t="s">
        <v>#N/A N/A</v>
        <stp/>
        <stp>BDH|5000742750146325911</stp>
        <tr r="G22" s="2"/>
      </tp>
      <tp t="s">
        <v>#N/A N/A</v>
        <stp/>
        <stp>BDH|6501664084514904482</stp>
        <tr r="V31" s="2"/>
      </tp>
      <tp t="s">
        <v>#N/A N/A</v>
        <stp/>
        <stp>BDH|3945588409268842660</stp>
        <tr r="AB9" s="2"/>
      </tp>
      <tp t="s">
        <v>#N/A N/A</v>
        <stp/>
        <stp>BDH|7480805590699688756</stp>
        <tr r="Y8" s="2"/>
      </tp>
      <tp t="s">
        <v>#N/A N/A</v>
        <stp/>
        <stp>BDH|1506353696473331028</stp>
        <tr r="R26" s="3"/>
      </tp>
      <tp t="s">
        <v>#N/A N/A</v>
        <stp/>
        <stp>BDH|4351336891415545300</stp>
        <tr r="AH10" s="3"/>
      </tp>
      <tp t="s">
        <v>#N/A N/A</v>
        <stp/>
        <stp>BDH|1017139893734413504</stp>
        <tr r="M21" s="2"/>
      </tp>
      <tp t="s">
        <v>#N/A N/A</v>
        <stp/>
        <stp>BDH|2846457486876891066</stp>
        <tr r="I21" s="2"/>
      </tp>
      <tp t="s">
        <v>#N/A N/A</v>
        <stp/>
        <stp>BDH|9813377237674947542</stp>
        <tr r="AM31" s="2"/>
      </tp>
      <tp t="s">
        <v>#N/A N/A</v>
        <stp/>
        <stp>BDH|8191127635690118223</stp>
        <tr r="AC13" s="2"/>
      </tp>
      <tp t="s">
        <v>#N/A N/A</v>
        <stp/>
        <stp>BDH|4605829512547779241</stp>
        <tr r="AB24" s="2"/>
      </tp>
      <tp t="s">
        <v>#N/A N/A</v>
        <stp/>
        <stp>BDH|68004660364513715</stp>
        <tr r="AJ9" s="2"/>
      </tp>
      <tp t="s">
        <v>#N/A N/A</v>
        <stp/>
        <stp>BDH|5818106617924091854</stp>
        <tr r="Z26" s="3"/>
      </tp>
      <tp t="s">
        <v>#N/A N/A</v>
        <stp/>
        <stp>BDH|5970223219696140994</stp>
        <tr r="M13" s="2"/>
      </tp>
      <tp t="s">
        <v>#N/A N/A</v>
        <stp/>
        <stp>BDH|1760997354925144109</stp>
        <tr r="AK12" s="3"/>
      </tp>
      <tp t="s">
        <v>#N/A N/A</v>
        <stp/>
        <stp>BDH|4753866658814276439</stp>
        <tr r="I20" s="3"/>
      </tp>
      <tp t="s">
        <v>#N/A N/A</v>
        <stp/>
        <stp>BDH|5225977513047850364</stp>
        <tr r="AA10" s="3"/>
      </tp>
      <tp t="s">
        <v>#N/A N/A</v>
        <stp/>
        <stp>BDH|8814830748535971825</stp>
        <tr r="AH22" s="3"/>
      </tp>
      <tp t="s">
        <v>#N/A N/A</v>
        <stp/>
        <stp>BDH|5543289987240492660</stp>
        <tr r="S26" s="2"/>
      </tp>
      <tp t="s">
        <v>#N/A N/A</v>
        <stp/>
        <stp>BDH|3341283082036312634</stp>
        <tr r="D14" s="3"/>
      </tp>
    </main>
    <main first="bofaddin.rtdserver">
      <tp t="s">
        <v>#N/A N/A</v>
        <stp/>
        <stp>BDH|5958703647027334833</stp>
        <tr r="Z10" s="2"/>
      </tp>
      <tp t="s">
        <v>#N/A N/A</v>
        <stp/>
        <stp>BDH|7557454116492191994</stp>
        <tr r="P31" s="2"/>
      </tp>
      <tp t="s">
        <v>#N/A N/A</v>
        <stp/>
        <stp>BDH|9924124456994664052</stp>
        <tr r="K8" s="3"/>
      </tp>
      <tp t="s">
        <v>#N/A N/A</v>
        <stp/>
        <stp>BDH|5510151454120999833</stp>
        <tr r="AJ13" s="3"/>
      </tp>
      <tp t="s">
        <v>#N/A N/A</v>
        <stp/>
        <stp>BDH|9222117439992479005</stp>
        <tr r="K24" s="3"/>
      </tp>
      <tp t="s">
        <v>#N/A N/A</v>
        <stp/>
        <stp>BDH|1423158773027617989</stp>
        <tr r="J13" s="2"/>
      </tp>
      <tp t="s">
        <v>#N/A N/A</v>
        <stp/>
        <stp>BDH|3830728127977109810</stp>
        <tr r="N7" s="3"/>
      </tp>
      <tp t="s">
        <v>#N/A N/A</v>
        <stp/>
        <stp>BDH|7456645575058504721</stp>
        <tr r="O8" s="3"/>
      </tp>
      <tp t="s">
        <v>#N/A N/A</v>
        <stp/>
        <stp>BDH|8588506417405079006</stp>
        <tr r="AG23" s="2"/>
      </tp>
      <tp t="s">
        <v>#N/A N/A</v>
        <stp/>
        <stp>BDH|1795263347088518610</stp>
        <tr r="U17" s="3"/>
      </tp>
      <tp t="s">
        <v>#N/A N/A</v>
        <stp/>
        <stp>BDH|4125306395935221242</stp>
        <tr r="AF7" s="2"/>
      </tp>
      <tp t="s">
        <v>#N/A N/A</v>
        <stp/>
        <stp>BDH|3656261091749722853</stp>
        <tr r="J29" s="2"/>
      </tp>
      <tp t="s">
        <v>#N/A N/A</v>
        <stp/>
        <stp>BDH|4491784338898255157</stp>
        <tr r="P29" s="2"/>
      </tp>
      <tp t="s">
        <v>#N/A N/A</v>
        <stp/>
        <stp>BDH|2218975937838803994</stp>
        <tr r="D22" s="3"/>
      </tp>
      <tp t="s">
        <v>#N/A N/A</v>
        <stp/>
        <stp>BDH|5219688044457693982</stp>
        <tr r="F10" s="3"/>
      </tp>
      <tp t="s">
        <v>#N/A N/A</v>
        <stp/>
        <stp>BDH|8280611530383416775</stp>
        <tr r="I9" s="3"/>
      </tp>
      <tp t="s">
        <v>#N/A N/A</v>
        <stp/>
        <stp>BDH|1481684988586458013</stp>
        <tr r="T31" s="2"/>
      </tp>
      <tp t="s">
        <v>#N/A N/A</v>
        <stp/>
        <stp>BDH|5333023949178810062</stp>
        <tr r="S12" s="3"/>
      </tp>
      <tp t="s">
        <v>#N/A N/A</v>
        <stp/>
        <stp>BDH|1458651366939512149</stp>
        <tr r="W8" s="3"/>
      </tp>
      <tp t="s">
        <v>#N/A N/A</v>
        <stp/>
        <stp>BDH|8397646592596443878</stp>
        <tr r="U26" s="3"/>
      </tp>
      <tp t="s">
        <v>#N/A N/A</v>
        <stp/>
        <stp>BDH|5629971074441492370</stp>
        <tr r="L26" s="2"/>
      </tp>
      <tp t="s">
        <v>#N/A N/A</v>
        <stp/>
        <stp>BDH|4468300642592053814</stp>
        <tr r="O13" s="3"/>
      </tp>
      <tp t="s">
        <v>#N/A N/A</v>
        <stp/>
        <stp>BDH|3757349264828087707</stp>
        <tr r="I26" s="2"/>
      </tp>
      <tp t="s">
        <v>#N/A N/A</v>
        <stp/>
        <stp>BDH|3071583645942308990</stp>
        <tr r="AM26" s="2"/>
      </tp>
      <tp t="s">
        <v>#N/A N/A</v>
        <stp/>
        <stp>BDH|5713002827787002946</stp>
        <tr r="I19" s="2"/>
      </tp>
      <tp t="s">
        <v>#N/A N/A</v>
        <stp/>
        <stp>BDH|5089268867588502007</stp>
        <tr r="AD9" s="3"/>
      </tp>
      <tp t="s">
        <v>#N/A N/A</v>
        <stp/>
        <stp>BDH|8155102229834561696</stp>
        <tr r="H20" s="3"/>
      </tp>
      <tp t="s">
        <v>#N/A N/A</v>
        <stp/>
        <stp>BDH|9169315478892864659</stp>
        <tr r="AB21" s="3"/>
      </tp>
      <tp t="s">
        <v>#N/A N/A</v>
        <stp/>
        <stp>BDH|5779321501444775892</stp>
        <tr r="AG10" s="3"/>
      </tp>
      <tp t="s">
        <v>#N/A N/A</v>
        <stp/>
        <stp>BDH|5292635281310353192</stp>
        <tr r="AO25" s="3"/>
      </tp>
      <tp t="s">
        <v>#N/A N/A</v>
        <stp/>
        <stp>BDH|3989856535855143729</stp>
        <tr r="N12" s="3"/>
      </tp>
      <tp t="s">
        <v>#N/A N/A</v>
        <stp/>
        <stp>BDH|3110380502362019802</stp>
        <tr r="G23" s="2"/>
      </tp>
      <tp t="s">
        <v>#N/A N/A</v>
        <stp/>
        <stp>BDH|1236851600306941553</stp>
        <tr r="AE6" s="3"/>
      </tp>
      <tp t="s">
        <v>#N/A N/A</v>
        <stp/>
        <stp>BDH|4256986404867663035</stp>
        <tr r="Z8" s="3"/>
      </tp>
      <tp t="s">
        <v>#N/A N/A</v>
        <stp/>
        <stp>BDH|4899981299259762753</stp>
        <tr r="AN9" s="3"/>
      </tp>
      <tp t="s">
        <v>#N/A N/A</v>
        <stp/>
        <stp>BDH|8637544309947444074</stp>
        <tr r="AB7" s="2"/>
      </tp>
      <tp t="s">
        <v>#N/A N/A</v>
        <stp/>
        <stp>BDH|9421245225275928649</stp>
        <tr r="AO23" s="2"/>
      </tp>
      <tp t="s">
        <v>#N/A N/A</v>
        <stp/>
        <stp>BDH|9290294142764661168</stp>
        <tr r="AG30" s="2"/>
      </tp>
      <tp t="s">
        <v>#N/A N/A</v>
        <stp/>
        <stp>BDH|9162034401353811028</stp>
        <tr r="AJ29" s="2"/>
      </tp>
      <tp t="s">
        <v>#N/A N/A</v>
        <stp/>
        <stp>BDH|6470847539835046202</stp>
        <tr r="C7" s="3"/>
      </tp>
      <tp t="s">
        <v>#N/A N/A</v>
        <stp/>
        <stp>BDH|5083284856680669865</stp>
        <tr r="AN14" s="3"/>
      </tp>
      <tp t="s">
        <v>#N/A N/A</v>
        <stp/>
        <stp>BDH|4867163075328734007</stp>
        <tr r="AO6" s="3"/>
      </tp>
      <tp t="s">
        <v>#N/A N/A</v>
        <stp/>
        <stp>BDH|1402718131766900916</stp>
        <tr r="L8" s="2"/>
      </tp>
      <tp t="s">
        <v>#N/A N/A</v>
        <stp/>
        <stp>BDH|6169515749215367875</stp>
        <tr r="AA9" s="2"/>
      </tp>
      <tp t="s">
        <v>#N/A N/A</v>
        <stp/>
        <stp>BDH|8955263255652510724</stp>
        <tr r="AO29" s="2"/>
      </tp>
      <tp t="s">
        <v>#N/A N/A</v>
        <stp/>
        <stp>BDH|6551981608633769607</stp>
        <tr r="E17" s="3"/>
      </tp>
      <tp t="s">
        <v>#N/A N/A</v>
        <stp/>
        <stp>BDH|9239798144445449591</stp>
        <tr r="G21" s="3"/>
      </tp>
      <tp t="s">
        <v>#N/A N/A</v>
        <stp/>
        <stp>BDH|2525169121238103315</stp>
        <tr r="AJ9" s="3"/>
      </tp>
      <tp t="s">
        <v>#N/A N/A</v>
        <stp/>
        <stp>BDH|7297466738739915368</stp>
        <tr r="H25" s="3"/>
      </tp>
      <tp t="s">
        <v>#N/A N/A</v>
        <stp/>
        <stp>BDH|7700405512649127170</stp>
        <tr r="AI9" s="2"/>
      </tp>
      <tp t="s">
        <v>#N/A N/A</v>
        <stp/>
        <stp>BDH|3546130318299400096</stp>
        <tr r="J28" s="3"/>
      </tp>
      <tp t="s">
        <v>#N/A N/A</v>
        <stp/>
        <stp>BDH|9659743510363951682</stp>
        <tr r="AF8" s="3"/>
      </tp>
      <tp t="s">
        <v>#N/A N/A</v>
        <stp/>
        <stp>BDH|6855149804249856432</stp>
        <tr r="AE9" s="2"/>
      </tp>
      <tp t="s">
        <v>#N/A N/A</v>
        <stp/>
        <stp>BDH|7366809157505562526</stp>
        <tr r="W17" s="3"/>
      </tp>
      <tp t="s">
        <v>#N/A N/A</v>
        <stp/>
        <stp>BDH|1629118089261460393</stp>
        <tr r="AC26" s="2"/>
      </tp>
      <tp t="s">
        <v>#N/A N/A</v>
        <stp/>
        <stp>BDH|3010127940718166434</stp>
        <tr r="AF16" s="3"/>
      </tp>
      <tp t="s">
        <v>#N/A N/A</v>
        <stp/>
        <stp>BDH|9242718257874160557</stp>
        <tr r="AF6" s="3"/>
      </tp>
      <tp t="s">
        <v>#N/A N/A</v>
        <stp/>
        <stp>BDH|2598510766799416262</stp>
        <tr r="AH13" s="2"/>
      </tp>
      <tp t="s">
        <v>#N/A N/A</v>
        <stp/>
        <stp>BDH|5035468707568123319</stp>
        <tr r="V30" s="2"/>
      </tp>
      <tp t="s">
        <v>#N/A N/A</v>
        <stp/>
        <stp>BDH|9906939699044556774</stp>
        <tr r="N18" s="3"/>
      </tp>
      <tp t="s">
        <v>#N/A N/A</v>
        <stp/>
        <stp>BDH|2927667293704877325</stp>
        <tr r="W10" s="2"/>
      </tp>
      <tp t="s">
        <v>#N/A N/A</v>
        <stp/>
        <stp>BDH|5180638281133441211</stp>
        <tr r="AM25" s="3"/>
      </tp>
      <tp t="s">
        <v>#N/A N/A</v>
        <stp/>
        <stp>BDH|2198409856431700862</stp>
        <tr r="Y10" s="2"/>
      </tp>
      <tp t="s">
        <v>#N/A N/A</v>
        <stp/>
        <stp>BDH|8379441847953294148</stp>
        <tr r="AE25" s="2"/>
      </tp>
      <tp t="s">
        <v>#N/A N/A</v>
        <stp/>
        <stp>BDH|1429685325626620986</stp>
        <tr r="F14" s="3"/>
      </tp>
      <tp t="s">
        <v>#N/A N/A</v>
        <stp/>
        <stp>BDH|4615955606047191031</stp>
        <tr r="AC8" s="2"/>
      </tp>
      <tp t="s">
        <v>#N/A N/A</v>
        <stp/>
        <stp>BDH|4710773080339685815</stp>
        <tr r="D10" s="2"/>
      </tp>
      <tp t="s">
        <v>#N/A N/A</v>
        <stp/>
        <stp>BDH|5414720787862123275</stp>
        <tr r="W22" s="3"/>
      </tp>
      <tp t="s">
        <v>#N/A N/A</v>
        <stp/>
        <stp>BDH|7738261701506703934</stp>
        <tr r="AD22" s="2"/>
      </tp>
      <tp t="s">
        <v>#N/A N/A</v>
        <stp/>
        <stp>BDH|6234770495544030649</stp>
        <tr r="K9" s="2"/>
      </tp>
      <tp t="s">
        <v>#N/A N/A</v>
        <stp/>
        <stp>BDH|9013155100225862787</stp>
        <tr r="W24" s="2"/>
      </tp>
      <tp t="s">
        <v>#N/A N/A</v>
        <stp/>
        <stp>BDH|3884305251248470784</stp>
        <tr r="AE19" s="2"/>
      </tp>
    </main>
    <main first="bofaddin.rtdserver">
      <tp t="s">
        <v>#N/A N/A</v>
        <stp/>
        <stp>BDH|3622342613948338298</stp>
        <tr r="AB31" s="2"/>
      </tp>
      <tp t="s">
        <v>#N/A N/A</v>
        <stp/>
        <stp>BDH|6366106348109547166</stp>
        <tr r="G31" s="2"/>
      </tp>
      <tp t="s">
        <v>#N/A N/A</v>
        <stp/>
        <stp>BDH|6280145179973799808</stp>
        <tr r="P10" s="2"/>
      </tp>
      <tp t="s">
        <v>#N/A N/A</v>
        <stp/>
        <stp>BDH|9011898247498499623</stp>
        <tr r="J10" s="2"/>
      </tp>
      <tp t="s">
        <v>#N/A N/A</v>
        <stp/>
        <stp>BDH|6417934112025592085</stp>
        <tr r="N14" s="3"/>
      </tp>
      <tp t="s">
        <v>#N/A N/A</v>
        <stp/>
        <stp>BDH|4130876824356206399</stp>
        <tr r="Y29" s="2"/>
      </tp>
      <tp t="s">
        <v>#N/A N/A</v>
        <stp/>
        <stp>BDH|7913878620337981182</stp>
        <tr r="T13" s="3"/>
      </tp>
      <tp t="s">
        <v>#N/A N/A</v>
        <stp/>
        <stp>BDH|3367870449645632148</stp>
        <tr r="AL13" s="2"/>
      </tp>
      <tp t="s">
        <v>#N/A N/A</v>
        <stp/>
        <stp>BDH|1630859032250836158</stp>
        <tr r="AD24" s="3"/>
      </tp>
      <tp t="s">
        <v>#N/A N/A</v>
        <stp/>
        <stp>BDH|7140178306438994555</stp>
        <tr r="H9" s="2"/>
      </tp>
      <tp t="s">
        <v>#N/A N/A</v>
        <stp/>
        <stp>BDH|3818907081240764939</stp>
        <tr r="AM29" s="2"/>
      </tp>
      <tp t="s">
        <v>#N/A N/A</v>
        <stp/>
        <stp>BDH|2969472181144463193</stp>
        <tr r="AO24" s="3"/>
      </tp>
      <tp t="s">
        <v>#N/A N/A</v>
        <stp/>
        <stp>BDH|8914439733606937229</stp>
        <tr r="S7" s="2"/>
      </tp>
      <tp t="s">
        <v>#N/A N/A</v>
        <stp/>
        <stp>BDH|1862997998283270993</stp>
        <tr r="V22" s="3"/>
      </tp>
      <tp t="s">
        <v>#N/A N/A</v>
        <stp/>
        <stp>BDH|5605220826646210821</stp>
        <tr r="E21" s="3"/>
      </tp>
      <tp t="s">
        <v>#N/A N/A</v>
        <stp/>
        <stp>BDH|6311876249408684995</stp>
        <tr r="F21" s="3"/>
      </tp>
      <tp t="s">
        <v>#N/A N/A</v>
        <stp/>
        <stp>BDH|4077970633236171361</stp>
        <tr r="T17" s="3"/>
      </tp>
      <tp t="s">
        <v>#N/A N/A</v>
        <stp/>
        <stp>BDH|3231901842053529662</stp>
        <tr r="P21" s="2"/>
      </tp>
      <tp t="s">
        <v>#N/A N/A</v>
        <stp/>
        <stp>BDH|9099380933151974312</stp>
        <tr r="S6" s="3"/>
      </tp>
      <tp t="s">
        <v>#N/A N/A</v>
        <stp/>
        <stp>BDH|6914574791026868761</stp>
        <tr r="AM25" s="2"/>
      </tp>
      <tp t="s">
        <v>#N/A N/A</v>
        <stp/>
        <stp>BDH|2501847465584272370</stp>
        <tr r="Q24" s="2"/>
      </tp>
      <tp t="s">
        <v>#N/A N/A</v>
        <stp/>
        <stp>BDH|5762462742479098758</stp>
        <tr r="AN21" s="3"/>
      </tp>
      <tp t="s">
        <v>#N/A N/A</v>
        <stp/>
        <stp>BDH|8557574594887420847</stp>
        <tr r="H31" s="2"/>
      </tp>
      <tp t="s">
        <v>#N/A N/A</v>
        <stp/>
        <stp>BDH|8757811423889717043</stp>
        <tr r="AG12" s="3"/>
      </tp>
      <tp t="s">
        <v>#N/A N/A</v>
        <stp/>
        <stp>BDH|1406630326146779826</stp>
        <tr r="K20" s="3"/>
      </tp>
      <tp t="s">
        <v>#N/A N/A</v>
        <stp/>
        <stp>BDH|6975398622399199576</stp>
        <tr r="F28" s="3"/>
      </tp>
      <tp t="s">
        <v>#N/A N/A</v>
        <stp/>
        <stp>BDH|4611832802263633441</stp>
        <tr r="L13" s="2"/>
      </tp>
      <tp t="s">
        <v>#N/A N/A</v>
        <stp/>
        <stp>BDH|1217639881432464618</stp>
        <tr r="S28" s="3"/>
      </tp>
      <tp t="s">
        <v>#N/A N/A</v>
        <stp/>
        <stp>BDH|6169130125626374819</stp>
        <tr r="AC25" s="2"/>
      </tp>
      <tp t="s">
        <v>#N/A N/A</v>
        <stp/>
        <stp>BDH|8384605950914285442</stp>
        <tr r="E29" s="2"/>
      </tp>
      <tp t="s">
        <v>#N/A N/A</v>
        <stp/>
        <stp>BDH|89780060641597696</stp>
        <tr r="T29" s="2"/>
      </tp>
      <tp t="s">
        <v>#N/A N/A</v>
        <stp/>
        <stp>BDH|19504537632847210</stp>
        <tr r="V26" s="2"/>
      </tp>
      <tp t="s">
        <v>#N/A N/A</v>
        <stp/>
        <stp>BDH|8378889310091590445</stp>
        <tr r="D22" s="2"/>
      </tp>
      <tp t="s">
        <v>#N/A N/A</v>
        <stp/>
        <stp>BDH|3512594757271941686</stp>
        <tr r="J24" s="3"/>
      </tp>
      <tp t="s">
        <v>#N/A N/A</v>
        <stp/>
        <stp>BDH|5818698308006347104</stp>
        <tr r="S13" s="3"/>
      </tp>
      <tp t="s">
        <v>#N/A N/A</v>
        <stp/>
        <stp>BDH|4155752998506232853</stp>
        <tr r="R29" s="2"/>
      </tp>
      <tp t="s">
        <v>#N/A N/A</v>
        <stp/>
        <stp>BDH|3298518225656882658</stp>
        <tr r="W9" s="3"/>
      </tp>
      <tp t="s">
        <v>#N/A N/A</v>
        <stp/>
        <stp>BDH|4910700233210659470</stp>
        <tr r="W22" s="2"/>
      </tp>
      <tp t="s">
        <v>#N/A N/A</v>
        <stp/>
        <stp>BDH|1546716668653338774</stp>
        <tr r="J16" s="3"/>
      </tp>
      <tp t="s">
        <v>#N/A N/A</v>
        <stp/>
        <stp>BDH|6733363475161823746</stp>
        <tr r="AL23" s="2"/>
      </tp>
      <tp t="s">
        <v>#N/A N/A</v>
        <stp/>
        <stp>BDH|5412958449409540551</stp>
        <tr r="U21" s="3"/>
      </tp>
      <tp t="s">
        <v>#N/A N/A</v>
        <stp/>
        <stp>BDH|7131065350881637795</stp>
        <tr r="C10" s="3"/>
      </tp>
      <tp t="s">
        <v>#N/A N/A</v>
        <stp/>
        <stp>BDH|2957338363257275428</stp>
        <tr r="T7" s="3"/>
      </tp>
      <tp t="s">
        <v>#N/A N/A</v>
        <stp/>
        <stp>BDH|1295381959714473799</stp>
        <tr r="AC7" s="3"/>
      </tp>
      <tp t="s">
        <v>#N/A N/A</v>
        <stp/>
        <stp>BDH|6254382853472272653</stp>
        <tr r="AL21" s="3"/>
      </tp>
      <tp t="s">
        <v>#N/A N/A</v>
        <stp/>
        <stp>BDH|6985160094108019246</stp>
        <tr r="M30" s="2"/>
      </tp>
      <tp t="s">
        <v>#N/A N/A</v>
        <stp/>
        <stp>BDH|6522829694201695297</stp>
        <tr r="R21" s="3"/>
      </tp>
      <tp t="s">
        <v>#N/A N/A</v>
        <stp/>
        <stp>BDH|8595705119493548954</stp>
        <tr r="AH12" s="3"/>
      </tp>
      <tp t="s">
        <v>#N/A N/A</v>
        <stp/>
        <stp>BDH|4519283100665191705</stp>
        <tr r="Z30" s="2"/>
      </tp>
      <tp t="s">
        <v>#N/A N/A</v>
        <stp/>
        <stp>BDH|4032514114342012699</stp>
        <tr r="Z23" s="2"/>
      </tp>
      <tp t="s">
        <v>#N/A N/A</v>
        <stp/>
        <stp>BDH|6989210266585238318</stp>
        <tr r="AP23" s="2"/>
      </tp>
      <tp t="s">
        <v>#N/A N/A</v>
        <stp/>
        <stp>BDH|9324546585642739289</stp>
        <tr r="AI26" s="2"/>
      </tp>
      <tp t="s">
        <v>#N/A N/A</v>
        <stp/>
        <stp>BDH|8685184198076861231</stp>
        <tr r="AB22" s="3"/>
      </tp>
      <tp t="s">
        <v>#N/A N/A</v>
        <stp/>
        <stp>BDH|5850526461661483321</stp>
        <tr r="AH7" s="2"/>
      </tp>
      <tp t="s">
        <v>#N/A N/A</v>
        <stp/>
        <stp>BDH|5427577789589485534</stp>
        <tr r="Z12" s="3"/>
      </tp>
      <tp t="s">
        <v>#N/A N/A</v>
        <stp/>
        <stp>BDH|7861200759565019135</stp>
        <tr r="S25" s="2"/>
      </tp>
      <tp t="s">
        <v>#N/A N/A</v>
        <stp/>
        <stp>BDH|2301108406006154160</stp>
        <tr r="L25" s="3"/>
      </tp>
      <tp t="s">
        <v>#N/A N/A</v>
        <stp/>
        <stp>BDH|1683036952789128951</stp>
        <tr r="AB9" s="3"/>
      </tp>
      <tp t="s">
        <v>#N/A N/A</v>
        <stp/>
        <stp>BDH|8891258724369879515</stp>
        <tr r="AK28" s="3"/>
      </tp>
      <tp t="s">
        <v>#N/A N/A</v>
        <stp/>
        <stp>BDH|4037825983080215035</stp>
        <tr r="S29" s="2"/>
      </tp>
      <tp t="s">
        <v>#N/A N/A</v>
        <stp/>
        <stp>BDH|3496858015986707828</stp>
        <tr r="H21" s="2"/>
      </tp>
      <tp t="s">
        <v>#N/A N/A</v>
        <stp/>
        <stp>BDH|6871640473453950071</stp>
        <tr r="F23" s="2"/>
      </tp>
      <tp t="s">
        <v>#N/A N/A</v>
        <stp/>
        <stp>BDH|5094347605286356436</stp>
        <tr r="E28" s="3"/>
      </tp>
      <tp t="s">
        <v>#N/A N/A</v>
        <stp/>
        <stp>BDH|5726737071516412770</stp>
        <tr r="AI18" s="3"/>
      </tp>
      <tp t="s">
        <v>#N/A N/A</v>
        <stp/>
        <stp>BDH|6254087274040906511</stp>
        <tr r="E25" s="2"/>
      </tp>
      <tp t="s">
        <v>#N/A N/A</v>
        <stp/>
        <stp>BDH|5809889065728518768</stp>
        <tr r="Z14" s="3"/>
      </tp>
      <tp t="s">
        <v>#N/A N/A</v>
        <stp/>
        <stp>BDH|4187527578282438095</stp>
        <tr r="AE24" s="3"/>
      </tp>
      <tp t="s">
        <v>#N/A N/A</v>
        <stp/>
        <stp>BDH|9774762252378220760</stp>
        <tr r="P14" s="3"/>
      </tp>
      <tp t="s">
        <v>#N/A N/A</v>
        <stp/>
        <stp>BDH|3759644404771198014</stp>
        <tr r="O10" s="2"/>
      </tp>
      <tp t="s">
        <v>#N/A N/A</v>
        <stp/>
        <stp>BDH|8463506364557029847</stp>
        <tr r="F18" s="3"/>
      </tp>
      <tp t="s">
        <v>#N/A N/A</v>
        <stp/>
        <stp>BDH|5980397028665456598</stp>
        <tr r="AE28" s="3"/>
      </tp>
      <tp t="s">
        <v>#N/A N/A</v>
        <stp/>
        <stp>BDH|8124481787811354180</stp>
        <tr r="D13" s="3"/>
      </tp>
      <tp t="s">
        <v>#N/A N/A</v>
        <stp/>
        <stp>BDH|4509325560313528780</stp>
        <tr r="AB8" s="3"/>
      </tp>
      <tp t="s">
        <v>#N/A N/A</v>
        <stp/>
        <stp>BDH|1295064204412332695</stp>
        <tr r="L14" s="3"/>
      </tp>
      <tp t="s">
        <v>#N/A N/A</v>
        <stp/>
        <stp>BDH|6807410001741301607</stp>
        <tr r="T8" s="2"/>
      </tp>
      <tp t="s">
        <v>#N/A N/A</v>
        <stp/>
        <stp>BDH|3379718863574985337</stp>
        <tr r="J6" s="3"/>
      </tp>
      <tp t="s">
        <v>#N/A N/A</v>
        <stp/>
        <stp>BDH|6744190227073013323</stp>
        <tr r="T21" s="2"/>
      </tp>
      <tp t="s">
        <v>#N/A N/A</v>
        <stp/>
        <stp>BDH|1126594508977306682</stp>
        <tr r="AN31" s="2"/>
      </tp>
      <tp t="s">
        <v>#N/A N/A</v>
        <stp/>
        <stp>BDH|1817820161218399237</stp>
        <tr r="AK6" s="3"/>
      </tp>
      <tp t="s">
        <v>#N/A N/A</v>
        <stp/>
        <stp>BDH|3529657948442908693</stp>
        <tr r="AD25" s="3"/>
      </tp>
      <tp t="s">
        <v>#N/A N/A</v>
        <stp/>
        <stp>BDH|4757990706358105013</stp>
        <tr r="V10" s="3"/>
      </tp>
      <tp t="s">
        <v>#N/A N/A</v>
        <stp/>
        <stp>BDH|5845394328244270526</stp>
        <tr r="F17" s="3"/>
      </tp>
      <tp t="s">
        <v>#N/A N/A</v>
        <stp/>
        <stp>BDH|2930960962441180957</stp>
        <tr r="AC17" s="3"/>
      </tp>
      <tp t="s">
        <v>#N/A N/A</v>
        <stp/>
        <stp>BDH|3627397630341295739</stp>
        <tr r="N25" s="3"/>
      </tp>
      <tp t="s">
        <v>#N/A N/A</v>
        <stp/>
        <stp>BDH|2927223235967927195</stp>
        <tr r="AB13" s="3"/>
      </tp>
      <tp t="s">
        <v>#N/A N/A</v>
        <stp/>
        <stp>BDH|5310759528792262708</stp>
        <tr r="P13" s="3"/>
      </tp>
      <tp t="s">
        <v>#N/A N/A</v>
        <stp/>
        <stp>BDH|9707446643468813446</stp>
        <tr r="H10" s="3"/>
      </tp>
      <tp t="s">
        <v>#N/A N/A</v>
        <stp/>
        <stp>BDH|5135698077525336403</stp>
        <tr r="H26" s="3"/>
      </tp>
      <tp t="s">
        <v>#N/A N/A</v>
        <stp/>
        <stp>BDH|5711658772258969943</stp>
        <tr r="AG21" s="3"/>
      </tp>
      <tp t="s">
        <v>#N/A N/A</v>
        <stp/>
        <stp>BDH|5603035406754135400</stp>
        <tr r="AJ7" s="3"/>
      </tp>
      <tp t="s">
        <v>#N/A N/A</v>
        <stp/>
        <stp>BDH|1907359788296358958</stp>
        <tr r="D25" s="3"/>
      </tp>
      <tp t="s">
        <v>#N/A N/A</v>
        <stp/>
        <stp>BDH|3382956510687278967</stp>
        <tr r="C19" s="2"/>
      </tp>
      <tp t="s">
        <v>#N/A N/A</v>
        <stp/>
        <stp>BDH|8568547595608513926</stp>
        <tr r="Q7" s="3"/>
      </tp>
      <tp t="s">
        <v>#N/A N/A</v>
        <stp/>
        <stp>BDH|4041080614166967667</stp>
        <tr r="I8" s="3"/>
      </tp>
      <tp t="s">
        <v>#N/A N/A</v>
        <stp/>
        <stp>BDH|6151715407070480405</stp>
        <tr r="E10" s="3"/>
      </tp>
      <tp t="s">
        <v>#N/A N/A</v>
        <stp/>
        <stp>BDH|2587898572801420996</stp>
        <tr r="G9" s="2"/>
      </tp>
      <tp t="s">
        <v>#N/A N/A</v>
        <stp/>
        <stp>BDH|9442953062141368203</stp>
        <tr r="AC21" s="2"/>
      </tp>
      <tp t="s">
        <v>#N/A N/A</v>
        <stp/>
        <stp>BDH|3181550185392338923</stp>
        <tr r="AF28" s="3"/>
      </tp>
      <tp t="s">
        <v>#N/A N/A</v>
        <stp/>
        <stp>BDH|2753386869034093660</stp>
        <tr r="T23" s="2"/>
      </tp>
      <tp t="s">
        <v>#N/A N/A</v>
        <stp/>
        <stp>BDH|6579126264527530373</stp>
        <tr r="V12" s="3"/>
      </tp>
      <tp t="s">
        <v>#N/A N/A</v>
        <stp/>
        <stp>BDH|7150549567384054533</stp>
        <tr r="P6" s="3"/>
      </tp>
      <tp t="s">
        <v>#N/A N/A</v>
        <stp/>
        <stp>BDH|9525241669670083897</stp>
        <tr r="T6" s="3"/>
      </tp>
      <tp t="s">
        <v>#N/A N/A</v>
        <stp/>
        <stp>BDH|2641137134694686111</stp>
        <tr r="O7" s="2"/>
      </tp>
      <tp t="s">
        <v>#N/A N/A</v>
        <stp/>
        <stp>BDH|6206825005148644341</stp>
        <tr r="T13" s="2"/>
      </tp>
      <tp t="s">
        <v>#N/A N/A</v>
        <stp/>
        <stp>BDH|7574143868535860066</stp>
        <tr r="Z21" s="3"/>
      </tp>
      <tp t="s">
        <v>#N/A N/A</v>
        <stp/>
        <stp>BDH|3981898162981432913</stp>
        <tr r="H9" s="3"/>
      </tp>
      <tp t="s">
        <v>#N/A N/A</v>
        <stp/>
        <stp>BDH|8175763587144480637</stp>
        <tr r="N20" s="3"/>
      </tp>
      <tp t="s">
        <v>#N/A N/A</v>
        <stp/>
        <stp>BDH|3729077208893985568</stp>
        <tr r="O14" s="3"/>
      </tp>
      <tp t="s">
        <v>#N/A N/A</v>
        <stp/>
        <stp>BDH|3761310913001788552</stp>
        <tr r="AE10" s="3"/>
      </tp>
      <tp t="s">
        <v>#N/A N/A</v>
        <stp/>
        <stp>BDH|1826280670621558016</stp>
        <tr r="AD9" s="2"/>
      </tp>
      <tp t="s">
        <v>#N/A N/A</v>
        <stp/>
        <stp>BDH|1033316205804167310</stp>
        <tr r="F31" s="2"/>
      </tp>
      <tp t="s">
        <v>#N/A N/A</v>
        <stp/>
        <stp>BDH|5455696989419180714</stp>
        <tr r="AD10" s="3"/>
      </tp>
      <tp t="s">
        <v>#N/A N/A</v>
        <stp/>
        <stp>BDH|3470863095507235018</stp>
        <tr r="V24" s="2"/>
      </tp>
      <tp t="s">
        <v>#N/A N/A</v>
        <stp/>
        <stp>BDH|5622217085412296858</stp>
        <tr r="AH25" s="3"/>
      </tp>
      <tp t="s">
        <v>#N/A N/A</v>
        <stp/>
        <stp>BDH|6122266223242696172</stp>
        <tr r="M19" s="2"/>
      </tp>
      <tp t="s">
        <v>#N/A N/A</v>
        <stp/>
        <stp>BDH|6229443069443253172</stp>
        <tr r="E12" s="3"/>
      </tp>
      <tp t="s">
        <v>#N/A N/A</v>
        <stp/>
        <stp>BDH|6051412950563317289</stp>
        <tr r="X6" s="3"/>
      </tp>
      <tp t="s">
        <v>#N/A N/A</v>
        <stp/>
        <stp>BDH|7563184875162149539</stp>
        <tr r="AJ10" s="3"/>
      </tp>
      <tp t="s">
        <v>#N/A N/A</v>
        <stp/>
        <stp>BDH|7625867388025025408</stp>
        <tr r="R21" s="2"/>
      </tp>
      <tp t="s">
        <v>#N/A N/A</v>
        <stp/>
        <stp>BDH|1468357258140466142</stp>
        <tr r="H8" s="2"/>
      </tp>
      <tp t="s">
        <v>#N/A N/A</v>
        <stp/>
        <stp>BDH|5202425931503135794</stp>
        <tr r="AF14" s="3"/>
      </tp>
      <tp t="s">
        <v>#N/A N/A</v>
        <stp/>
        <stp>BDH|3467297816473130543</stp>
        <tr r="AN10" s="2"/>
      </tp>
      <tp t="s">
        <v>#N/A N/A</v>
        <stp/>
        <stp>BDH|6436514889659113438</stp>
        <tr r="AN29" s="2"/>
      </tp>
      <tp t="s">
        <v>#N/A N/A</v>
        <stp/>
        <stp>BDH|2856206482519661736</stp>
        <tr r="S17" s="3"/>
      </tp>
      <tp t="s">
        <v>#N/A N/A</v>
        <stp/>
        <stp>BDH|9011777476276579982</stp>
        <tr r="AB8" s="2"/>
      </tp>
      <tp t="s">
        <v>#N/A N/A</v>
        <stp/>
        <stp>BDH|5748075236989952930</stp>
        <tr r="AI24" s="3"/>
      </tp>
      <tp t="s">
        <v>#N/A N/A</v>
        <stp/>
        <stp>BDH|7381613158444427623</stp>
        <tr r="AF20" s="3"/>
      </tp>
      <tp t="s">
        <v>#N/A N/A</v>
        <stp/>
        <stp>BDH|9805386668023164945</stp>
        <tr r="AH29" s="2"/>
      </tp>
      <tp t="s">
        <v>#N/A N/A</v>
        <stp/>
        <stp>BDH|7368185762980574618</stp>
        <tr r="AM9" s="2"/>
      </tp>
      <tp t="s">
        <v>#N/A N/A</v>
        <stp/>
        <stp>BDH|4061949004722594970</stp>
        <tr r="AM10" s="3"/>
      </tp>
      <tp t="s">
        <v>#N/A N/A</v>
        <stp/>
        <stp>BDH|6514379041360024712</stp>
        <tr r="AM8" s="2"/>
      </tp>
      <tp t="s">
        <v>#N/A N/A</v>
        <stp/>
        <stp>BDH|6204484161842952003</stp>
        <tr r="C8" s="3"/>
      </tp>
      <tp t="s">
        <v>#N/A N/A</v>
        <stp/>
        <stp>BDH|3325061607690870597</stp>
        <tr r="Z10" s="3"/>
      </tp>
      <tp t="s">
        <v>#N/A N/A</v>
        <stp/>
        <stp>BDH|5785966978699207481</stp>
        <tr r="G7" s="2"/>
      </tp>
      <tp t="s">
        <v>#N/A N/A</v>
        <stp/>
        <stp>BDH|8299684486251753187</stp>
        <tr r="C9" s="2"/>
      </tp>
      <tp t="s">
        <v>#N/A N/A</v>
        <stp/>
        <stp>BDH|5043546076231167036</stp>
        <tr r="S10" s="2"/>
      </tp>
      <tp t="s">
        <v>#N/A N/A</v>
        <stp/>
        <stp>BDH|1000577612137467417</stp>
        <tr r="AM21" s="3"/>
      </tp>
      <tp t="s">
        <v>#N/A N/A</v>
        <stp/>
        <stp>BDH|3553260332195286131</stp>
        <tr r="AL25" s="3"/>
      </tp>
      <tp t="s">
        <v>#N/A N/A</v>
        <stp/>
        <stp>BDH|1171370090908417538</stp>
        <tr r="Q12" s="3"/>
      </tp>
      <tp t="s">
        <v>#N/A N/A</v>
        <stp/>
        <stp>BDH|1242408848673866434</stp>
        <tr r="AM12" s="3"/>
      </tp>
      <tp t="s">
        <v>#N/A N/A</v>
        <stp/>
        <stp>BDH|5847239745547925265</stp>
        <tr r="P24" s="2"/>
      </tp>
      <tp t="s">
        <v>#N/A N/A</v>
        <stp/>
        <stp>BDH|1579247601875876091</stp>
        <tr r="AP6" s="3"/>
      </tp>
      <tp t="s">
        <v>#N/A N/A</v>
        <stp/>
        <stp>BDH|6044791538121408535</stp>
        <tr r="Q17" s="3"/>
      </tp>
      <tp t="s">
        <v>#N/A N/A</v>
        <stp/>
        <stp>BDH|4248093523569662980</stp>
        <tr r="AD31" s="2"/>
      </tp>
      <tp t="s">
        <v>#N/A N/A</v>
        <stp/>
        <stp>BDH|4715547710253394564</stp>
        <tr r="AM14" s="3"/>
      </tp>
      <tp t="s">
        <v>#N/A N/A</v>
        <stp/>
        <stp>BDH|6215257117844667702</stp>
        <tr r="G13" s="3"/>
      </tp>
      <tp t="s">
        <v>#N/A N/A</v>
        <stp/>
        <stp>BDH|8666448826190241804</stp>
        <tr r="J20" s="3"/>
      </tp>
      <tp t="s">
        <v>#N/A N/A</v>
        <stp/>
        <stp>BDH|8708218394404658138</stp>
        <tr r="AP22" s="3"/>
      </tp>
      <tp t="s">
        <v>#N/A N/A</v>
        <stp/>
        <stp>BDH|7126751045267035567</stp>
        <tr r="AB21" s="2"/>
      </tp>
      <tp t="s">
        <v>#N/A N/A</v>
        <stp/>
        <stp>BDH|1495773956077180236</stp>
        <tr r="W24" s="3"/>
      </tp>
      <tp t="s">
        <v>#N/A N/A</v>
        <stp/>
        <stp>BDH|4399142286109031261</stp>
        <tr r="D7" s="2"/>
      </tp>
      <tp t="s">
        <v>#N/A N/A</v>
        <stp/>
        <stp>BDH|1315669737324039652</stp>
        <tr r="H23" s="2"/>
      </tp>
      <tp t="s">
        <v>#N/A N/A</v>
        <stp/>
        <stp>BDH|4404569383569646605</stp>
        <tr r="AL9" s="2"/>
      </tp>
      <tp t="s">
        <v>#N/A N/A</v>
        <stp/>
        <stp>BDH|8861551017609661381</stp>
        <tr r="P24" s="3"/>
      </tp>
      <tp t="s">
        <v>#N/A N/A</v>
        <stp/>
        <stp>BDH|1084702300731357171</stp>
        <tr r="V17" s="3"/>
      </tp>
      <tp t="s">
        <v>#N/A N/A</v>
        <stp/>
        <stp>BDH|2373793721888909967</stp>
        <tr r="AL25" s="2"/>
      </tp>
      <tp t="s">
        <v>#N/A N/A</v>
        <stp/>
        <stp>BDH|6660984565498964773</stp>
        <tr r="AK29" s="2"/>
      </tp>
      <tp t="s">
        <v>#N/A N/A</v>
        <stp/>
        <stp>BDH|1211911892934631326</stp>
        <tr r="AG24" s="3"/>
      </tp>
      <tp t="s">
        <v>#N/A N/A</v>
        <stp/>
        <stp>BDH|7004260053532897482</stp>
        <tr r="F26" s="2"/>
      </tp>
      <tp t="s">
        <v>#N/A N/A</v>
        <stp/>
        <stp>BDH|3000281240186309415</stp>
        <tr r="AF25" s="3"/>
      </tp>
      <tp t="s">
        <v>#N/A N/A</v>
        <stp/>
        <stp>BDH|3487202349154278659</stp>
        <tr r="AA14" s="3"/>
      </tp>
      <tp t="s">
        <v>#N/A N/A</v>
        <stp/>
        <stp>BDH|5973204975187430026</stp>
        <tr r="D29" s="2"/>
      </tp>
      <tp t="s">
        <v>#N/A N/A</v>
        <stp/>
        <stp>BDH|4739791325082411443</stp>
        <tr r="Y16" s="3"/>
      </tp>
      <tp t="s">
        <v>#N/A N/A</v>
        <stp/>
        <stp>BDH|5128759258628483830</stp>
        <tr r="T28" s="3"/>
      </tp>
      <tp t="s">
        <v>#N/A N/A</v>
        <stp/>
        <stp>BDH|9933927378781963119</stp>
        <tr r="S14" s="3"/>
      </tp>
      <tp t="s">
        <v>#N/A N/A</v>
        <stp/>
        <stp>BDH|4533245579747443148</stp>
        <tr r="AE31" s="2"/>
      </tp>
      <tp t="s">
        <v>#N/A N/A</v>
        <stp/>
        <stp>BDH|5733701852961467191</stp>
        <tr r="AH8" s="3"/>
      </tp>
      <tp t="s">
        <v>#N/A N/A</v>
        <stp/>
        <stp>BDH|3788430549711452508</stp>
        <tr r="AM16" s="3"/>
      </tp>
      <tp t="s">
        <v>#N/A N/A</v>
        <stp/>
        <stp>BDH|5787413527731985519</stp>
        <tr r="AA28" s="3"/>
      </tp>
    </main>
    <main first="bofaddin.rtdserver">
      <tp t="s">
        <v>#N/A N/A</v>
        <stp/>
        <stp>BDH|4951689548677196672</stp>
        <tr r="AD26" s="2"/>
      </tp>
      <tp t="s">
        <v>#N/A N/A</v>
        <stp/>
        <stp>BDH|1844916637985386921</stp>
        <tr r="S9" s="2"/>
      </tp>
      <tp t="s">
        <v>#N/A N/A</v>
        <stp/>
        <stp>BDH|6754803488839621869</stp>
        <tr r="Z21" s="2"/>
      </tp>
      <tp t="s">
        <v>#N/A N/A</v>
        <stp/>
        <stp>BDH|1247559119124750667</stp>
        <tr r="AN19" s="2"/>
      </tp>
      <tp t="s">
        <v>#N/A N/A</v>
        <stp/>
        <stp>BDH|1888833407036486840</stp>
        <tr r="C18" s="3"/>
      </tp>
      <tp t="s">
        <v>#N/A N/A</v>
        <stp/>
        <stp>BDH|5637601343235012593</stp>
        <tr r="AA12" s="3"/>
      </tp>
      <tp t="s">
        <v>#N/A N/A</v>
        <stp/>
        <stp>BDH|6134375643075871300</stp>
        <tr r="AP24" s="2"/>
      </tp>
      <tp t="s">
        <v>#N/A N/A</v>
        <stp/>
        <stp>BDH|7502530995258667487</stp>
        <tr r="AC22" s="2"/>
      </tp>
      <tp t="s">
        <v>#N/A N/A</v>
        <stp/>
        <stp>BDH|1009068427163877746</stp>
        <tr r="K24" s="2"/>
      </tp>
      <tp t="s">
        <v>#N/A N/A</v>
        <stp/>
        <stp>BDH|3722634405850350208</stp>
        <tr r="G18" s="3"/>
      </tp>
      <tp t="s">
        <v>#N/A N/A</v>
        <stp/>
        <stp>BDH|6102536941014898494</stp>
        <tr r="V7" s="2"/>
      </tp>
      <tp t="s">
        <v>#N/A N/A</v>
        <stp/>
        <stp>BDH|9245703911688805082</stp>
        <tr r="L25" s="2"/>
      </tp>
      <tp t="s">
        <v>#N/A N/A</v>
        <stp/>
        <stp>BDH|5631440314700258775</stp>
        <tr r="AN9" s="2"/>
      </tp>
      <tp t="s">
        <v>#N/A N/A</v>
        <stp/>
        <stp>BDH|2531331923406404229</stp>
        <tr r="AH17" s="3"/>
      </tp>
      <tp t="s">
        <v>#N/A N/A</v>
        <stp/>
        <stp>BDH|9079790187713960273</stp>
        <tr r="I30" s="2"/>
      </tp>
      <tp t="s">
        <v>#N/A N/A</v>
        <stp/>
        <stp>BDH|7349511533315369326</stp>
        <tr r="C7" s="2"/>
      </tp>
      <tp t="s">
        <v>#N/A N/A</v>
        <stp/>
        <stp>BDH|7175655434151747471</stp>
        <tr r="N31" s="2"/>
      </tp>
      <tp t="s">
        <v>#N/A N/A</v>
        <stp/>
        <stp>BDH|3426205262001762119</stp>
        <tr r="AK21" s="2"/>
      </tp>
      <tp t="s">
        <v>#N/A N/A</v>
        <stp/>
        <stp>BDH|7891446424034916207</stp>
        <tr r="AA31" s="2"/>
      </tp>
      <tp t="s">
        <v>#N/A N/A</v>
        <stp/>
        <stp>BDH|8605230635989642775</stp>
        <tr r="F13" s="3"/>
      </tp>
      <tp t="s">
        <v>#N/A N/A</v>
        <stp/>
        <stp>BDH|8031609660038469756</stp>
        <tr r="D16" s="3"/>
      </tp>
      <tp t="s">
        <v>#N/A N/A</v>
        <stp/>
        <stp>BDH|1382716610523012342</stp>
        <tr r="L8" s="3"/>
      </tp>
      <tp t="s">
        <v>#N/A N/A</v>
        <stp/>
        <stp>BDH|8365914888248506698</stp>
        <tr r="AF19" s="2"/>
      </tp>
      <tp t="s">
        <v>#N/A N/A</v>
        <stp/>
        <stp>BDH|7150412114375533052</stp>
        <tr r="H17" s="3"/>
      </tp>
      <tp t="s">
        <v>#N/A N/A</v>
        <stp/>
        <stp>BDH|5737998294197804560</stp>
        <tr r="H13" s="2"/>
      </tp>
      <tp t="s">
        <v>#N/A N/A</v>
        <stp/>
        <stp>BDH|2928648548024326324</stp>
        <tr r="J26" s="3"/>
      </tp>
      <tp t="s">
        <v>#N/A N/A</v>
        <stp/>
        <stp>BDH|4021377018236258787</stp>
        <tr r="V23" s="2"/>
      </tp>
      <tp t="s">
        <v>#N/A N/A</v>
        <stp/>
        <stp>BDH|8015779001148357002</stp>
        <tr r="AJ7" s="2"/>
      </tp>
      <tp t="s">
        <v>#N/A N/A</v>
        <stp/>
        <stp>BDH|4047231748117500543</stp>
        <tr r="X30" s="2"/>
      </tp>
      <tp t="s">
        <v>#N/A N/A</v>
        <stp/>
        <stp>BDH|1036295432094237421</stp>
        <tr r="AH24" s="2"/>
      </tp>
      <tp t="s">
        <v>#N/A N/A</v>
        <stp/>
        <stp>BDH|2867221013521406050</stp>
        <tr r="L17" s="3"/>
      </tp>
      <tp t="s">
        <v>#N/A N/A</v>
        <stp/>
        <stp>BDH|7122967065948880020</stp>
        <tr r="AE26" s="3"/>
      </tp>
      <tp t="s">
        <v>#N/A N/A</v>
        <stp/>
        <stp>BDH|8131566676159846317</stp>
        <tr r="M21" s="3"/>
      </tp>
      <tp t="s">
        <v>#N/A N/A</v>
        <stp/>
        <stp>BDH|3155157345532072487</stp>
        <tr r="N19" s="2"/>
      </tp>
      <tp t="s">
        <v>#N/A N/A</v>
        <stp/>
        <stp>BDH|2143673659215794464</stp>
        <tr r="E31" s="2"/>
      </tp>
      <tp t="s">
        <v>#N/A N/A</v>
        <stp/>
        <stp>BDH|3617119219430108316</stp>
        <tr r="AG22" s="2"/>
      </tp>
      <tp t="s">
        <v>#N/A N/A</v>
        <stp/>
        <stp>BDH|7499165916545998221</stp>
        <tr r="AD8" s="2"/>
      </tp>
      <tp t="s">
        <v>#N/A N/A</v>
        <stp/>
        <stp>BDH|5940823634708196619</stp>
        <tr r="J14" s="3"/>
      </tp>
      <tp t="s">
        <v>#N/A N/A</v>
        <stp/>
        <stp>BDH|5821673462003349615</stp>
        <tr r="L18" s="3"/>
      </tp>
      <tp t="s">
        <v>#N/A N/A</v>
        <stp/>
        <stp>BDH|8213944498188327017</stp>
        <tr r="AK7" s="2"/>
      </tp>
      <tp t="s">
        <v>#N/A N/A</v>
        <stp/>
        <stp>BDH|4932561405408616902</stp>
        <tr r="AC31" s="2"/>
      </tp>
      <tp t="s">
        <v>#N/A N/A</v>
        <stp/>
        <stp>BDH|6400291506992448635</stp>
        <tr r="W10" s="3"/>
      </tp>
      <tp t="s">
        <v>#N/A N/A</v>
        <stp/>
        <stp>BDH|3051399447354758056</stp>
        <tr r="AO13" s="3"/>
      </tp>
      <tp t="s">
        <v>#N/A N/A</v>
        <stp/>
        <stp>BDH|1557628914166941067</stp>
        <tr r="G21" s="2"/>
      </tp>
      <tp t="s">
        <v>#N/A N/A</v>
        <stp/>
        <stp>BDH|9213700415619882631</stp>
        <tr r="AM10" s="2"/>
      </tp>
      <tp t="s">
        <v>#N/A N/A</v>
        <stp/>
        <stp>BDH|9774030311020077883</stp>
        <tr r="K21" s="3"/>
      </tp>
      <tp t="s">
        <v>#N/A N/A</v>
        <stp/>
        <stp>BDH|5887476808925245484</stp>
        <tr r="AC9" s="2"/>
      </tp>
      <tp t="s">
        <v>#N/A N/A</v>
        <stp/>
        <stp>BDH|5510488202022165333</stp>
        <tr r="Z22" s="2"/>
      </tp>
      <tp t="s">
        <v>#N/A N/A</v>
        <stp/>
        <stp>BDH|9785988826584813635</stp>
        <tr r="AH25" s="2"/>
      </tp>
      <tp t="s">
        <v>#N/A N/A</v>
        <stp/>
        <stp>BDH|9437750736719300464</stp>
        <tr r="U18" s="3"/>
      </tp>
      <tp t="s">
        <v>#N/A N/A</v>
        <stp/>
        <stp>BDH|5663305034281898486</stp>
        <tr r="C13" s="2"/>
      </tp>
      <tp t="s">
        <v>#N/A N/A</v>
        <stp/>
        <stp>BDH|7772564432260065103</stp>
        <tr r="U8" s="3"/>
      </tp>
      <tp t="s">
        <v>#N/A N/A</v>
        <stp/>
        <stp>BDH|6460696577954816320</stp>
        <tr r="AI9" s="3"/>
      </tp>
      <tp t="s">
        <v>#N/A N/A</v>
        <stp/>
        <stp>BDH|7979005790348058699</stp>
        <tr r="X22" s="3"/>
      </tp>
      <tp t="s">
        <v>#N/A N/A</v>
        <stp/>
        <stp>BDH|8305977979820836653</stp>
        <tr r="Q13" s="3"/>
      </tp>
      <tp t="s">
        <v>#N/A N/A</v>
        <stp/>
        <stp>BDH|7712748030903181026</stp>
        <tr r="AP9" s="3"/>
      </tp>
      <tp t="s">
        <v>#N/A N/A</v>
        <stp/>
        <stp>BDH|5975241529363105643</stp>
        <tr r="P20" s="3"/>
      </tp>
      <tp t="s">
        <v>#N/A N/A</v>
        <stp/>
        <stp>BDH|5065195879622443159</stp>
        <tr r="I7" s="3"/>
      </tp>
      <tp t="s">
        <v>#N/A N/A</v>
        <stp/>
        <stp>BDH|9092710685871083729</stp>
        <tr r="V22" s="2"/>
      </tp>
      <tp t="s">
        <v>#N/A N/A</v>
        <stp/>
        <stp>BDH|3516914407802508808</stp>
        <tr r="W18" s="3"/>
      </tp>
      <tp t="s">
        <v>#N/A N/A</v>
        <stp/>
        <stp>BDH|5380228631463148777</stp>
        <tr r="H7" s="3"/>
      </tp>
      <tp t="s">
        <v>#N/A N/A</v>
        <stp/>
        <stp>BDH|1909689853472759036</stp>
        <tr r="I24" s="2"/>
      </tp>
      <tp t="s">
        <v>#N/A N/A</v>
        <stp/>
        <stp>BDH|2798702299868899410</stp>
        <tr r="D30" s="2"/>
      </tp>
      <tp t="s">
        <v>#N/A N/A</v>
        <stp/>
        <stp>BDH|7230692506582239388</stp>
        <tr r="R10" s="2"/>
      </tp>
      <tp t="s">
        <v>#N/A N/A</v>
        <stp/>
        <stp>BDH|2507178660260098564</stp>
        <tr r="AP13" s="3"/>
      </tp>
      <tp t="s">
        <v>#N/A N/A</v>
        <stp/>
        <stp>BDH|2002768472975672772</stp>
        <tr r="AP22" s="2"/>
      </tp>
      <tp t="s">
        <v>#N/A N/A</v>
        <stp/>
        <stp>BDH|8354030983605187572</stp>
        <tr r="AD19" s="2"/>
      </tp>
    </main>
    <main first="bofaddin.rtdserver">
      <tp t="s">
        <v>#N/A N/A</v>
        <stp/>
        <stp>BDH|1389236039892359300</stp>
        <tr r="AC21" s="3"/>
      </tp>
      <tp t="s">
        <v>#N/A N/A</v>
        <stp/>
        <stp>BDH|8736796221509490509</stp>
        <tr r="E14" s="3"/>
      </tp>
      <tp t="s">
        <v>#N/A N/A</v>
        <stp/>
        <stp>BDH|3321708325817968044</stp>
        <tr r="AF21" s="3"/>
      </tp>
      <tp t="s">
        <v>#N/A N/A</v>
        <stp/>
        <stp>BDH|5017608274500438580</stp>
        <tr r="AC26" s="3"/>
      </tp>
      <tp t="s">
        <v>#N/A N/A</v>
        <stp/>
        <stp>BDH|6734967686517892161</stp>
        <tr r="R8" s="2"/>
      </tp>
      <tp t="s">
        <v>#N/A N/A</v>
        <stp/>
        <stp>BDH|5458388762787204656</stp>
        <tr r="AK25" s="2"/>
      </tp>
      <tp t="s">
        <v>#N/A N/A</v>
        <stp/>
        <stp>BDH|8466269585087924472</stp>
        <tr r="AP20" s="3"/>
      </tp>
      <tp t="s">
        <v>#N/A N/A</v>
        <stp/>
        <stp>BDH|7860653337886731540</stp>
        <tr r="AK8" s="2"/>
      </tp>
      <tp t="s">
        <v>#N/A N/A</v>
        <stp/>
        <stp>BDH|7521207102425969107</stp>
        <tr r="R14" s="3"/>
      </tp>
      <tp t="s">
        <v>#N/A N/A</v>
        <stp/>
        <stp>BDH|5945436615196146704</stp>
        <tr r="Q31" s="2"/>
      </tp>
      <tp t="s">
        <v>#N/A N/A</v>
        <stp/>
        <stp>BDH|4708186964492218071</stp>
        <tr r="G14" s="3"/>
      </tp>
      <tp t="s">
        <v>#N/A N/A</v>
        <stp/>
        <stp>BDH|2303074330508833820</stp>
        <tr r="U10" s="3"/>
      </tp>
      <tp t="s">
        <v>#N/A N/A</v>
        <stp/>
        <stp>BDH|5342210258731227264</stp>
        <tr r="AH23" s="2"/>
      </tp>
      <tp t="s">
        <v>#N/A N/A</v>
        <stp/>
        <stp>BDH|7620385670993035104</stp>
        <tr r="E13" s="2"/>
      </tp>
      <tp t="s">
        <v>#N/A N/A</v>
        <stp/>
        <stp>BDH|5913090760900977267</stp>
        <tr r="G24" s="3"/>
      </tp>
      <tp t="s">
        <v>#N/A N/A</v>
        <stp/>
        <stp>BDH|9082342070174844807</stp>
        <tr r="I22" s="3"/>
      </tp>
      <tp t="s">
        <v>#N/A N/A</v>
        <stp/>
        <stp>BDH|5220500961410840761</stp>
        <tr r="I31" s="2"/>
      </tp>
      <tp t="s">
        <v>#N/A N/A</v>
        <stp/>
        <stp>BDH|1089877703961932906</stp>
        <tr r="AJ22" s="2"/>
      </tp>
      <tp t="s">
        <v>#N/A N/A</v>
        <stp/>
        <stp>BDH|1981811287154246409</stp>
        <tr r="G20" s="3"/>
      </tp>
      <tp t="s">
        <v>#N/A N/A</v>
        <stp/>
        <stp>BDH|9490753659999161341</stp>
        <tr r="L19" s="2"/>
      </tp>
      <tp t="s">
        <v>#N/A N/A</v>
        <stp/>
        <stp>BDH|5730343802715247210</stp>
        <tr r="Y18" s="3"/>
      </tp>
      <tp t="s">
        <v>#N/A N/A</v>
        <stp/>
        <stp>BDH|2833398953021360438</stp>
        <tr r="J21" s="2"/>
      </tp>
      <tp t="s">
        <v>#N/A N/A</v>
        <stp/>
        <stp>BDH|5979207309516777056</stp>
        <tr r="AM18" s="3"/>
      </tp>
      <tp t="s">
        <v>#N/A N/A</v>
        <stp/>
        <stp>BDH|5832791849943373498</stp>
        <tr r="X16" s="3"/>
      </tp>
      <tp t="s">
        <v>#N/A N/A</v>
        <stp/>
        <stp>BDH|8731545124128161648</stp>
        <tr r="E18" s="3"/>
      </tp>
      <tp t="s">
        <v>#N/A N/A</v>
        <stp/>
        <stp>BDH|4268308865501602131</stp>
        <tr r="AD23" s="2"/>
      </tp>
    </main>
    <main first="bofaddin.rtdserver">
      <tp t="s">
        <v>#N/A N/A</v>
        <stp/>
        <stp>BDH|7381968782177241069</stp>
        <tr r="S8" s="2"/>
      </tp>
      <tp t="s">
        <v>#N/A N/A</v>
        <stp/>
        <stp>BDH|2790498011396653094</stp>
        <tr r="AF9" s="2"/>
      </tp>
      <tp t="s">
        <v>#N/A N/A</v>
        <stp/>
        <stp>BDH|6498101755272987184</stp>
        <tr r="L6" s="3"/>
      </tp>
      <tp t="s">
        <v>#N/A N/A</v>
        <stp/>
        <stp>BDH|6250230363831164229</stp>
        <tr r="Q22" s="2"/>
      </tp>
      <tp t="s">
        <v>#N/A N/A</v>
        <stp/>
        <stp>BDH|9522841636512572133</stp>
        <tr r="X18" s="3"/>
      </tp>
      <tp t="s">
        <v>#N/A N/A</v>
        <stp/>
        <stp>BDH|8140015801608635160</stp>
        <tr r="AB22" s="2"/>
      </tp>
      <tp t="s">
        <v>#N/A N/A</v>
        <stp/>
        <stp>BDH|1032021681828224005</stp>
        <tr r="O26" s="2"/>
      </tp>
      <tp t="s">
        <v>#N/A N/A</v>
        <stp/>
        <stp>BDH|7626731075440613604</stp>
        <tr r="AN26" s="3"/>
      </tp>
      <tp t="s">
        <v>#N/A N/A</v>
        <stp/>
        <stp>BDH|3846393326294674770</stp>
        <tr r="E16" s="3"/>
      </tp>
      <tp t="s">
        <v>#N/A N/A</v>
        <stp/>
        <stp>BDH|9135911885440301900</stp>
        <tr r="K6" s="3"/>
      </tp>
      <tp t="s">
        <v>#N/A N/A</v>
        <stp/>
        <stp>BDH|4179525770691222666</stp>
        <tr r="T10" s="3"/>
      </tp>
      <tp t="s">
        <v>#N/A N/A</v>
        <stp/>
        <stp>BDH|6559359902744256071</stp>
        <tr r="AL29" s="2"/>
      </tp>
      <tp t="s">
        <v>#N/A N/A</v>
        <stp/>
        <stp>BDH|3114262326565244773</stp>
        <tr r="AP29" s="2"/>
      </tp>
      <tp t="s">
        <v>#N/A N/A</v>
        <stp/>
        <stp>BDH|9801848416549643886</stp>
        <tr r="AK16" s="3"/>
      </tp>
    </main>
    <main first="bofaddin.rtdserver">
      <tp t="s">
        <v>#N/A N/A</v>
        <stp/>
        <stp>BDH|8163563839808645423</stp>
        <tr r="X8" s="2"/>
      </tp>
      <tp t="s">
        <v>#N/A N/A</v>
        <stp/>
        <stp>BDH|3576727376809370881</stp>
        <tr r="P8" s="2"/>
      </tp>
      <tp t="s">
        <v>#N/A N/A</v>
        <stp/>
        <stp>BDH|6920633423638819897</stp>
        <tr r="V29" s="2"/>
      </tp>
      <tp t="s">
        <v>#N/A N/A</v>
        <stp/>
        <stp>BDH|6560541776452726481</stp>
        <tr r="T16" s="3"/>
      </tp>
      <tp t="s">
        <v>#N/A N/A</v>
        <stp/>
        <stp>BDH|3599287022333597237</stp>
        <tr r="F13" s="2"/>
      </tp>
      <tp t="s">
        <v>#N/A N/A</v>
        <stp/>
        <stp>BDH|9538699770733680937</stp>
        <tr r="V8" s="2"/>
      </tp>
      <tp t="s">
        <v>#N/A N/A</v>
        <stp/>
        <stp>BDH|3559313323700800013</stp>
        <tr r="K14" s="3"/>
      </tp>
      <tp t="s">
        <v>#N/A N/A</v>
        <stp/>
        <stp>BDH|3929446047454684522</stp>
        <tr r="T18" s="3"/>
      </tp>
      <tp t="s">
        <v>#N/A N/A</v>
        <stp/>
        <stp>BDH|4918422073557504226</stp>
        <tr r="C20" s="3"/>
      </tp>
      <tp t="s">
        <v>#N/A N/A</v>
        <stp/>
        <stp>BDH|7907506552385686024</stp>
        <tr r="AA8" s="2"/>
      </tp>
      <tp t="s">
        <v>#N/A N/A</v>
        <stp/>
        <stp>BDH|3931760537613531619</stp>
        <tr r="AK9" s="2"/>
      </tp>
      <tp t="s">
        <v>#N/A N/A</v>
        <stp/>
        <stp>BDH|7070168998795299817</stp>
        <tr r="M14" s="3"/>
      </tp>
      <tp t="s">
        <v>#N/A N/A</v>
        <stp/>
        <stp>BDH|9391943720077918736</stp>
        <tr r="I25" s="3"/>
      </tp>
      <tp t="s">
        <v>#N/A N/A</v>
        <stp/>
        <stp>BDH|6404419363014690222</stp>
        <tr r="AG10" s="2"/>
      </tp>
      <tp t="s">
        <v>#N/A N/A</v>
        <stp/>
        <stp>BDH|9753902871182614721</stp>
        <tr r="Y19" s="2"/>
      </tp>
      <tp t="s">
        <v>#N/A N/A</v>
        <stp/>
        <stp>BDH|1348745067983632140</stp>
        <tr r="AH24" s="3"/>
      </tp>
      <tp t="s">
        <v>#N/A N/A</v>
        <stp/>
        <stp>BDH|4473318186004400952</stp>
        <tr r="AP16" s="3"/>
      </tp>
      <tp t="s">
        <v>#N/A N/A</v>
        <stp/>
        <stp>BDH|1193622219561855504</stp>
        <tr r="AE24" s="2"/>
      </tp>
      <tp t="s">
        <v>#N/A N/A</v>
        <stp/>
        <stp>BDH|2382324262992695773</stp>
        <tr r="X12" s="3"/>
      </tp>
      <tp t="s">
        <v>#N/A N/A</v>
        <stp/>
        <stp>BDH|3657062440337413247</stp>
        <tr r="AG9" s="3"/>
      </tp>
      <tp t="s">
        <v>#N/A N/A</v>
        <stp/>
        <stp>BDH|3110003452163341701</stp>
        <tr r="AO28" s="3"/>
      </tp>
      <tp t="s">
        <v>#N/A N/A</v>
        <stp/>
        <stp>BDH|1153541071074542500</stp>
        <tr r="Q7" s="2"/>
      </tp>
      <tp t="s">
        <v>#N/A N/A</v>
        <stp/>
        <stp>BDH|8769810826652164200</stp>
        <tr r="AB19" s="2"/>
      </tp>
      <tp t="s">
        <v>#N/A N/A</v>
        <stp/>
        <stp>BDH|6851971759080206852</stp>
        <tr r="U9" s="2"/>
      </tp>
      <tp t="s">
        <v>#N/A N/A</v>
        <stp/>
        <stp>BDH|1732009743460628737</stp>
        <tr r="O18" s="3"/>
      </tp>
      <tp t="s">
        <v>#N/A N/A</v>
        <stp/>
        <stp>BDH|3597105828335821747</stp>
        <tr r="U23" s="2"/>
      </tp>
      <tp t="s">
        <v>#N/A N/A</v>
        <stp/>
        <stp>BDH|3606228405831398233</stp>
        <tr r="M28" s="3"/>
      </tp>
      <tp t="s">
        <v>#N/A N/A</v>
        <stp/>
        <stp>BDH|7052366764060263018</stp>
        <tr r="X13" s="2"/>
      </tp>
      <tp t="s">
        <v>#N/A N/A</v>
        <stp/>
        <stp>BDH|2479751491797653906</stp>
        <tr r="E9" s="3"/>
      </tp>
      <tp t="s">
        <v>#N/A N/A</v>
        <stp/>
        <stp>BDH|9184864186883581825</stp>
        <tr r="AA7" s="2"/>
      </tp>
      <tp t="s">
        <v>#N/A N/A</v>
        <stp/>
        <stp>BDH|3244321863740231461</stp>
        <tr r="Q24" s="3"/>
      </tp>
      <tp t="s">
        <v>#N/A N/A</v>
        <stp/>
        <stp>BDH|5107347113603221630</stp>
        <tr r="Z20" s="3"/>
      </tp>
      <tp t="s">
        <v>#N/A N/A</v>
        <stp/>
        <stp>BDH|8086122348357881858</stp>
        <tr r="F12" s="3"/>
      </tp>
      <tp t="s">
        <v>#N/A N/A</v>
        <stp/>
        <stp>BDH|2999897390318508926</stp>
        <tr r="AC28" s="3"/>
      </tp>
      <tp t="s">
        <v>#N/A N/A</v>
        <stp/>
        <stp>BDH|3459230318185992717</stp>
        <tr r="AP26" s="2"/>
      </tp>
      <tp t="s">
        <v>#N/A N/A</v>
        <stp/>
        <stp>BDH|5729367037516350113</stp>
        <tr r="K26" s="2"/>
      </tp>
      <tp t="s">
        <v>#N/A N/A</v>
        <stp/>
        <stp>BDH|7372220682548538730</stp>
        <tr r="C26" s="2"/>
      </tp>
      <tp t="s">
        <v>#N/A N/A</v>
        <stp/>
        <stp>BDH|3490009324942358168</stp>
        <tr r="AL26" s="2"/>
      </tp>
      <tp t="s">
        <v>#N/A N/A</v>
        <stp/>
        <stp>BDH|7710111114467732200</stp>
        <tr r="AD13" s="2"/>
      </tp>
      <tp t="s">
        <v>#N/A N/A</v>
        <stp/>
        <stp>BDH|8811926434063828338</stp>
        <tr r="P23" s="2"/>
      </tp>
      <tp t="s">
        <v>#N/A N/A</v>
        <stp/>
        <stp>BDH|4422474404504061629</stp>
        <tr r="AB25" s="2"/>
      </tp>
      <tp t="s">
        <v>#N/A N/A</v>
        <stp/>
        <stp>BDH|3948013090611545872</stp>
        <tr r="U30" s="2"/>
      </tp>
      <tp t="s">
        <v>#N/A N/A</v>
        <stp/>
        <stp>BDH|2937565820331214772</stp>
        <tr r="Y30" s="2"/>
      </tp>
      <tp t="s">
        <v>#N/A N/A</v>
        <stp/>
        <stp>BDH|6732680162816776304</stp>
        <tr r="I24" s="3"/>
      </tp>
      <tp t="s">
        <v>#N/A N/A</v>
        <stp/>
        <stp>BDH|3370154334336830408</stp>
        <tr r="AK10" s="3"/>
      </tp>
      <tp t="s">
        <v>#N/A N/A</v>
        <stp/>
        <stp>BDH|6055947718944297948</stp>
        <tr r="H16" s="3"/>
      </tp>
      <tp t="s">
        <v>#N/A N/A</v>
        <stp/>
        <stp>BDH|2951902704881569938</stp>
        <tr r="AO14" s="3"/>
      </tp>
      <tp t="s">
        <v>#N/A N/A</v>
        <stp/>
        <stp>BDH|7932009633505710268</stp>
        <tr r="K29" s="2"/>
      </tp>
      <tp t="s">
        <v>#N/A N/A</v>
        <stp/>
        <stp>BDH|7851611920447286701</stp>
        <tr r="AJ16" s="3"/>
      </tp>
      <tp t="s">
        <v>#N/A N/A</v>
        <stp/>
        <stp>BDH|1779640939096715156</stp>
        <tr r="D23" s="2"/>
      </tp>
      <tp t="s">
        <v>#N/A N/A</v>
        <stp/>
        <stp>BDH|5828254121210359674</stp>
        <tr r="Y26" s="2"/>
      </tp>
      <tp t="s">
        <v>#N/A N/A</v>
        <stp/>
        <stp>BDH|2264384432873640265</stp>
        <tr r="AG7" s="3"/>
      </tp>
      <tp t="s">
        <v>#N/A N/A</v>
        <stp/>
        <stp>BDH|4927076916380241630</stp>
        <tr r="AJ6" s="3"/>
      </tp>
      <tp t="s">
        <v>#N/A N/A</v>
        <stp/>
        <stp>BDH|7325236242015394785</stp>
        <tr r="E13" s="3"/>
      </tp>
      <tp t="s">
        <v>#N/A N/A</v>
        <stp/>
        <stp>BDH|8555895555263668569</stp>
        <tr r="Z28" s="3"/>
      </tp>
      <tp t="s">
        <v>#N/A N/A</v>
        <stp/>
        <stp>BDH|5548302026292400597</stp>
        <tr r="AK26" s="2"/>
      </tp>
      <tp t="s">
        <v>#N/A N/A</v>
        <stp/>
        <stp>BDH|7057491050532657719</stp>
        <tr r="W8" s="2"/>
      </tp>
      <tp t="s">
        <v>#N/A N/A</v>
        <stp/>
        <stp>BDH|1035569629371673458</stp>
        <tr r="H8" s="3"/>
      </tp>
      <tp t="s">
        <v>#N/A N/A</v>
        <stp/>
        <stp>BDH|9064915662141628499</stp>
        <tr r="T14" s="3"/>
      </tp>
      <tp t="s">
        <v>#N/A N/A</v>
        <stp/>
        <stp>BDH|4728430147245807264</stp>
        <tr r="U22" s="3"/>
      </tp>
      <tp t="s">
        <v>#N/A N/A</v>
        <stp/>
        <stp>BDH|1944354833605668747</stp>
        <tr r="X25" s="3"/>
      </tp>
      <tp t="s">
        <v>#N/A N/A</v>
        <stp/>
        <stp>BDH|3885821454078202513</stp>
        <tr r="AN18" s="3"/>
      </tp>
      <tp t="s">
        <v>#N/A N/A</v>
        <stp/>
        <stp>BDH|2846455963982430176</stp>
        <tr r="M7" s="2"/>
      </tp>
      <tp t="s">
        <v>#N/A N/A</v>
        <stp/>
        <stp>BDH|3280779596506303836</stp>
        <tr r="S21" s="2"/>
      </tp>
      <tp t="s">
        <v>#N/A N/A</v>
        <stp/>
        <stp>BDH|4537088958122342059</stp>
        <tr r="X22" s="2"/>
      </tp>
      <tp t="s">
        <v>#N/A N/A</v>
        <stp/>
        <stp>BDH|4427944841038045229</stp>
        <tr r="E8" s="3"/>
      </tp>
      <tp t="s">
        <v>#N/A N/A</v>
        <stp/>
        <stp>BDH|4969048819674711203</stp>
        <tr r="Z9" s="2"/>
      </tp>
      <tp t="s">
        <v>#N/A N/A</v>
        <stp/>
        <stp>BDH|9969158168529652411</stp>
        <tr r="M7" s="3"/>
      </tp>
      <tp t="s">
        <v>#N/A N/A</v>
        <stp/>
        <stp>BDH|3696904645238108510</stp>
        <tr r="AF26" s="2"/>
      </tp>
      <tp t="s">
        <v>#N/A N/A</v>
        <stp/>
        <stp>BDH|5722382840978988963</stp>
        <tr r="O13" s="2"/>
      </tp>
      <tp t="s">
        <v>#N/A N/A</v>
        <stp/>
        <stp>BDH|3716679373712714346</stp>
        <tr r="C12" s="3"/>
      </tp>
      <tp t="s">
        <v>#N/A N/A</v>
        <stp/>
        <stp>BDH|8709130833051098872</stp>
        <tr r="AG26" s="2"/>
      </tp>
      <tp t="s">
        <v>#N/A N/A</v>
        <stp/>
        <stp>BDH|3364425849820055083</stp>
        <tr r="AP7" s="3"/>
      </tp>
      <tp t="s">
        <v>#N/A N/A</v>
        <stp/>
        <stp>BDH|4515836496622577442</stp>
        <tr r="AH26" s="3"/>
      </tp>
      <tp t="s">
        <v>#N/A N/A</v>
        <stp/>
        <stp>BDH|6767463846776360350</stp>
        <tr r="N9" s="3"/>
      </tp>
      <tp t="s">
        <v>#N/A N/A</v>
        <stp/>
        <stp>BDH|3322170906875145425</stp>
        <tr r="AO8" s="3"/>
      </tp>
      <tp t="s">
        <v>#N/A N/A</v>
        <stp/>
        <stp>BDH|7949630728834032432</stp>
        <tr r="D20" s="3"/>
      </tp>
      <tp t="s">
        <v>#N/A N/A</v>
        <stp/>
        <stp>BDH|7392886570683927834</stp>
        <tr r="AN25" s="3"/>
      </tp>
      <tp t="s">
        <v>#N/A N/A</v>
        <stp/>
        <stp>BDH|9425790482163046690</stp>
        <tr r="J18" s="3"/>
      </tp>
      <tp t="s">
        <v>#N/A N/A</v>
        <stp/>
        <stp>BDH|6023769481733286932</stp>
        <tr r="AJ31" s="2"/>
      </tp>
      <tp t="s">
        <v>#N/A N/A</v>
        <stp/>
        <stp>BDH|8351570786686487002</stp>
        <tr r="W12" s="3"/>
      </tp>
      <tp t="s">
        <v>#N/A N/A</v>
        <stp/>
        <stp>BDH|6750998589920274439</stp>
        <tr r="D24" s="3"/>
      </tp>
      <tp t="s">
        <v>#N/A N/A</v>
        <stp/>
        <stp>BDH|4898103429620561420</stp>
        <tr r="X20" s="3"/>
      </tp>
      <tp t="s">
        <v>#N/A N/A</v>
        <stp/>
        <stp>BDH|6132320670753688236</stp>
        <tr r="AH9" s="3"/>
      </tp>
      <tp t="s">
        <v>#N/A N/A</v>
        <stp/>
        <stp>BDH|2088401951941752114</stp>
        <tr r="AO20" s="3"/>
      </tp>
      <tp t="s">
        <v>#N/A N/A</v>
        <stp/>
        <stp>BDH|8904940638729540877</stp>
        <tr r="Y13" s="3"/>
      </tp>
      <tp t="s">
        <v>#N/A N/A</v>
        <stp/>
        <stp>BDH|9567514611758102632</stp>
        <tr r="R22" s="2"/>
      </tp>
      <tp t="s">
        <v>#N/A N/A</v>
        <stp/>
        <stp>BDH|7530674816917515464</stp>
        <tr r="Z7" s="3"/>
      </tp>
      <tp t="s">
        <v>#N/A N/A</v>
        <stp/>
        <stp>BDH|5725301614834197062</stp>
        <tr r="Z24" s="3"/>
      </tp>
      <tp t="s">
        <v>#N/A N/A</v>
        <stp/>
        <stp>BDH|9570502520085099815</stp>
        <tr r="Q23" s="2"/>
      </tp>
      <tp t="s">
        <v>#N/A N/A</v>
        <stp/>
        <stp>BDH|4241595703473450190</stp>
        <tr r="X21" s="3"/>
      </tp>
      <tp t="s">
        <v>#N/A N/A</v>
        <stp/>
        <stp>BDH|4332892389615641200</stp>
        <tr r="O17" s="3"/>
      </tp>
      <tp t="s">
        <v>#N/A N/A</v>
        <stp/>
        <stp>BDH|6558534143977430349</stp>
        <tr r="AK30" s="2"/>
      </tp>
      <tp t="s">
        <v>#N/A N/A</v>
        <stp/>
        <stp>BDH|5750268370212333177</stp>
        <tr r="K9" s="3"/>
      </tp>
      <tp t="s">
        <v>#N/A N/A</v>
        <stp/>
        <stp>BDH|56416883523442101</stp>
        <tr r="AO18" s="3"/>
      </tp>
      <tp t="s">
        <v>#N/A N/A</v>
        <stp/>
        <stp>BDH|37006131248477547</stp>
        <tr r="L30" s="2"/>
      </tp>
      <tp t="s">
        <v>#N/A N/A</v>
        <stp/>
        <stp>BDH|79889773562254301</stp>
        <tr r="AF22" s="3"/>
      </tp>
    </main>
    <main first="bofaddin.rtdserver">
      <tp t="s">
        <v>#N/A N/A</v>
        <stp/>
        <stp>BDH|550147879273786031</stp>
        <tr r="F19" s="2"/>
      </tp>
      <tp t="s">
        <v>#N/A N/A</v>
        <stp/>
        <stp>BDH|812325256636709542</stp>
        <tr r="S20" s="3"/>
      </tp>
      <tp t="s">
        <v>#N/A N/A</v>
        <stp/>
        <stp>BDH|815874575153108937</stp>
        <tr r="R22" s="3"/>
      </tp>
      <tp t="s">
        <v>#N/A N/A</v>
        <stp/>
        <stp>BDH|224019955954877557</stp>
        <tr r="S19" s="2"/>
      </tp>
      <tp t="s">
        <v>#N/A N/A</v>
        <stp/>
        <stp>BDH|146173940045544416</stp>
        <tr r="AB10" s="3"/>
      </tp>
      <tp t="s">
        <v>#N/A N/A</v>
        <stp/>
        <stp>BDH|342958092320922743</stp>
        <tr r="AP8" s="3"/>
      </tp>
      <tp t="s">
        <v>#N/A N/A</v>
        <stp/>
        <stp>BDH|146405509045829691</stp>
        <tr r="Q9" s="2"/>
      </tp>
      <tp t="s">
        <v>#N/A N/A</v>
        <stp/>
        <stp>BDH|302098739305430179</stp>
        <tr r="AJ25" s="2"/>
      </tp>
      <tp t="s">
        <v>#N/A N/A</v>
        <stp/>
        <stp>BDH|368115940117654575</stp>
        <tr r="H28" s="3"/>
      </tp>
    </main>
    <main first="bofaddin.rtdserver">
      <tp t="s">
        <v>#N/A N/A</v>
        <stp/>
        <stp>BDH|387395498945429960</stp>
        <tr r="D21" s="2"/>
      </tp>
      <tp t="s">
        <v>#N/A N/A</v>
        <stp/>
        <stp>BDH|249170851191171340</stp>
        <tr r="T30" s="2"/>
      </tp>
      <tp t="s">
        <v>#N/A N/A</v>
        <stp/>
        <stp>BDH|292925505736724919</stp>
        <tr r="Q28" s="3"/>
      </tp>
    </main>
    <main first="bofaddin.rtdserver">
      <tp t="s">
        <v>#N/A N/A</v>
        <stp/>
        <stp>BDH|380035503014924560</stp>
        <tr r="AL19" s="2"/>
      </tp>
      <tp t="s">
        <v>#N/A N/A</v>
        <stp/>
        <stp>BDH|502072747256868343</stp>
        <tr r="T21" s="3"/>
      </tp>
      <tp t="s">
        <v>#N/A N/A</v>
        <stp/>
        <stp>BDH|834160043907661319</stp>
        <tr r="AE8" s="3"/>
      </tp>
      <tp t="s">
        <v>#N/A N/A</v>
        <stp/>
        <stp>BDH|305442224505681219</stp>
        <tr r="T12" s="3"/>
      </tp>
      <tp t="s">
        <v>#N/A N/A</v>
        <stp/>
        <stp>BDH|142317575214493110</stp>
        <tr r="W21" s="2"/>
      </tp>
      <tp t="s">
        <v>#N/A N/A</v>
        <stp/>
        <stp>BDH|808058927151940209</stp>
        <tr r="AF7" s="3"/>
      </tp>
    </main>
    <main first="bofaddin.rtdserver">
      <tp t="s">
        <v>#N/A N/A</v>
        <stp/>
        <stp>BDH|923398101664465788</stp>
        <tr r="AL20" s="3"/>
      </tp>
      <tp t="s">
        <v>#N/A N/A</v>
        <stp/>
        <stp>BDH|923074332782026114</stp>
        <tr r="AO26" s="3"/>
      </tp>
      <tp t="s">
        <v>#N/A N/A</v>
        <stp/>
        <stp>BDH|517069269313239506</stp>
        <tr r="X7" s="2"/>
      </tp>
      <tp t="s">
        <v>#N/A N/A</v>
        <stp/>
        <stp>BDH|871371837344574442</stp>
        <tr r="AG9" s="2"/>
      </tp>
      <tp t="s">
        <v>#N/A N/A</v>
        <stp/>
        <stp>BDH|238563293658025436</stp>
        <tr r="AA16" s="3"/>
      </tp>
      <tp t="s">
        <v>#N/A N/A</v>
        <stp/>
        <stp>BDH|382395984629856229</stp>
        <tr r="AE9" s="3"/>
      </tp>
      <tp t="s">
        <v>#N/A N/A</v>
        <stp/>
        <stp>BDH|760623129185163181</stp>
        <tr r="X9" s="3"/>
      </tp>
    </main>
    <main first="bofaddin.rtdserver">
      <tp t="s">
        <v>#N/A N/A</v>
        <stp/>
        <stp>BDH|259609210706853248</stp>
        <tr r="P22" s="3"/>
      </tp>
      <tp t="s">
        <v>#N/A N/A</v>
        <stp/>
        <stp>BDH|324531440295199795</stp>
        <tr r="W30" s="2"/>
      </tp>
      <tp t="s">
        <v>#N/A N/A</v>
        <stp/>
        <stp>BDH|963347613354202578</stp>
        <tr r="D17" s="3"/>
      </tp>
      <tp t="s">
        <v>#N/A N/A</v>
        <stp/>
        <stp>BDH|208105610930195368</stp>
        <tr r="AL6" s="3"/>
      </tp>
      <tp t="s">
        <v>#N/A N/A</v>
        <stp/>
        <stp>BDH|719407029123667687</stp>
        <tr r="P25" s="2"/>
      </tp>
    </main>
    <main first="bofaddin.rtdserver">
      <tp t="s">
        <v>#N/A N/A</v>
        <stp/>
        <stp>BDH|374978842676995934</stp>
        <tr r="G16" s="3"/>
      </tp>
      <tp t="s">
        <v>#N/A N/A</v>
        <stp/>
        <stp>BDH|208591482656318951</stp>
        <tr r="M25" s="3"/>
      </tp>
      <tp t="s">
        <v>#N/A N/A</v>
        <stp/>
        <stp>BDH|301284319758824956</stp>
        <tr r="V26" s="3"/>
      </tp>
      <tp t="s">
        <v>#N/A N/A</v>
        <stp/>
        <stp>BDH|509138917450233274</stp>
        <tr r="AJ18" s="3"/>
      </tp>
      <tp t="s">
        <v>#N/A N/A</v>
        <stp/>
        <stp>BDH|580476010586509127</stp>
        <tr r="J8" s="3"/>
      </tp>
      <tp t="s">
        <v>#N/A N/A</v>
        <stp/>
        <stp>BDH|539248554187304236</stp>
        <tr r="AB25" s="3"/>
      </tp>
      <tp t="s">
        <v>#N/A N/A</v>
        <stp/>
        <stp>BDH|750543321937057249</stp>
        <tr r="AN21" s="2"/>
      </tp>
      <tp t="s">
        <v>#N/A N/A</v>
        <stp/>
        <stp>BDH|584812446806302874</stp>
        <tr r="AE23" s="2"/>
      </tp>
      <tp t="s">
        <v>#N/A N/A</v>
        <stp/>
        <stp>BDH|314270642687623305</stp>
        <tr r="AA17" s="3"/>
      </tp>
    </main>
    <main first="bofaddin.rtdserver">
      <tp t="s">
        <v>#N/A N/A</v>
        <stp/>
        <stp>BDH|564575333062611984</stp>
        <tr r="AE13" s="2"/>
      </tp>
      <tp t="s">
        <v>#N/A N/A</v>
        <stp/>
        <stp>BDH|907665113163155927</stp>
        <tr r="AO10" s="2"/>
      </tp>
      <tp t="s">
        <v>#N/A N/A</v>
        <stp/>
        <stp>BDH|643420286183381261</stp>
        <tr r="J10" s="3"/>
      </tp>
      <tp t="s">
        <v>#N/A N/A</v>
        <stp/>
        <stp>BDH|260264569371976860</stp>
        <tr r="C25" s="2"/>
      </tp>
      <tp t="s">
        <v>#N/A N/A</v>
        <stp/>
        <stp>BDH|171211137108899522</stp>
        <tr r="G25" s="2"/>
      </tp>
    </main>
    <main first="bofaddin.rtdserver">
      <tp t="s">
        <v>#N/A N/A</v>
        <stp/>
        <stp>BDH|292034252751105875</stp>
        <tr r="M8" s="3"/>
      </tp>
      <tp t="s">
        <v>#N/A N/A</v>
        <stp/>
        <stp>BDH|227827402990476408</stp>
        <tr r="X26" s="3"/>
      </tp>
      <tp t="s">
        <v>#N/A N/A</v>
        <stp/>
        <stp>BDH|128607024861326911</stp>
        <tr r="I13" s="3"/>
      </tp>
      <tp t="s">
        <v>#N/A N/A</v>
        <stp/>
        <stp>BDH|462225853873315857</stp>
        <tr r="V21" s="3"/>
      </tp>
    </main>
    <main first="bofaddin.rtdserver">
      <tp t="s">
        <v>#N/A N/A</v>
        <stp/>
        <stp>BDH|496954259037579431</stp>
        <tr r="M10" s="2"/>
      </tp>
    </main>
    <main first="bofaddin.rtdserver">
      <tp t="s">
        <v>#N/A N/A</v>
        <stp/>
        <stp>BDH|974312189793017792</stp>
        <tr r="H18" s="3"/>
      </tp>
      <tp t="s">
        <v>#N/A N/A</v>
        <stp/>
        <stp>BDH|990099066980543991</stp>
        <tr r="M9" s="2"/>
      </tp>
      <tp t="s">
        <v>#N/A N/A</v>
        <stp/>
        <stp>BDH|183547967185706912</stp>
        <tr r="AE21" s="2"/>
      </tp>
      <tp t="s">
        <v>#N/A N/A</v>
        <stp/>
        <stp>BDH|317973265029607966</stp>
        <tr r="K10" s="3"/>
      </tp>
      <tp t="s">
        <v>#N/A N/A</v>
        <stp/>
        <stp>BDH|610974520836411390</stp>
        <tr r="S10" s="3"/>
      </tp>
      <tp t="s">
        <v>#N/A N/A</v>
        <stp/>
        <stp>BDH|826513556038003626</stp>
        <tr r="L20" s="3"/>
      </tp>
    </main>
    <main first="bofaddin.rtdserver">
      <tp t="s">
        <v>#N/A N/A</v>
        <stp/>
        <stp>BDH|366226084071702507</stp>
        <tr r="AB26" s="3"/>
      </tp>
    </main>
    <main first="bofaddin.rtdserver">
      <tp t="s">
        <v>#N/A N/A</v>
        <stp/>
        <stp>BDH|522490990514009002</stp>
        <tr r="W28" s="3"/>
      </tp>
      <tp t="s">
        <v>#N/A N/A</v>
        <stp/>
        <stp>BDH|371685285087109125</stp>
        <tr r="N9" s="2"/>
      </tp>
      <tp t="s">
        <v>#N/A N/A</v>
        <stp/>
        <stp>BDH|369590677763786947</stp>
        <tr r="Z13" s="3"/>
      </tp>
      <tp t="s">
        <v>#N/A N/A</v>
        <stp/>
        <stp>BDH|963159494958398836</stp>
        <tr r="AL22" s="3"/>
      </tp>
      <tp t="s">
        <v>#N/A N/A</v>
        <stp/>
        <stp>BDH|460980132664453625</stp>
        <tr r="E26" s="2"/>
      </tp>
      <tp t="s">
        <v>#N/A N/A</v>
        <stp/>
        <stp>BDH|884522598230809428</stp>
        <tr r="T8" s="3"/>
      </tp>
      <tp t="s">
        <v>#N/A N/A</v>
        <stp/>
        <stp>BDH|164234709483761962</stp>
        <tr r="AA25" s="3"/>
      </tp>
      <tp t="s">
        <v>#N/A N/A</v>
        <stp/>
        <stp>BDH|211837464394734247</stp>
        <tr r="S8" s="3"/>
      </tp>
      <tp t="s">
        <v>#N/A N/A</v>
        <stp/>
        <stp>BDH|425136797018272834</stp>
        <tr r="V25" s="2"/>
      </tp>
    </main>
    <main first="bofaddin.rtdserver">
      <tp t="s">
        <v>#N/A N/A</v>
        <stp/>
        <stp>BDH|104317896905922427</stp>
        <tr r="J19" s="2"/>
      </tp>
      <tp t="s">
        <v>#N/A N/A</v>
        <stp/>
        <stp>BDH|312182021308542019</stp>
        <tr r="E22" s="3"/>
      </tp>
      <tp t="s">
        <v>#N/A N/A</v>
        <stp/>
        <stp>BDH|901932300873706145</stp>
        <tr r="I17" s="3"/>
      </tp>
      <tp t="s">
        <v>#N/A N/A</v>
        <stp/>
        <stp>BDH|252107898022731160</stp>
        <tr r="K25" s="2"/>
      </tp>
      <tp t="s">
        <v>#N/A N/A</v>
        <stp/>
        <stp>BDH|123632764939536279</stp>
        <tr r="Z6" s="3"/>
      </tp>
      <tp t="s">
        <v>#N/A N/A</v>
        <stp/>
        <stp>BDH|885884160023586679</stp>
        <tr r="AJ8" s="3"/>
      </tp>
      <tp t="s">
        <v>#N/A N/A</v>
        <stp/>
        <stp>BDH|400510570078266141</stp>
        <tr r="AL14" s="3"/>
      </tp>
    </main>
    <main first="bofaddin.rtdserver">
      <tp t="s">
        <v>#N/A N/A</v>
        <stp/>
        <stp>BDH|272861924541915151</stp>
        <tr r="S31" s="2"/>
      </tp>
      <tp t="s">
        <v>#N/A N/A</v>
        <stp/>
        <stp>BDH|272899207185243737</stp>
        <tr r="AL8" s="2"/>
      </tp>
      <tp t="s">
        <v>#N/A N/A</v>
        <stp/>
        <stp>BDH|883747087763175655</stp>
        <tr r="F20" s="3"/>
      </tp>
      <tp t="s">
        <v>#N/A N/A</v>
        <stp/>
        <stp>BDH|307745924347629818</stp>
        <tr r="R8" s="3"/>
      </tp>
      <tp t="s">
        <v>#N/A N/A</v>
        <stp/>
        <stp>BDH|841021411059040282</stp>
        <tr r="Z9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ht="20.2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x14ac:dyDescent="0.25">
      <c r="A4" s="9" t="s">
        <v>2</v>
      </c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0" t="s">
        <v>14</v>
      </c>
      <c r="O4" s="10" t="s">
        <v>15</v>
      </c>
      <c r="P4" s="10" t="s">
        <v>16</v>
      </c>
      <c r="Q4" s="10" t="s">
        <v>17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  <c r="W4" s="10" t="s">
        <v>23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34</v>
      </c>
      <c r="AI4" s="10" t="s">
        <v>35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41</v>
      </c>
      <c r="AP4" s="10" t="s">
        <v>42</v>
      </c>
    </row>
    <row r="5" spans="1:42" x14ac:dyDescent="0.25">
      <c r="A5" s="15" t="s">
        <v>43</v>
      </c>
      <c r="B5" s="15"/>
      <c r="C5" s="11" t="s">
        <v>44</v>
      </c>
      <c r="D5" s="11" t="s">
        <v>45</v>
      </c>
      <c r="E5" s="11" t="s">
        <v>46</v>
      </c>
      <c r="F5" s="11" t="s">
        <v>47</v>
      </c>
      <c r="G5" s="11" t="s">
        <v>48</v>
      </c>
      <c r="H5" s="11" t="s">
        <v>49</v>
      </c>
      <c r="I5" s="11" t="s">
        <v>50</v>
      </c>
      <c r="J5" s="11" t="s">
        <v>51</v>
      </c>
      <c r="K5" s="11" t="s">
        <v>52</v>
      </c>
      <c r="L5" s="11" t="s">
        <v>53</v>
      </c>
      <c r="M5" s="11" t="s">
        <v>54</v>
      </c>
      <c r="N5" s="11" t="s">
        <v>55</v>
      </c>
      <c r="O5" s="11" t="s">
        <v>56</v>
      </c>
      <c r="P5" s="11" t="s">
        <v>57</v>
      </c>
      <c r="Q5" s="11" t="s">
        <v>58</v>
      </c>
      <c r="R5" s="11" t="s">
        <v>59</v>
      </c>
      <c r="S5" s="11" t="s">
        <v>60</v>
      </c>
      <c r="T5" s="11" t="s">
        <v>61</v>
      </c>
      <c r="U5" s="11" t="s">
        <v>62</v>
      </c>
      <c r="V5" s="11" t="s">
        <v>63</v>
      </c>
      <c r="W5" s="11" t="s">
        <v>64</v>
      </c>
      <c r="X5" s="11" t="s">
        <v>65</v>
      </c>
      <c r="Y5" s="11" t="s">
        <v>66</v>
      </c>
      <c r="Z5" s="11" t="s">
        <v>67</v>
      </c>
      <c r="AA5" s="11" t="s">
        <v>68</v>
      </c>
      <c r="AB5" s="11" t="s">
        <v>69</v>
      </c>
      <c r="AC5" s="11" t="s">
        <v>70</v>
      </c>
      <c r="AD5" s="11" t="s">
        <v>71</v>
      </c>
      <c r="AE5" s="11" t="s">
        <v>72</v>
      </c>
      <c r="AF5" s="11" t="s">
        <v>73</v>
      </c>
      <c r="AG5" s="11" t="s">
        <v>74</v>
      </c>
      <c r="AH5" s="11" t="s">
        <v>75</v>
      </c>
      <c r="AI5" s="11" t="s">
        <v>76</v>
      </c>
      <c r="AJ5" s="11" t="s">
        <v>77</v>
      </c>
      <c r="AK5" s="11" t="s">
        <v>78</v>
      </c>
      <c r="AL5" s="11" t="s">
        <v>79</v>
      </c>
      <c r="AM5" s="11" t="s">
        <v>80</v>
      </c>
      <c r="AN5" s="11" t="s">
        <v>81</v>
      </c>
      <c r="AO5" s="11" t="s">
        <v>82</v>
      </c>
      <c r="AP5" s="11" t="s">
        <v>83</v>
      </c>
    </row>
    <row r="6" spans="1:42" x14ac:dyDescent="0.25">
      <c r="A6" s="12" t="s">
        <v>84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</row>
    <row r="7" spans="1:42" x14ac:dyDescent="0.25">
      <c r="A7" s="16" t="s">
        <v>85</v>
      </c>
      <c r="B7" s="16" t="s">
        <v>86</v>
      </c>
      <c r="C7" s="19" t="str">
        <f>_xll.BDH("TSLA US Equity","RETURN_COM_EQY","FQ2 2011","FQ2 2011","Currency=USD","Period=FQ","BEST_FPERIOD_OVERRIDE=FQ","FILING_STATUS=MR","FA_ADJUSTED=GAAP","Sort=A","Dates=H","DateFormat=P","Fill=—","Direction=H","UseDPDF=Y")</f>
        <v>—</v>
      </c>
      <c r="D7" s="19">
        <f>_xll.BDH("TSLA US Equity","RETURN_COM_EQY","FQ3 2011","FQ3 2011","Currency=USD","Period=FQ","BEST_FPERIOD_OVERRIDE=FQ","FILING_STATUS=MR","FA_ADJUSTED=GAAP","Sort=A","Dates=H","DateFormat=P","Fill=—","Direction=H","UseDPDF=Y")</f>
        <v>-87.261499999999998</v>
      </c>
      <c r="E7" s="19">
        <f>_xll.BDH("TSLA US Equity","RETURN_COM_EQY","FQ4 2011","FQ4 2011","Currency=USD","Period=FQ","BEST_FPERIOD_OVERRIDE=FQ","FILING_STATUS=MR","FA_ADJUSTED=GAAP","Sort=A","Dates=H","DateFormat=P","Fill=—","Direction=H","UseDPDF=Y")</f>
        <v>-118.03019999999999</v>
      </c>
      <c r="F7" s="19">
        <f>_xll.BDH("TSLA US Equity","RETURN_COM_EQY","FQ1 2012","FQ1 2012","Currency=USD","Period=FQ","BEST_FPERIOD_OVERRIDE=FQ","FILING_STATUS=MR","FA_ADJUSTED=GAAP","Sort=A","Dates=H","DateFormat=P","Fill=—","Direction=H","UseDPDF=Y")</f>
        <v>-183.6635</v>
      </c>
      <c r="G7" s="19">
        <f>_xll.BDH("TSLA US Equity","RETURN_COM_EQY","FQ2 2012","FQ2 2012","Currency=USD","Period=FQ","BEST_FPERIOD_OVERRIDE=FQ","FILING_STATUS=MR","FA_ADJUSTED=GAAP","Sort=A","Dates=H","DateFormat=P","Fill=—","Direction=H","UseDPDF=Y")</f>
        <v>-166.5788</v>
      </c>
      <c r="H7" s="19" t="str">
        <f>_xll.BDH("TSLA US Equity","RETURN_COM_EQY","FQ3 2012","FQ3 2012","Currency=USD","Period=FQ","BEST_FPERIOD_OVERRIDE=FQ","FILING_STATUS=MR","FA_ADJUSTED=GAAP","Sort=A","Dates=H","DateFormat=P","Fill=—","Direction=H","UseDPDF=Y")</f>
        <v>—</v>
      </c>
      <c r="I7" s="19">
        <f>_xll.BDH("TSLA US Equity","RETURN_COM_EQY","FQ4 2012","FQ4 2012","Currency=USD","Period=FQ","BEST_FPERIOD_OVERRIDE=FQ","FILING_STATUS=MR","FA_ADJUSTED=GAAP","Sort=A","Dates=H","DateFormat=P","Fill=—","Direction=H","UseDPDF=Y")</f>
        <v>-227.2216</v>
      </c>
      <c r="J7" s="19">
        <f>_xll.BDH("TSLA US Equity","RETURN_COM_EQY","FQ1 2013","FQ1 2013","Currency=USD","Period=FQ","BEST_FPERIOD_OVERRIDE=FQ","FILING_STATUS=MR","FA_ADJUSTED=GAAP","Sort=A","Dates=H","DateFormat=P","Fill=—","Direction=H","UseDPDF=Y")</f>
        <v>-183.0266</v>
      </c>
      <c r="K7" s="19">
        <f>_xll.BDH("TSLA US Equity","RETURN_COM_EQY","FQ2 2013","FQ2 2013","Currency=USD","Period=FQ","BEST_FPERIOD_OVERRIDE=FQ","FILING_STATUS=MR","FA_ADJUSTED=GAAP","Sort=A","Dates=H","DateFormat=P","Fill=—","Direction=H","UseDPDF=Y")</f>
        <v>-63.613900000000001</v>
      </c>
      <c r="L7" s="19" t="str">
        <f>_xll.BDH("TSLA US Equity","RETURN_COM_EQY","FQ3 2013","FQ3 2013","Currency=USD","Period=FQ","BEST_FPERIOD_OVERRIDE=FQ","FILING_STATUS=MR","FA_ADJUSTED=GAAP","Sort=A","Dates=H","DateFormat=P","Fill=—","Direction=H","UseDPDF=Y")</f>
        <v>—</v>
      </c>
      <c r="M7" s="19">
        <f>_xll.BDH("TSLA US Equity","RETURN_COM_EQY","FQ4 2013","FQ4 2013","Currency=USD","Period=FQ","BEST_FPERIOD_OVERRIDE=FQ","FILING_STATUS=MR","FA_ADJUSTED=GAAP","Sort=A","Dates=H","DateFormat=P","Fill=—","Direction=H","UseDPDF=Y")</f>
        <v>-18.694700000000001</v>
      </c>
      <c r="N7" s="19">
        <f>_xll.BDH("TSLA US Equity","RETURN_COM_EQY","FQ1 2014","FQ1 2014","Currency=USD","Period=FQ","BEST_FPERIOD_OVERRIDE=FQ","FILING_STATUS=MR","FA_ADJUSTED=GAAP","Sort=A","Dates=H","DateFormat=P","Fill=—","Direction=H","UseDPDF=Y")</f>
        <v>-23.4772</v>
      </c>
      <c r="O7" s="19">
        <f>_xll.BDH("TSLA US Equity","RETURN_COM_EQY","FQ2 2014","FQ2 2014","Currency=USD","Period=FQ","BEST_FPERIOD_OVERRIDE=FQ","FILING_STATUS=MR","FA_ADJUSTED=GAAP","Sort=A","Dates=H","DateFormat=P","Fill=—","Direction=H","UseDPDF=Y")</f>
        <v>-21.047499999999999</v>
      </c>
      <c r="P7" s="19">
        <f>_xll.BDH("TSLA US Equity","RETURN_COM_EQY","FQ3 2014","FQ3 2014","Currency=USD","Period=FQ","BEST_FPERIOD_OVERRIDE=FQ","FILING_STATUS=MR","FA_ADJUSTED=GAAP","Sort=A","Dates=H","DateFormat=P","Fill=—","Direction=H","UseDPDF=Y")</f>
        <v>-24.3901</v>
      </c>
      <c r="Q7" s="19">
        <f>_xll.BDH("TSLA US Equity","RETURN_COM_EQY","FQ4 2014","FQ4 2014","Currency=USD","Period=FQ","BEST_FPERIOD_OVERRIDE=FQ","FILING_STATUS=MR","FA_ADJUSTED=GAAP","Sort=A","Dates=H","DateFormat=P","Fill=—","Direction=H","UseDPDF=Y")</f>
        <v>-37.247500000000002</v>
      </c>
      <c r="R7" s="19">
        <f>_xll.BDH("TSLA US Equity","RETURN_COM_EQY","FQ1 2015","FQ1 2015","Currency=USD","Period=FQ","BEST_FPERIOD_OVERRIDE=FQ","FILING_STATUS=MR","FA_ADJUSTED=GAAP","Sort=A","Dates=H","DateFormat=P","Fill=—","Direction=H","UseDPDF=Y")</f>
        <v>-42.788400000000003</v>
      </c>
      <c r="S7" s="19">
        <f>_xll.BDH("TSLA US Equity","RETURN_COM_EQY","FQ2 2015","FQ2 2015","Currency=USD","Period=FQ","BEST_FPERIOD_OVERRIDE=FQ","FILING_STATUS=MR","FA_ADJUSTED=GAAP","Sort=A","Dates=H","DateFormat=P","Fill=—","Direction=H","UseDPDF=Y")</f>
        <v>-62.429499999999997</v>
      </c>
      <c r="T7" s="19">
        <f>_xll.BDH("TSLA US Equity","RETURN_COM_EQY","FQ3 2015","FQ3 2015","Currency=USD","Period=FQ","BEST_FPERIOD_OVERRIDE=FQ","FILING_STATUS=MR","FA_ADJUSTED=GAAP","Sort=A","Dates=H","DateFormat=P","Fill=—","Direction=H","UseDPDF=Y")</f>
        <v>-56.771900000000002</v>
      </c>
      <c r="U7" s="19">
        <f>_xll.BDH("TSLA US Equity","RETURN_COM_EQY","FQ4 2015","FQ4 2015","Currency=USD","Period=FQ","BEST_FPERIOD_OVERRIDE=FQ","FILING_STATUS=MR","FA_ADJUSTED=GAAP","Sort=A","Dates=H","DateFormat=P","Fill=—","Direction=H","UseDPDF=Y")</f>
        <v>-87.008700000000005</v>
      </c>
      <c r="V7" s="19">
        <f>_xll.BDH("TSLA US Equity","RETURN_COM_EQY","FQ1 2016","FQ1 2016","Currency=USD","Period=FQ","BEST_FPERIOD_OVERRIDE=FQ","FILING_STATUS=MR","FA_ADJUSTED=GAAP","Sort=A","Dates=H","DateFormat=P","Fill=—","Direction=H","UseDPDF=Y")</f>
        <v>-109.8809</v>
      </c>
      <c r="W7" s="19">
        <f>_xll.BDH("TSLA US Equity","RETURN_COM_EQY","FQ2 2016","FQ2 2016","Currency=USD","Period=FQ","BEST_FPERIOD_OVERRIDE=FQ","FILING_STATUS=MR","FA_ADJUSTED=GAAP","Sort=A","Dates=H","DateFormat=P","Fill=—","Direction=H","UseDPDF=Y")</f>
        <v>-68.779799999999994</v>
      </c>
      <c r="X7" s="19">
        <f>_xll.BDH("TSLA US Equity","RETURN_COM_EQY","FQ3 2016","FQ3 2016","Currency=USD","Period=FQ","BEST_FPERIOD_OVERRIDE=FQ","FILING_STATUS=MR","FA_ADJUSTED=GAAP","Sort=A","Dates=H","DateFormat=P","Fill=—","Direction=H","UseDPDF=Y")</f>
        <v>-43.131599999999999</v>
      </c>
      <c r="Y7" s="19">
        <f>_xll.BDH("TSLA US Equity","RETURN_COM_EQY","FQ4 2016","FQ4 2016","Currency=USD","Period=FQ","BEST_FPERIOD_OVERRIDE=FQ","FILING_STATUS=MR","FA_ADJUSTED=GAAP","Sort=A","Dates=H","DateFormat=P","Fill=—","Direction=H","UseDPDF=Y")</f>
        <v>-22.9068</v>
      </c>
      <c r="Z7" s="19">
        <f>_xll.BDH("TSLA US Equity","RETURN_COM_EQY","FQ1 2017","FQ1 2017","Currency=USD","Period=FQ","BEST_FPERIOD_OVERRIDE=FQ","FILING_STATUS=MR","FA_ADJUSTED=GAAP","Sort=A","Dates=H","DateFormat=P","Fill=—","Direction=H","UseDPDF=Y")</f>
        <v>-24.237400000000001</v>
      </c>
      <c r="AA7" s="19">
        <f>_xll.BDH("TSLA US Equity","RETURN_COM_EQY","FQ2 2017","FQ2 2017","Currency=USD","Period=FQ","BEST_FPERIOD_OVERRIDE=FQ","FILING_STATUS=MR","FA_ADJUSTED=GAAP","Sort=A","Dates=H","DateFormat=P","Fill=—","Direction=H","UseDPDF=Y")</f>
        <v>-19.9907</v>
      </c>
      <c r="AB7" s="19">
        <f>_xll.BDH("TSLA US Equity","RETURN_COM_EQY","FQ3 2017","FQ3 2017","Currency=USD","Period=FQ","BEST_FPERIOD_OVERRIDE=FQ","FILING_STATUS=MR","FA_ADJUSTED=GAAP","Sort=A","Dates=H","DateFormat=P","Fill=—","Direction=H","UseDPDF=Y")</f>
        <v>-38.018999999999998</v>
      </c>
      <c r="AC7" s="19">
        <f>_xll.BDH("TSLA US Equity","RETURN_COM_EQY","FQ4 2017","FQ4 2017","Currency=USD","Period=FQ","BEST_FPERIOD_OVERRIDE=FQ","FILING_STATUS=MR","FA_ADJUSTED=GAAP","Sort=A","Dates=H","DateFormat=P","Fill=—","Direction=H","UseDPDF=Y")</f>
        <v>-43.591500000000003</v>
      </c>
      <c r="AD7" s="19">
        <f>_xll.BDH("TSLA US Equity","RETURN_COM_EQY","FQ1 2018","FQ1 2018","Currency=USD","Period=FQ","BEST_FPERIOD_OVERRIDE=FQ","FILING_STATUS=MR","FA_ADJUSTED=GAAP","Sort=A","Dates=H","DateFormat=P","Fill=—","Direction=H","UseDPDF=Y")</f>
        <v>-49.560600000000001</v>
      </c>
      <c r="AE7" s="19">
        <f>_xll.BDH("TSLA US Equity","RETURN_COM_EQY","FQ2 2018","FQ2 2018","Currency=USD","Period=FQ","BEST_FPERIOD_OVERRIDE=FQ","FILING_STATUS=MR","FA_ADJUSTED=GAAP","Sort=A","Dates=H","DateFormat=P","Fill=—","Direction=H","UseDPDF=Y")</f>
        <v>-60.391800000000003</v>
      </c>
      <c r="AF7" s="19">
        <f>_xll.BDH("TSLA US Equity","RETURN_COM_EQY","FQ3 2018","FQ3 2018","Currency=USD","Period=FQ","BEST_FPERIOD_OVERRIDE=FQ","FILING_STATUS=MR","FA_ADJUSTED=GAAP","Sort=A","Dates=H","DateFormat=P","Fill=—","Direction=H","UseDPDF=Y")</f>
        <v>-38.845799999999997</v>
      </c>
      <c r="AG7" s="19">
        <f>_xll.BDH("TSLA US Equity","RETURN_COM_EQY","FQ4 2018","FQ4 2018","Currency=USD","Period=FQ","BEST_FPERIOD_OVERRIDE=FQ","FILING_STATUS=MR","FA_ADJUSTED=GAAP","Sort=A","Dates=H","DateFormat=P","Fill=—","Direction=H","UseDPDF=Y")</f>
        <v>-21.310700000000001</v>
      </c>
      <c r="AH7" s="19">
        <f>_xll.BDH("TSLA US Equity","RETURN_COM_EQY","FQ1 2019","FQ1 2019","Currency=USD","Period=FQ","BEST_FPERIOD_OVERRIDE=FQ","FILING_STATUS=MR","FA_ADJUSTED=GAAP","Sort=A","Dates=H","DateFormat=P","Fill=—","Direction=H","UseDPDF=Y")</f>
        <v>-21.392299999999999</v>
      </c>
      <c r="AI7" s="19">
        <f>_xll.BDH("TSLA US Equity","RETURN_COM_EQY","FQ2 2019","FQ2 2019","Currency=USD","Period=FQ","BEST_FPERIOD_OVERRIDE=FQ","FILING_STATUS=MR","FA_ADJUSTED=GAAP","Sort=A","Dates=H","DateFormat=P","Fill=—","Direction=H","UseDPDF=Y")</f>
        <v>-13.707800000000001</v>
      </c>
      <c r="AJ7" s="19">
        <f>_xll.BDH("TSLA US Equity","RETURN_COM_EQY","FQ3 2019","FQ3 2019","Currency=USD","Period=FQ","BEST_FPERIOD_OVERRIDE=FQ","FILING_STATUS=MR","FA_ADJUSTED=GAAP","Sort=A","Dates=H","DateFormat=P","Fill=—","Direction=H","UseDPDF=Y")</f>
        <v>-15.6981</v>
      </c>
      <c r="AK7" s="19">
        <f>_xll.BDH("TSLA US Equity","RETURN_COM_EQY","FQ4 2019","FQ4 2019","Currency=USD","Period=FQ","BEST_FPERIOD_OVERRIDE=FQ","FILING_STATUS=MR","FA_ADJUSTED=GAAP","Sort=A","Dates=H","DateFormat=P","Fill=—","Direction=H","UseDPDF=Y")</f>
        <v>-14.9459</v>
      </c>
      <c r="AL7" s="19">
        <f>_xll.BDH("TSLA US Equity","RETURN_COM_EQY","FQ1 2020","FQ1 2020","Currency=USD","Period=FQ","BEST_FPERIOD_OVERRIDE=FQ","FILING_STATUS=MR","FA_ADJUSTED=GAAP","Sort=A","Dates=H","DateFormat=P","Fill=—","Direction=H","UseDPDF=Y")</f>
        <v>-2.0859999999999999</v>
      </c>
      <c r="AM7" s="19">
        <f>_xll.BDH("TSLA US Equity","RETURN_COM_EQY","FQ2 2020","FQ2 2020","Currency=USD","Period=FQ","BEST_FPERIOD_OVERRIDE=FQ","FILING_STATUS=MR","FA_ADJUSTED=GAAP","Sort=A","Dates=H","DateFormat=P","Fill=—","Direction=H","UseDPDF=Y")</f>
        <v>4.7135999999999996</v>
      </c>
      <c r="AN7" s="19">
        <f>_xll.BDH("TSLA US Equity","RETURN_COM_EQY","FQ3 2020","FQ3 2020","Currency=USD","Period=FQ","BEST_FPERIOD_OVERRIDE=FQ","FILING_STATUS=MR","FA_ADJUSTED=GAAP","Sort=A","Dates=H","DateFormat=P","Fill=—","Direction=H","UseDPDF=Y")</f>
        <v>5.0274000000000001</v>
      </c>
      <c r="AO7" s="19">
        <f>_xll.BDH("TSLA US Equity","RETURN_COM_EQY","FQ4 2020","FQ4 2020","Currency=USD","Period=FQ","BEST_FPERIOD_OVERRIDE=FQ","FILING_STATUS=MR","FA_ADJUSTED=GAAP","Sort=A","Dates=H","DateFormat=P","Fill=—","Direction=H","UseDPDF=Y")</f>
        <v>4.9995000000000003</v>
      </c>
      <c r="AP7" s="19">
        <f>_xll.BDH("TSLA US Equity","RETURN_COM_EQY","FQ1 2021","FQ1 2021","Currency=USD","Period=FQ","BEST_FPERIOD_OVERRIDE=FQ","FILING_STATUS=MR","FA_ADJUSTED=GAAP","Sort=A","Dates=H","DateFormat=P","Fill=—","Direction=H","UseDPDF=Y")</f>
        <v>7.0884</v>
      </c>
    </row>
    <row r="8" spans="1:42" x14ac:dyDescent="0.25">
      <c r="A8" s="16" t="s">
        <v>87</v>
      </c>
      <c r="B8" s="16" t="s">
        <v>88</v>
      </c>
      <c r="C8" s="19">
        <f>_xll.BDH("TSLA US Equity","RETURN_ON_ASSET","FQ2 2011","FQ2 2011","Currency=USD","Period=FQ","BEST_FPERIOD_OVERRIDE=FQ","FILING_STATUS=MR","FA_ADJUSTED=GAAP","Sort=A","Dates=H","DateFormat=P","Fill=—","Direction=H","UseDPDF=Y")</f>
        <v>-48.893099999999997</v>
      </c>
      <c r="D8" s="19">
        <f>_xll.BDH("TSLA US Equity","RETURN_ON_ASSET","FQ3 2011","FQ3 2011","Currency=USD","Period=FQ","BEST_FPERIOD_OVERRIDE=FQ","FILING_STATUS=MR","FA_ADJUSTED=GAAP","Sort=A","Dates=H","DateFormat=P","Fill=—","Direction=H","UseDPDF=Y")</f>
        <v>-42.242400000000004</v>
      </c>
      <c r="E8" s="19">
        <f>_xll.BDH("TSLA US Equity","RETURN_ON_ASSET","FQ4 2011","FQ4 2011","Currency=USD","Period=FQ","BEST_FPERIOD_OVERRIDE=FQ","FILING_STATUS=MR","FA_ADJUSTED=GAAP","Sort=A","Dates=H","DateFormat=P","Fill=—","Direction=H","UseDPDF=Y")</f>
        <v>-46.2761</v>
      </c>
      <c r="F8" s="19">
        <f>_xll.BDH("TSLA US Equity","RETURN_ON_ASSET","FQ1 2012","FQ1 2012","Currency=USD","Period=FQ","BEST_FPERIOD_OVERRIDE=FQ","FILING_STATUS=MR","FA_ADJUSTED=GAAP","Sort=A","Dates=H","DateFormat=P","Fill=—","Direction=H","UseDPDF=Y")</f>
        <v>-50.555399999999999</v>
      </c>
      <c r="G8" s="19">
        <f>_xll.BDH("TSLA US Equity","RETURN_ON_ASSET","FQ2 2012","FQ2 2012","Currency=USD","Period=FQ","BEST_FPERIOD_OVERRIDE=FQ","FILING_STATUS=MR","FA_ADJUSTED=GAAP","Sort=A","Dates=H","DateFormat=P","Fill=—","Direction=H","UseDPDF=Y")</f>
        <v>-48.072600000000001</v>
      </c>
      <c r="H8" s="19">
        <f>_xll.BDH("TSLA US Equity","RETURN_ON_ASSET","FQ3 2012","FQ3 2012","Currency=USD","Period=FQ","BEST_FPERIOD_OVERRIDE=FQ","FILING_STATUS=MR","FA_ADJUSTED=GAAP","Sort=A","Dates=H","DateFormat=P","Fill=—","Direction=H","UseDPDF=Y")</f>
        <v>-51.3795</v>
      </c>
      <c r="I8" s="19">
        <f>_xll.BDH("TSLA US Equity","RETURN_ON_ASSET","FQ4 2012","FQ4 2012","Currency=USD","Period=FQ","BEST_FPERIOD_OVERRIDE=FQ","FILING_STATUS=MR","FA_ADJUSTED=GAAP","Sort=A","Dates=H","DateFormat=P","Fill=—","Direction=H","UseDPDF=Y")</f>
        <v>-43.357799999999997</v>
      </c>
      <c r="J8" s="19">
        <f>_xll.BDH("TSLA US Equity","RETURN_ON_ASSET","FQ1 2013","FQ1 2013","Currency=USD","Period=FQ","BEST_FPERIOD_OVERRIDE=FQ","FILING_STATUS=MR","FA_ADJUSTED=GAAP","Sort=A","Dates=H","DateFormat=P","Fill=—","Direction=H","UseDPDF=Y")</f>
        <v>-30.982700000000001</v>
      </c>
      <c r="K8" s="19">
        <f>_xll.BDH("TSLA US Equity","RETURN_ON_ASSET","FQ2 2013","FQ2 2013","Currency=USD","Period=FQ","BEST_FPERIOD_OVERRIDE=FQ","FILING_STATUS=MR","FA_ADJUSTED=GAAP","Sort=A","Dates=H","DateFormat=P","Fill=—","Direction=H","UseDPDF=Y")</f>
        <v>-16.511299999999999</v>
      </c>
      <c r="L8" s="19">
        <f>_xll.BDH("TSLA US Equity","RETURN_ON_ASSET","FQ3 2013","FQ3 2013","Currency=USD","Period=FQ","BEST_FPERIOD_OVERRIDE=FQ","FILING_STATUS=MR","FA_ADJUSTED=GAAP","Sort=A","Dates=H","DateFormat=P","Fill=—","Direction=H","UseDPDF=Y")</f>
        <v>-9.9268999999999998</v>
      </c>
      <c r="M8" s="19">
        <f>_xll.BDH("TSLA US Equity","RETURN_ON_ASSET","FQ4 2013","FQ4 2013","Currency=USD","Period=FQ","BEST_FPERIOD_OVERRIDE=FQ","FILING_STATUS=MR","FA_ADJUSTED=GAAP","Sort=A","Dates=H","DateFormat=P","Fill=—","Direction=H","UseDPDF=Y")</f>
        <v>-4.1920999999999999</v>
      </c>
      <c r="N8" s="19">
        <f>_xll.BDH("TSLA US Equity","RETURN_ON_ASSET","FQ1 2014","FQ1 2014","Currency=USD","Period=FQ","BEST_FPERIOD_OVERRIDE=FQ","FILING_STATUS=MR","FA_ADJUSTED=GAAP","Sort=A","Dates=H","DateFormat=P","Fill=—","Direction=H","UseDPDF=Y")</f>
        <v>-4.7858999999999998</v>
      </c>
      <c r="O8" s="19">
        <f>_xll.BDH("TSLA US Equity","RETURN_ON_ASSET","FQ2 2014","FQ2 2014","Currency=USD","Period=FQ","BEST_FPERIOD_OVERRIDE=FQ","FILING_STATUS=MR","FA_ADJUSTED=GAAP","Sort=A","Dates=H","DateFormat=P","Fill=—","Direction=H","UseDPDF=Y")</f>
        <v>-4.7954999999999997</v>
      </c>
      <c r="P8" s="19">
        <f>_xll.BDH("TSLA US Equity","RETURN_ON_ASSET","FQ3 2014","FQ3 2014","Currency=USD","Period=FQ","BEST_FPERIOD_OVERRIDE=FQ","FILING_STATUS=MR","FA_ADJUSTED=GAAP","Sort=A","Dates=H","DateFormat=P","Fill=—","Direction=H","UseDPDF=Y")</f>
        <v>-5.3308</v>
      </c>
      <c r="Q8" s="19">
        <f>_xll.BDH("TSLA US Equity","RETURN_ON_ASSET","FQ4 2014","FQ4 2014","Currency=USD","Period=FQ","BEST_FPERIOD_OVERRIDE=FQ","FILING_STATUS=MR","FA_ADJUSTED=GAAP","Sort=A","Dates=H","DateFormat=P","Fill=—","Direction=H","UseDPDF=Y")</f>
        <v>-7.1302000000000003</v>
      </c>
      <c r="R8" s="19">
        <f>_xll.BDH("TSLA US Equity","RETURN_ON_ASSET","FQ1 2015","FQ1 2015","Currency=USD","Period=FQ","BEST_FPERIOD_OVERRIDE=FQ","FILING_STATUS=MR","FA_ADJUSTED=GAAP","Sort=A","Dates=H","DateFormat=P","Fill=—","Direction=H","UseDPDF=Y")</f>
        <v>-7.5029000000000003</v>
      </c>
      <c r="S8" s="19">
        <f>_xll.BDH("TSLA US Equity","RETURN_ON_ASSET","FQ2 2015","FQ2 2015","Currency=USD","Period=FQ","BEST_FPERIOD_OVERRIDE=FQ","FILING_STATUS=MR","FA_ADJUSTED=GAAP","Sort=A","Dates=H","DateFormat=P","Fill=—","Direction=H","UseDPDF=Y")</f>
        <v>-9.0386000000000006</v>
      </c>
      <c r="T8" s="19">
        <f>_xll.BDH("TSLA US Equity","RETURN_ON_ASSET","FQ3 2015","FQ3 2015","Currency=USD","Period=FQ","BEST_FPERIOD_OVERRIDE=FQ","FILING_STATUS=MR","FA_ADJUSTED=GAAP","Sort=A","Dates=H","DateFormat=P","Fill=—","Direction=H","UseDPDF=Y")</f>
        <v>-10.410399999999999</v>
      </c>
      <c r="U8" s="19">
        <f>_xll.BDH("TSLA US Equity","RETURN_ON_ASSET","FQ4 2015","FQ4 2015","Currency=USD","Period=FQ","BEST_FPERIOD_OVERRIDE=FQ","FILING_STATUS=MR","FA_ADJUSTED=GAAP","Sort=A","Dates=H","DateFormat=P","Fill=—","Direction=H","UseDPDF=Y")</f>
        <v>-12.787800000000001</v>
      </c>
      <c r="V8" s="19">
        <f>_xll.BDH("TSLA US Equity","RETURN_ON_ASSET","FQ1 2016","FQ1 2016","Currency=USD","Period=FQ","BEST_FPERIOD_OVERRIDE=FQ","FILING_STATUS=MR","FA_ADJUSTED=GAAP","Sort=A","Dates=H","DateFormat=P","Fill=—","Direction=H","UseDPDF=Y")</f>
        <v>-13.2807</v>
      </c>
      <c r="W8" s="19">
        <f>_xll.BDH("TSLA US Equity","RETURN_ON_ASSET","FQ2 2016","FQ2 2016","Currency=USD","Period=FQ","BEST_FPERIOD_OVERRIDE=FQ","FILING_STATUS=MR","FA_ADJUSTED=GAAP","Sort=A","Dates=H","DateFormat=P","Fill=—","Direction=H","UseDPDF=Y")</f>
        <v>-12.277900000000001</v>
      </c>
      <c r="X8" s="19">
        <f>_xll.BDH("TSLA US Equity","RETURN_ON_ASSET","FQ3 2016","FQ3 2016","Currency=USD","Period=FQ","BEST_FPERIOD_OVERRIDE=FQ","FILING_STATUS=MR","FA_ADJUSTED=GAAP","Sort=A","Dates=H","DateFormat=P","Fill=—","Direction=H","UseDPDF=Y")</f>
        <v>-8.6790000000000003</v>
      </c>
      <c r="Y8" s="19">
        <f>_xll.BDH("TSLA US Equity","RETURN_ON_ASSET","FQ4 2016","FQ4 2016","Currency=USD","Period=FQ","BEST_FPERIOD_OVERRIDE=FQ","FILING_STATUS=MR","FA_ADJUSTED=GAAP","Sort=A","Dates=H","DateFormat=P","Fill=—","Direction=H","UseDPDF=Y")</f>
        <v>-4.3922999999999996</v>
      </c>
      <c r="Z8" s="19">
        <f>_xll.BDH("TSLA US Equity","RETURN_ON_ASSET","FQ1 2017","FQ1 2017","Currency=USD","Period=FQ","BEST_FPERIOD_OVERRIDE=FQ","FILING_STATUS=MR","FA_ADJUSTED=GAAP","Sort=A","Dates=H","DateFormat=P","Fill=—","Direction=H","UseDPDF=Y")</f>
        <v>-4.2220000000000004</v>
      </c>
      <c r="AA8" s="19">
        <f>_xll.BDH("TSLA US Equity","RETURN_ON_ASSET","FQ2 2017","FQ2 2017","Currency=USD","Period=FQ","BEST_FPERIOD_OVERRIDE=FQ","FILING_STATUS=MR","FA_ADJUSTED=GAAP","Sort=A","Dates=H","DateFormat=P","Fill=—","Direction=H","UseDPDF=Y")</f>
        <v>-4.0415999999999999</v>
      </c>
      <c r="AB8" s="19">
        <f>_xll.BDH("TSLA US Equity","RETURN_ON_ASSET","FQ3 2017","FQ3 2017","Currency=USD","Period=FQ","BEST_FPERIOD_OVERRIDE=FQ","FILING_STATUS=MR","FA_ADJUSTED=GAAP","Sort=A","Dates=H","DateFormat=P","Fill=—","Direction=H","UseDPDF=Y")</f>
        <v>-6.9160000000000004</v>
      </c>
      <c r="AC8" s="19">
        <f>_xll.BDH("TSLA US Equity","RETURN_ON_ASSET","FQ4 2017","FQ4 2017","Currency=USD","Period=FQ","BEST_FPERIOD_OVERRIDE=FQ","FILING_STATUS=MR","FA_ADJUSTED=GAAP","Sort=A","Dates=H","DateFormat=P","Fill=—","Direction=H","UseDPDF=Y")</f>
        <v>-7.6439000000000004</v>
      </c>
      <c r="AD8" s="19">
        <f>_xll.BDH("TSLA US Equity","RETURN_ON_ASSET","FQ1 2018","FQ1 2018","Currency=USD","Period=FQ","BEST_FPERIOD_OVERRIDE=FQ","FILING_STATUS=MR","FA_ADJUSTED=GAAP","Sort=A","Dates=H","DateFormat=P","Fill=—","Direction=H","UseDPDF=Y")</f>
        <v>-8.9466000000000001</v>
      </c>
      <c r="AE8" s="19">
        <f>_xll.BDH("TSLA US Equity","RETURN_ON_ASSET","FQ2 2018","FQ2 2018","Currency=USD","Period=FQ","BEST_FPERIOD_OVERRIDE=FQ","FILING_STATUS=MR","FA_ADJUSTED=GAAP","Sort=A","Dates=H","DateFormat=P","Fill=—","Direction=H","UseDPDF=Y")</f>
        <v>-10.089399999999999</v>
      </c>
      <c r="AF8" s="19">
        <f>_xll.BDH("TSLA US Equity","RETURN_ON_ASSET","FQ3 2018","FQ3 2018","Currency=USD","Period=FQ","BEST_FPERIOD_OVERRIDE=FQ","FILING_STATUS=MR","FA_ADJUSTED=GAAP","Sort=A","Dates=H","DateFormat=P","Fill=—","Direction=H","UseDPDF=Y")</f>
        <v>-6.2434000000000003</v>
      </c>
      <c r="AG8" s="19">
        <f>_xll.BDH("TSLA US Equity","RETURN_ON_ASSET","FQ4 2018","FQ4 2018","Currency=USD","Period=FQ","BEST_FPERIOD_OVERRIDE=FQ","FILING_STATUS=MR","FA_ADJUSTED=GAAP","Sort=A","Dates=H","DateFormat=P","Fill=—","Direction=H","UseDPDF=Y")</f>
        <v>-3.3431000000000002</v>
      </c>
      <c r="AH8" s="19">
        <f>_xll.BDH("TSLA US Equity","RETURN_ON_ASSET","FQ1 2019","FQ1 2019","Currency=USD","Period=FQ","BEST_FPERIOD_OVERRIDE=FQ","FILING_STATUS=MR","FA_ADJUSTED=GAAP","Sort=A","Dates=H","DateFormat=P","Fill=—","Direction=H","UseDPDF=Y")</f>
        <v>-3.4481999999999999</v>
      </c>
      <c r="AI8" s="19">
        <f>_xll.BDH("TSLA US Equity","RETURN_ON_ASSET","FQ2 2019","FQ2 2019","Currency=USD","Period=FQ","BEST_FPERIOD_OVERRIDE=FQ","FILING_STATUS=MR","FA_ADJUSTED=GAAP","Sort=A","Dates=H","DateFormat=P","Fill=—","Direction=H","UseDPDF=Y")</f>
        <v>-2.2061999999999999</v>
      </c>
      <c r="AJ8" s="19">
        <f>_xll.BDH("TSLA US Equity","RETURN_ON_ASSET","FQ3 2019","FQ3 2019","Currency=USD","Period=FQ","BEST_FPERIOD_OVERRIDE=FQ","FILING_STATUS=MR","FA_ADJUSTED=GAAP","Sort=A","Dates=H","DateFormat=P","Fill=—","Direction=H","UseDPDF=Y")</f>
        <v>-2.6684000000000001</v>
      </c>
      <c r="AK8" s="19">
        <f>_xll.BDH("TSLA US Equity","RETURN_ON_ASSET","FQ4 2019","FQ4 2019","Currency=USD","Period=FQ","BEST_FPERIOD_OVERRIDE=FQ","FILING_STATUS=MR","FA_ADJUSTED=GAAP","Sort=A","Dates=H","DateFormat=P","Fill=—","Direction=H","UseDPDF=Y")</f>
        <v>-2.6932</v>
      </c>
      <c r="AL8" s="19">
        <f>_xll.BDH("TSLA US Equity","RETURN_ON_ASSET","FQ1 2020","FQ1 2020","Currency=USD","Period=FQ","BEST_FPERIOD_OVERRIDE=FQ","FILING_STATUS=MR","FA_ADJUSTED=GAAP","Sort=A","Dates=H","DateFormat=P","Fill=—","Direction=H","UseDPDF=Y")</f>
        <v>-0.43630000000000002</v>
      </c>
      <c r="AM8" s="19">
        <f>_xll.BDH("TSLA US Equity","RETURN_ON_ASSET","FQ2 2020","FQ2 2020","Currency=USD","Period=FQ","BEST_FPERIOD_OVERRIDE=FQ","FILING_STATUS=MR","FA_ADJUSTED=GAAP","Sort=A","Dates=H","DateFormat=P","Fill=—","Direction=H","UseDPDF=Y")</f>
        <v>1.0512999999999999</v>
      </c>
      <c r="AN8" s="19">
        <f>_xll.BDH("TSLA US Equity","RETURN_ON_ASSET","FQ3 2020","FQ3 2020","Currency=USD","Period=FQ","BEST_FPERIOD_OVERRIDE=FQ","FILING_STATUS=MR","FA_ADJUSTED=GAAP","Sort=A","Dates=H","DateFormat=P","Fill=—","Direction=H","UseDPDF=Y")</f>
        <v>1.4168000000000001</v>
      </c>
      <c r="AO8" s="19">
        <f>_xll.BDH("TSLA US Equity","RETURN_ON_ASSET","FQ4 2020","FQ4 2020","Currency=USD","Period=FQ","BEST_FPERIOD_OVERRIDE=FQ","FILING_STATUS=MR","FA_ADJUSTED=GAAP","Sort=A","Dates=H","DateFormat=P","Fill=—","Direction=H","UseDPDF=Y")</f>
        <v>1.6678999999999999</v>
      </c>
      <c r="AP8" s="19">
        <f>_xll.BDH("TSLA US Equity","RETURN_ON_ASSET","FQ1 2021","FQ1 2021","Currency=USD","Period=FQ","BEST_FPERIOD_OVERRIDE=FQ","FILING_STATUS=MR","FA_ADJUSTED=GAAP","Sort=A","Dates=H","DateFormat=P","Fill=—","Direction=H","UseDPDF=Y")</f>
        <v>2.5338000000000003</v>
      </c>
    </row>
    <row r="9" spans="1:42" x14ac:dyDescent="0.25">
      <c r="A9" s="16" t="s">
        <v>89</v>
      </c>
      <c r="B9" s="16" t="s">
        <v>90</v>
      </c>
      <c r="C9" s="19" t="str">
        <f>_xll.BDH("TSLA US Equity","RETURN_ON_CAP","FQ2 2011","FQ2 2011","Currency=USD","Period=FQ","BEST_FPERIOD_OVERRIDE=FQ","FILING_STATUS=MR","FA_ADJUSTED=GAAP","Sort=A","Dates=H","DateFormat=P","Fill=—","Direction=H","UseDPDF=Y")</f>
        <v>—</v>
      </c>
      <c r="D9" s="19" t="str">
        <f>_xll.BDH("TSLA US Equity","RETURN_ON_CAP","FQ3 2011","FQ3 2011","Currency=USD","Period=FQ","BEST_FPERIOD_OVERRIDE=FQ","FILING_STATUS=MR","FA_ADJUSTED=GAAP","Sort=A","Dates=H","DateFormat=P","Fill=—","Direction=H","UseDPDF=Y")</f>
        <v>—</v>
      </c>
      <c r="E9" s="19" t="str">
        <f>_xll.BDH("TSLA US Equity","RETURN_ON_CAP","FQ4 2011","FQ4 2011","Currency=USD","Period=FQ","BEST_FPERIOD_OVERRIDE=FQ","FILING_STATUS=MR","FA_ADJUSTED=GAAP","Sort=A","Dates=H","DateFormat=P","Fill=—","Direction=H","UseDPDF=Y")</f>
        <v>—</v>
      </c>
      <c r="F9" s="19" t="str">
        <f>_xll.BDH("TSLA US Equity","RETURN_ON_CAP","FQ1 2012","FQ1 2012","Currency=USD","Period=FQ","BEST_FPERIOD_OVERRIDE=FQ","FILING_STATUS=MR","FA_ADJUSTED=GAAP","Sort=A","Dates=H","DateFormat=P","Fill=—","Direction=H","UseDPDF=Y")</f>
        <v>—</v>
      </c>
      <c r="G9" s="19" t="str">
        <f>_xll.BDH("TSLA US Equity","RETURN_ON_CAP","FQ2 2012","FQ2 2012","Currency=USD","Period=FQ","BEST_FPERIOD_OVERRIDE=FQ","FILING_STATUS=MR","FA_ADJUSTED=GAAP","Sort=A","Dates=H","DateFormat=P","Fill=—","Direction=H","UseDPDF=Y")</f>
        <v>—</v>
      </c>
      <c r="H9" s="19">
        <f>_xll.BDH("TSLA US Equity","RETURN_ON_CAP","FQ3 2012","FQ3 2012","Currency=USD","Period=FQ","BEST_FPERIOD_OVERRIDE=FQ","FILING_STATUS=MR","FA_ADJUSTED=GAAP","Sort=A","Dates=H","DateFormat=P","Fill=—","Direction=H","UseDPDF=Y")</f>
        <v>-80.180000000000007</v>
      </c>
      <c r="I9" s="19">
        <f>_xll.BDH("TSLA US Equity","RETURN_ON_CAP","FQ4 2012","FQ4 2012","Currency=USD","Period=FQ","BEST_FPERIOD_OVERRIDE=FQ","FILING_STATUS=MR","FA_ADJUSTED=GAAP","Sort=A","Dates=H","DateFormat=P","Fill=—","Direction=H","UseDPDF=Y")</f>
        <v>-72.300399999999996</v>
      </c>
      <c r="J9" s="19">
        <f>_xll.BDH("TSLA US Equity","RETURN_ON_CAP","FQ1 2013","FQ1 2013","Currency=USD","Period=FQ","BEST_FPERIOD_OVERRIDE=FQ","FILING_STATUS=MR","FA_ADJUSTED=GAAP","Sort=A","Dates=H","DateFormat=P","Fill=—","Direction=H","UseDPDF=Y")</f>
        <v>-51.558799999999998</v>
      </c>
      <c r="K9" s="19">
        <f>_xll.BDH("TSLA US Equity","RETURN_ON_CAP","FQ2 2013","FQ2 2013","Currency=USD","Period=FQ","BEST_FPERIOD_OVERRIDE=FQ","FILING_STATUS=MR","FA_ADJUSTED=GAAP","Sort=A","Dates=H","DateFormat=P","Fill=—","Direction=H","UseDPDF=Y")</f>
        <v>-23.9831</v>
      </c>
      <c r="L9" s="19">
        <f>_xll.BDH("TSLA US Equity","RETURN_ON_CAP","FQ3 2013","FQ3 2013","Currency=USD","Period=FQ","BEST_FPERIOD_OVERRIDE=FQ","FILING_STATUS=MR","FA_ADJUSTED=GAAP","Sort=A","Dates=H","DateFormat=P","Fill=—","Direction=H","UseDPDF=Y")</f>
        <v>-15.440200000000001</v>
      </c>
      <c r="M9" s="19">
        <f>_xll.BDH("TSLA US Equity","RETURN_ON_CAP","FQ4 2013","FQ4 2013","Currency=USD","Period=FQ","BEST_FPERIOD_OVERRIDE=FQ","FILING_STATUS=MR","FA_ADJUSTED=GAAP","Sort=A","Dates=H","DateFormat=P","Fill=—","Direction=H","UseDPDF=Y")</f>
        <v>-5.6388999999999996</v>
      </c>
      <c r="N9" s="19">
        <f>_xll.BDH("TSLA US Equity","RETURN_ON_CAP","FQ1 2014","FQ1 2014","Currency=USD","Period=FQ","BEST_FPERIOD_OVERRIDE=FQ","FILING_STATUS=MR","FA_ADJUSTED=GAAP","Sort=A","Dates=H","DateFormat=P","Fill=—","Direction=H","UseDPDF=Y")</f>
        <v>-5.6727999999999996</v>
      </c>
      <c r="O9" s="19">
        <f>_xll.BDH("TSLA US Equity","RETURN_ON_CAP","FQ2 2014","FQ2 2014","Currency=USD","Period=FQ","BEST_FPERIOD_OVERRIDE=FQ","FILING_STATUS=MR","FA_ADJUSTED=GAAP","Sort=A","Dates=H","DateFormat=P","Fill=—","Direction=H","UseDPDF=Y")</f>
        <v>-5.6273999999999997</v>
      </c>
      <c r="P9" s="19">
        <f>_xll.BDH("TSLA US Equity","RETURN_ON_CAP","FQ3 2014","FQ3 2014","Currency=USD","Period=FQ","BEST_FPERIOD_OVERRIDE=FQ","FILING_STATUS=MR","FA_ADJUSTED=GAAP","Sort=A","Dates=H","DateFormat=P","Fill=—","Direction=H","UseDPDF=Y")</f>
        <v>-6.4998000000000005</v>
      </c>
      <c r="Q9" s="19">
        <f>_xll.BDH("TSLA US Equity","RETURN_ON_CAP","FQ4 2014","FQ4 2014","Currency=USD","Period=FQ","BEST_FPERIOD_OVERRIDE=FQ","FILING_STATUS=MR","FA_ADJUSTED=GAAP","Sort=A","Dates=H","DateFormat=P","Fill=—","Direction=H","UseDPDF=Y")</f>
        <v>-9.7762999999999991</v>
      </c>
      <c r="R9" s="19">
        <f>_xll.BDH("TSLA US Equity","RETURN_ON_CAP","FQ1 2015","FQ1 2015","Currency=USD","Period=FQ","BEST_FPERIOD_OVERRIDE=FQ","FILING_STATUS=MR","FA_ADJUSTED=GAAP","Sort=A","Dates=H","DateFormat=P","Fill=—","Direction=H","UseDPDF=Y")</f>
        <v>-9.9118999999999993</v>
      </c>
      <c r="S9" s="19">
        <f>_xll.BDH("TSLA US Equity","RETURN_ON_CAP","FQ2 2015","FQ2 2015","Currency=USD","Period=FQ","BEST_FPERIOD_OVERRIDE=FQ","FILING_STATUS=MR","FA_ADJUSTED=GAAP","Sort=A","Dates=H","DateFormat=P","Fill=—","Direction=H","UseDPDF=Y")</f>
        <v>-13.2249</v>
      </c>
      <c r="T9" s="19">
        <f>_xll.BDH("TSLA US Equity","RETURN_ON_CAP","FQ3 2015","FQ3 2015","Currency=USD","Period=FQ","BEST_FPERIOD_OVERRIDE=FQ","FILING_STATUS=MR","FA_ADJUSTED=GAAP","Sort=A","Dates=H","DateFormat=P","Fill=—","Direction=H","UseDPDF=Y")</f>
        <v>-16.307500000000001</v>
      </c>
      <c r="U9" s="19">
        <f>_xll.BDH("TSLA US Equity","RETURN_ON_CAP","FQ4 2015","FQ4 2015","Currency=USD","Period=FQ","BEST_FPERIOD_OVERRIDE=FQ","FILING_STATUS=MR","FA_ADJUSTED=GAAP","Sort=A","Dates=H","DateFormat=P","Fill=—","Direction=H","UseDPDF=Y")</f>
        <v>-22.602599999999999</v>
      </c>
      <c r="V9" s="19">
        <f>_xll.BDH("TSLA US Equity","RETURN_ON_CAP","FQ1 2016","FQ1 2016","Currency=USD","Period=FQ","BEST_FPERIOD_OVERRIDE=FQ","FILING_STATUS=MR","FA_ADJUSTED=GAAP","Sort=A","Dates=H","DateFormat=P","Fill=—","Direction=H","UseDPDF=Y")</f>
        <v>-24.6678</v>
      </c>
      <c r="W9" s="19">
        <f>_xll.BDH("TSLA US Equity","RETURN_ON_CAP","FQ2 2016","FQ2 2016","Currency=USD","Period=FQ","BEST_FPERIOD_OVERRIDE=FQ","FILING_STATUS=MR","FA_ADJUSTED=GAAP","Sort=A","Dates=H","DateFormat=P","Fill=—","Direction=H","UseDPDF=Y")</f>
        <v>-22.263300000000001</v>
      </c>
      <c r="X9" s="19">
        <f>_xll.BDH("TSLA US Equity","RETURN_ON_CAP","FQ3 2016","FQ3 2016","Currency=USD","Period=FQ","BEST_FPERIOD_OVERRIDE=FQ","FILING_STATUS=MR","FA_ADJUSTED=GAAP","Sort=A","Dates=H","DateFormat=P","Fill=—","Direction=H","UseDPDF=Y")</f>
        <v>-16.229299999999999</v>
      </c>
      <c r="Y9" s="19">
        <f>_xll.BDH("TSLA US Equity","RETURN_ON_CAP","FQ4 2016","FQ4 2016","Currency=USD","Period=FQ","BEST_FPERIOD_OVERRIDE=FQ","FILING_STATUS=MR","FA_ADJUSTED=GAAP","Sort=A","Dates=H","DateFormat=P","Fill=—","Direction=H","UseDPDF=Y")</f>
        <v>-7.7038000000000002</v>
      </c>
      <c r="Z9" s="19">
        <f>_xll.BDH("TSLA US Equity","RETURN_ON_CAP","FQ1 2017","FQ1 2017","Currency=USD","Period=FQ","BEST_FPERIOD_OVERRIDE=FQ","FILING_STATUS=MR","FA_ADJUSTED=GAAP","Sort=A","Dates=H","DateFormat=P","Fill=—","Direction=H","UseDPDF=Y")</f>
        <v>-7.8053999999999997</v>
      </c>
      <c r="AA9" s="19">
        <f>_xll.BDH("TSLA US Equity","RETURN_ON_CAP","FQ2 2017","FQ2 2017","Currency=USD","Period=FQ","BEST_FPERIOD_OVERRIDE=FQ","FILING_STATUS=MR","FA_ADJUSTED=GAAP","Sort=A","Dates=H","DateFormat=P","Fill=—","Direction=H","UseDPDF=Y")</f>
        <v>-7.7565999999999997</v>
      </c>
      <c r="AB9" s="19">
        <f>_xll.BDH("TSLA US Equity","RETURN_ON_CAP","FQ3 2017","FQ3 2017","Currency=USD","Period=FQ","BEST_FPERIOD_OVERRIDE=FQ","FILING_STATUS=MR","FA_ADJUSTED=GAAP","Sort=A","Dates=H","DateFormat=P","Fill=—","Direction=H","UseDPDF=Y")</f>
        <v>-13.3047</v>
      </c>
      <c r="AC9" s="19">
        <f>_xll.BDH("TSLA US Equity","RETURN_ON_CAP","FQ4 2017","FQ4 2017","Currency=USD","Period=FQ","BEST_FPERIOD_OVERRIDE=FQ","FILING_STATUS=MR","FA_ADJUSTED=GAAP","Sort=A","Dates=H","DateFormat=P","Fill=—","Direction=H","UseDPDF=Y")</f>
        <v>-13.394399999999999</v>
      </c>
      <c r="AD9" s="19">
        <f>_xll.BDH("TSLA US Equity","RETURN_ON_CAP","FQ1 2018","FQ1 2018","Currency=USD","Period=FQ","BEST_FPERIOD_OVERRIDE=FQ","FILING_STATUS=MR","FA_ADJUSTED=GAAP","Sort=A","Dates=H","DateFormat=P","Fill=—","Direction=H","UseDPDF=Y")</f>
        <v>-14.3841</v>
      </c>
      <c r="AE9" s="19">
        <f>_xll.BDH("TSLA US Equity","RETURN_ON_CAP","FQ2 2018","FQ2 2018","Currency=USD","Period=FQ","BEST_FPERIOD_OVERRIDE=FQ","FILING_STATUS=MR","FA_ADJUSTED=GAAP","Sort=A","Dates=H","DateFormat=P","Fill=—","Direction=H","UseDPDF=Y")</f>
        <v>-16.006599999999999</v>
      </c>
      <c r="AF9" s="19">
        <f>_xll.BDH("TSLA US Equity","RETURN_ON_CAP","FQ3 2018","FQ3 2018","Currency=USD","Period=FQ","BEST_FPERIOD_OVERRIDE=FQ","FILING_STATUS=MR","FA_ADJUSTED=GAAP","Sort=A","Dates=H","DateFormat=P","Fill=—","Direction=H","UseDPDF=Y")</f>
        <v>-9.1194000000000006</v>
      </c>
      <c r="AG9" s="19">
        <f>_xll.BDH("TSLA US Equity","RETURN_ON_CAP","FQ4 2018","FQ4 2018","Currency=USD","Period=FQ","BEST_FPERIOD_OVERRIDE=FQ","FILING_STATUS=MR","FA_ADJUSTED=GAAP","Sort=A","Dates=H","DateFormat=P","Fill=—","Direction=H","UseDPDF=Y")</f>
        <v>-3.1476999999999999</v>
      </c>
      <c r="AH9" s="19">
        <f>_xll.BDH("TSLA US Equity","RETURN_ON_CAP","FQ1 2019","FQ1 2019","Currency=USD","Period=FQ","BEST_FPERIOD_OVERRIDE=FQ","FILING_STATUS=MR","FA_ADJUSTED=GAAP","Sort=A","Dates=H","DateFormat=P","Fill=—","Direction=H","UseDPDF=Y")</f>
        <v>-2.3593999999999999</v>
      </c>
      <c r="AI9" s="19">
        <f>_xll.BDH("TSLA US Equity","RETURN_ON_CAP","FQ2 2019","FQ2 2019","Currency=USD","Period=FQ","BEST_FPERIOD_OVERRIDE=FQ","FILING_STATUS=MR","FA_ADJUSTED=GAAP","Sort=A","Dates=H","DateFormat=P","Fill=—","Direction=H","UseDPDF=Y")</f>
        <v>-0.28949999999999998</v>
      </c>
      <c r="AJ9" s="19">
        <f>_xll.BDH("TSLA US Equity","RETURN_ON_CAP","FQ3 2019","FQ3 2019","Currency=USD","Period=FQ","BEST_FPERIOD_OVERRIDE=FQ","FILING_STATUS=MR","FA_ADJUSTED=GAAP","Sort=A","Dates=H","DateFormat=P","Fill=—","Direction=H","UseDPDF=Y")</f>
        <v>-0.76759999999999995</v>
      </c>
      <c r="AK9" s="19">
        <f>_xll.BDH("TSLA US Equity","RETURN_ON_CAP","FQ4 2019","FQ4 2019","Currency=USD","Period=FQ","BEST_FPERIOD_OVERRIDE=FQ","FILING_STATUS=MR","FA_ADJUSTED=GAAP","Sort=A","Dates=H","DateFormat=P","Fill=—","Direction=H","UseDPDF=Y")</f>
        <v>-1.1425000000000001</v>
      </c>
      <c r="AL9" s="19">
        <f>_xll.BDH("TSLA US Equity","RETURN_ON_CAP","FQ1 2020","FQ1 2020","Currency=USD","Period=FQ","BEST_FPERIOD_OVERRIDE=FQ","FILING_STATUS=MR","FA_ADJUSTED=GAAP","Sort=A","Dates=H","DateFormat=P","Fill=—","Direction=H","UseDPDF=Y")</f>
        <v>-2.6229</v>
      </c>
      <c r="AM9" s="19">
        <f>_xll.BDH("TSLA US Equity","RETURN_ON_CAP","FQ2 2020","FQ2 2020","Currency=USD","Period=FQ","BEST_FPERIOD_OVERRIDE=FQ","FILING_STATUS=MR","FA_ADJUSTED=GAAP","Sort=A","Dates=H","DateFormat=P","Fill=—","Direction=H","UseDPDF=Y")</f>
        <v>4.4119000000000002</v>
      </c>
      <c r="AN9" s="19">
        <f>_xll.BDH("TSLA US Equity","RETURN_ON_CAP","FQ3 2020","FQ3 2020","Currency=USD","Period=FQ","BEST_FPERIOD_OVERRIDE=FQ","FILING_STATUS=MR","FA_ADJUSTED=GAAP","Sort=A","Dates=H","DateFormat=P","Fill=—","Direction=H","UseDPDF=Y")</f>
        <v>4.3624000000000001</v>
      </c>
      <c r="AO9" s="19">
        <f>_xll.BDH("TSLA US Equity","RETURN_ON_CAP","FQ4 2020","FQ4 2020","Currency=USD","Period=FQ","BEST_FPERIOD_OVERRIDE=FQ","FILING_STATUS=MR","FA_ADJUSTED=GAAP","Sort=A","Dates=H","DateFormat=P","Fill=—","Direction=H","UseDPDF=Y")</f>
        <v>4.7618999999999998</v>
      </c>
      <c r="AP9" s="19">
        <f>_xll.BDH("TSLA US Equity","RETURN_ON_CAP","FQ1 2021","FQ1 2021","Currency=USD","Period=FQ","BEST_FPERIOD_OVERRIDE=FQ","FILING_STATUS=MR","FA_ADJUSTED=GAAP","Sort=A","Dates=H","DateFormat=P","Fill=—","Direction=H","UseDPDF=Y")</f>
        <v>5.6898</v>
      </c>
    </row>
    <row r="10" spans="1:42" x14ac:dyDescent="0.25">
      <c r="A10" s="16" t="s">
        <v>91</v>
      </c>
      <c r="B10" s="16" t="s">
        <v>92</v>
      </c>
      <c r="C10" s="19">
        <f>_xll.BDH("TSLA US Equity","RETURN_ON_INV_CAPITAL","FQ2 2011","FQ2 2011","Currency=USD","Period=FQ","BEST_FPERIOD_OVERRIDE=FQ","FILING_STATUS=MR","FA_ADJUSTED=GAAP","Sort=A","Dates=H","DateFormat=P","Fill=—","Direction=H","UseDPDF=Y")</f>
        <v>-72.450299999999999</v>
      </c>
      <c r="D10" s="19">
        <f>_xll.BDH("TSLA US Equity","RETURN_ON_INV_CAPITAL","FQ3 2011","FQ3 2011","Currency=USD","Period=FQ","BEST_FPERIOD_OVERRIDE=FQ","FILING_STATUS=MR","FA_ADJUSTED=GAAP","Sort=A","Dates=H","DateFormat=P","Fill=—","Direction=H","UseDPDF=Y")</f>
        <v>-55.962800000000001</v>
      </c>
      <c r="E10" s="19">
        <f>_xll.BDH("TSLA US Equity","RETURN_ON_INV_CAPITAL","FQ4 2011","FQ4 2011","Currency=USD","Period=FQ","BEST_FPERIOD_OVERRIDE=FQ","FILING_STATUS=MR","FA_ADJUSTED=GAAP","Sort=A","Dates=H","DateFormat=P","Fill=—","Direction=H","UseDPDF=Y")</f>
        <v>-64.211600000000004</v>
      </c>
      <c r="F10" s="19">
        <f>_xll.BDH("TSLA US Equity","RETURN_ON_INV_CAPITAL","FQ1 2012","FQ1 2012","Currency=USD","Period=FQ","BEST_FPERIOD_OVERRIDE=FQ","FILING_STATUS=MR","FA_ADJUSTED=GAAP","Sort=A","Dates=H","DateFormat=P","Fill=—","Direction=H","UseDPDF=Y")</f>
        <v>-74.307400000000001</v>
      </c>
      <c r="G10" s="19">
        <f>_xll.BDH("TSLA US Equity","RETURN_ON_INV_CAPITAL","FQ2 2012","FQ2 2012","Currency=USD","Period=FQ","BEST_FPERIOD_OVERRIDE=FQ","FILING_STATUS=MR","FA_ADJUSTED=GAAP","Sort=A","Dates=H","DateFormat=P","Fill=—","Direction=H","UseDPDF=Y")</f>
        <v>-69.252899999999997</v>
      </c>
      <c r="H10" s="19">
        <f>_xll.BDH("TSLA US Equity","RETURN_ON_INV_CAPITAL","FQ3 2012","FQ3 2012","Currency=USD","Period=FQ","BEST_FPERIOD_OVERRIDE=FQ","FILING_STATUS=MR","FA_ADJUSTED=GAAP","Sort=A","Dates=H","DateFormat=P","Fill=—","Direction=H","UseDPDF=Y")</f>
        <v>-79.6614</v>
      </c>
      <c r="I10" s="19">
        <f>_xll.BDH("TSLA US Equity","RETURN_ON_INV_CAPITAL","FQ4 2012","FQ4 2012","Currency=USD","Period=FQ","BEST_FPERIOD_OVERRIDE=FQ","FILING_STATUS=MR","FA_ADJUSTED=GAAP","Sort=A","Dates=H","DateFormat=P","Fill=—","Direction=H","UseDPDF=Y")</f>
        <v>-71.421599999999998</v>
      </c>
      <c r="J10" s="19">
        <f>_xll.BDH("TSLA US Equity","RETURN_ON_INV_CAPITAL","FQ1 2013","FQ1 2013","Currency=USD","Period=FQ","BEST_FPERIOD_OVERRIDE=FQ","FILING_STATUS=MR","FA_ADJUSTED=GAAP","Sort=A","Dates=H","DateFormat=P","Fill=—","Direction=H","UseDPDF=Y")</f>
        <v>-53.720300000000002</v>
      </c>
      <c r="K10" s="19">
        <f>_xll.BDH("TSLA US Equity","RETURN_ON_INV_CAPITAL","FQ2 2013","FQ2 2013","Currency=USD","Period=FQ","BEST_FPERIOD_OVERRIDE=FQ","FILING_STATUS=MR","FA_ADJUSTED=GAAP","Sort=A","Dates=H","DateFormat=P","Fill=—","Direction=H","UseDPDF=Y")</f>
        <v>-25.712599999999998</v>
      </c>
      <c r="L10" s="19">
        <f>_xll.BDH("TSLA US Equity","RETURN_ON_INV_CAPITAL","FQ3 2013","FQ3 2013","Currency=USD","Period=FQ","BEST_FPERIOD_OVERRIDE=FQ","FILING_STATUS=MR","FA_ADJUSTED=GAAP","Sort=A","Dates=H","DateFormat=P","Fill=—","Direction=H","UseDPDF=Y")</f>
        <v>-17.3689</v>
      </c>
      <c r="M10" s="19">
        <f>_xll.BDH("TSLA US Equity","RETURN_ON_INV_CAPITAL","FQ4 2013","FQ4 2013","Currency=USD","Period=FQ","BEST_FPERIOD_OVERRIDE=FQ","FILING_STATUS=MR","FA_ADJUSTED=GAAP","Sort=A","Dates=H","DateFormat=P","Fill=—","Direction=H","UseDPDF=Y")</f>
        <v>-7.6464999999999996</v>
      </c>
      <c r="N10" s="19">
        <f>_xll.BDH("TSLA US Equity","RETURN_ON_INV_CAPITAL","FQ1 2014","FQ1 2014","Currency=USD","Period=FQ","BEST_FPERIOD_OVERRIDE=FQ","FILING_STATUS=MR","FA_ADJUSTED=GAAP","Sort=A","Dates=H","DateFormat=P","Fill=—","Direction=H","UseDPDF=Y")</f>
        <v>-6.0411000000000001</v>
      </c>
      <c r="O10" s="19">
        <f>_xll.BDH("TSLA US Equity","RETURN_ON_INV_CAPITAL","FQ2 2014","FQ2 2014","Currency=USD","Period=FQ","BEST_FPERIOD_OVERRIDE=FQ","FILING_STATUS=MR","FA_ADJUSTED=GAAP","Sort=A","Dates=H","DateFormat=P","Fill=—","Direction=H","UseDPDF=Y")</f>
        <v>-5.8550000000000004</v>
      </c>
      <c r="P10" s="19">
        <f>_xll.BDH("TSLA US Equity","RETURN_ON_INV_CAPITAL","FQ3 2014","FQ3 2014","Currency=USD","Period=FQ","BEST_FPERIOD_OVERRIDE=FQ","FILING_STATUS=MR","FA_ADJUSTED=GAAP","Sort=A","Dates=H","DateFormat=P","Fill=—","Direction=H","UseDPDF=Y")</f>
        <v>-6.6375999999999999</v>
      </c>
      <c r="Q10" s="19">
        <f>_xll.BDH("TSLA US Equity","RETURN_ON_INV_CAPITAL","FQ4 2014","FQ4 2014","Currency=USD","Period=FQ","BEST_FPERIOD_OVERRIDE=FQ","FILING_STATUS=MR","FA_ADJUSTED=GAAP","Sort=A","Dates=H","DateFormat=P","Fill=—","Direction=H","UseDPDF=Y")</f>
        <v>-9.6333000000000002</v>
      </c>
      <c r="R10" s="19">
        <f>_xll.BDH("TSLA US Equity","RETURN_ON_INV_CAPITAL","FQ1 2015","FQ1 2015","Currency=USD","Period=FQ","BEST_FPERIOD_OVERRIDE=FQ","FILING_STATUS=MR","FA_ADJUSTED=GAAP","Sort=A","Dates=H","DateFormat=P","Fill=—","Direction=H","UseDPDF=Y")</f>
        <v>-9.2347999999999999</v>
      </c>
      <c r="S10" s="19">
        <f>_xll.BDH("TSLA US Equity","RETURN_ON_INV_CAPITAL","FQ2 2015","FQ2 2015","Currency=USD","Period=FQ","BEST_FPERIOD_OVERRIDE=FQ","FILING_STATUS=MR","FA_ADJUSTED=GAAP","Sort=A","Dates=H","DateFormat=P","Fill=—","Direction=H","UseDPDF=Y")</f>
        <v>-12.8528</v>
      </c>
      <c r="T10" s="19">
        <f>_xll.BDH("TSLA US Equity","RETURN_ON_INV_CAPITAL","FQ3 2015","FQ3 2015","Currency=USD","Period=FQ","BEST_FPERIOD_OVERRIDE=FQ","FILING_STATUS=MR","FA_ADJUSTED=GAAP","Sort=A","Dates=H","DateFormat=P","Fill=—","Direction=H","UseDPDF=Y")</f>
        <v>-15.663499999999999</v>
      </c>
      <c r="U10" s="19">
        <f>_xll.BDH("TSLA US Equity","RETURN_ON_INV_CAPITAL","FQ4 2015","FQ4 2015","Currency=USD","Period=FQ","BEST_FPERIOD_OVERRIDE=FQ","FILING_STATUS=MR","FA_ADJUSTED=GAAP","Sort=A","Dates=H","DateFormat=P","Fill=—","Direction=H","UseDPDF=Y")</f>
        <v>-21.357099999999999</v>
      </c>
      <c r="V10" s="19">
        <f>_xll.BDH("TSLA US Equity","RETURN_ON_INV_CAPITAL","FQ1 2016","FQ1 2016","Currency=USD","Period=FQ","BEST_FPERIOD_OVERRIDE=FQ","FILING_STATUS=MR","FA_ADJUSTED=GAAP","Sort=A","Dates=H","DateFormat=P","Fill=—","Direction=H","UseDPDF=Y")</f>
        <v>-23.9725</v>
      </c>
      <c r="W10" s="19">
        <f>_xll.BDH("TSLA US Equity","RETURN_ON_INV_CAPITAL","FQ2 2016","FQ2 2016","Currency=USD","Period=FQ","BEST_FPERIOD_OVERRIDE=FQ","FILING_STATUS=MR","FA_ADJUSTED=GAAP","Sort=A","Dates=H","DateFormat=P","Fill=—","Direction=H","UseDPDF=Y")</f>
        <v>-21.608699999999999</v>
      </c>
      <c r="X10" s="19">
        <f>_xll.BDH("TSLA US Equity","RETURN_ON_INV_CAPITAL","FQ3 2016","FQ3 2016","Currency=USD","Period=FQ","BEST_FPERIOD_OVERRIDE=FQ","FILING_STATUS=MR","FA_ADJUSTED=GAAP","Sort=A","Dates=H","DateFormat=P","Fill=—","Direction=H","UseDPDF=Y")</f>
        <v>-15.539099999999999</v>
      </c>
      <c r="Y10" s="19">
        <f>_xll.BDH("TSLA US Equity","RETURN_ON_INV_CAPITAL","FQ4 2016","FQ4 2016","Currency=USD","Period=FQ","BEST_FPERIOD_OVERRIDE=FQ","FILING_STATUS=MR","FA_ADJUSTED=GAAP","Sort=A","Dates=H","DateFormat=P","Fill=—","Direction=H","UseDPDF=Y")</f>
        <v>-8.4662000000000006</v>
      </c>
      <c r="Z10" s="19">
        <f>_xll.BDH("TSLA US Equity","RETURN_ON_INV_CAPITAL","FQ1 2017","FQ1 2017","Currency=USD","Period=FQ","BEST_FPERIOD_OVERRIDE=FQ","FILING_STATUS=MR","FA_ADJUSTED=GAAP","Sort=A","Dates=H","DateFormat=P","Fill=—","Direction=H","UseDPDF=Y")</f>
        <v>-8.3796999999999997</v>
      </c>
      <c r="AA10" s="19">
        <f>_xll.BDH("TSLA US Equity","RETURN_ON_INV_CAPITAL","FQ2 2017","FQ2 2017","Currency=USD","Period=FQ","BEST_FPERIOD_OVERRIDE=FQ","FILING_STATUS=MR","FA_ADJUSTED=GAAP","Sort=A","Dates=H","DateFormat=P","Fill=—","Direction=H","UseDPDF=Y")</f>
        <v>-8.0879999999999992</v>
      </c>
      <c r="AB10" s="19">
        <f>_xll.BDH("TSLA US Equity","RETURN_ON_INV_CAPITAL","FQ3 2017","FQ3 2017","Currency=USD","Period=FQ","BEST_FPERIOD_OVERRIDE=FQ","FILING_STATUS=MR","FA_ADJUSTED=GAAP","Sort=A","Dates=H","DateFormat=P","Fill=—","Direction=H","UseDPDF=Y")</f>
        <v>-13.543699999999999</v>
      </c>
      <c r="AC10" s="19">
        <f>_xll.BDH("TSLA US Equity","RETURN_ON_INV_CAPITAL","FQ4 2017","FQ4 2017","Currency=USD","Period=FQ","BEST_FPERIOD_OVERRIDE=FQ","FILING_STATUS=MR","FA_ADJUSTED=GAAP","Sort=A","Dates=H","DateFormat=P","Fill=—","Direction=H","UseDPDF=Y")</f>
        <v>-12.7905</v>
      </c>
      <c r="AD10" s="19">
        <f>_xll.BDH("TSLA US Equity","RETURN_ON_INV_CAPITAL","FQ1 2018","FQ1 2018","Currency=USD","Period=FQ","BEST_FPERIOD_OVERRIDE=FQ","FILING_STATUS=MR","FA_ADJUSTED=GAAP","Sort=A","Dates=H","DateFormat=P","Fill=—","Direction=H","UseDPDF=Y")</f>
        <v>-14.172800000000001</v>
      </c>
      <c r="AE10" s="19">
        <f>_xll.BDH("TSLA US Equity","RETURN_ON_INV_CAPITAL","FQ2 2018","FQ2 2018","Currency=USD","Period=FQ","BEST_FPERIOD_OVERRIDE=FQ","FILING_STATUS=MR","FA_ADJUSTED=GAAP","Sort=A","Dates=H","DateFormat=P","Fill=—","Direction=H","UseDPDF=Y")</f>
        <v>-16.135000000000002</v>
      </c>
      <c r="AF10" s="19">
        <f>_xll.BDH("TSLA US Equity","RETURN_ON_INV_CAPITAL","FQ3 2018","FQ3 2018","Currency=USD","Period=FQ","BEST_FPERIOD_OVERRIDE=FQ","FILING_STATUS=MR","FA_ADJUSTED=GAAP","Sort=A","Dates=H","DateFormat=P","Fill=—","Direction=H","UseDPDF=Y")</f>
        <v>-9.2254000000000005</v>
      </c>
      <c r="AG10" s="19">
        <f>_xll.BDH("TSLA US Equity","RETURN_ON_INV_CAPITAL","FQ4 2018","FQ4 2018","Currency=USD","Period=FQ","BEST_FPERIOD_OVERRIDE=FQ","FILING_STATUS=MR","FA_ADJUSTED=GAAP","Sort=A","Dates=H","DateFormat=P","Fill=—","Direction=H","UseDPDF=Y")</f>
        <v>-3.0663</v>
      </c>
      <c r="AH10" s="19">
        <f>_xll.BDH("TSLA US Equity","RETURN_ON_INV_CAPITAL","FQ1 2019","FQ1 2019","Currency=USD","Period=FQ","BEST_FPERIOD_OVERRIDE=FQ","FILING_STATUS=MR","FA_ADJUSTED=GAAP","Sort=A","Dates=H","DateFormat=P","Fill=—","Direction=H","UseDPDF=Y")</f>
        <v>-2.6261000000000001</v>
      </c>
      <c r="AI10" s="19">
        <f>_xll.BDH("TSLA US Equity","RETURN_ON_INV_CAPITAL","FQ2 2019","FQ2 2019","Currency=USD","Period=FQ","BEST_FPERIOD_OVERRIDE=FQ","FILING_STATUS=MR","FA_ADJUSTED=GAAP","Sort=A","Dates=H","DateFormat=P","Fill=—","Direction=H","UseDPDF=Y")</f>
        <v>-0.17849999999999999</v>
      </c>
      <c r="AJ10" s="19">
        <f>_xll.BDH("TSLA US Equity","RETURN_ON_INV_CAPITAL","FQ3 2019","FQ3 2019","Currency=USD","Period=FQ","BEST_FPERIOD_OVERRIDE=FQ","FILING_STATUS=MR","FA_ADJUSTED=GAAP","Sort=A","Dates=H","DateFormat=P","Fill=—","Direction=H","UseDPDF=Y")</f>
        <v>-1.0221</v>
      </c>
      <c r="AK10" s="19">
        <f>_xll.BDH("TSLA US Equity","RETURN_ON_INV_CAPITAL","FQ4 2019","FQ4 2019","Currency=USD","Period=FQ","BEST_FPERIOD_OVERRIDE=FQ","FILING_STATUS=MR","FA_ADJUSTED=GAAP","Sort=A","Dates=H","DateFormat=P","Fill=—","Direction=H","UseDPDF=Y")</f>
        <v>-1.4529000000000001</v>
      </c>
      <c r="AL10" s="19">
        <f>_xll.BDH("TSLA US Equity","RETURN_ON_INV_CAPITAL","FQ1 2020","FQ1 2020","Currency=USD","Period=FQ","BEST_FPERIOD_OVERRIDE=FQ","FILING_STATUS=MR","FA_ADJUSTED=GAAP","Sort=A","Dates=H","DateFormat=P","Fill=—","Direction=H","UseDPDF=Y")</f>
        <v>2.4054000000000002</v>
      </c>
      <c r="AM10" s="19">
        <f>_xll.BDH("TSLA US Equity","RETURN_ON_INV_CAPITAL","FQ2 2020","FQ2 2020","Currency=USD","Period=FQ","BEST_FPERIOD_OVERRIDE=FQ","FILING_STATUS=MR","FA_ADJUSTED=GAAP","Sort=A","Dates=H","DateFormat=P","Fill=—","Direction=H","UseDPDF=Y")</f>
        <v>4.3216000000000001</v>
      </c>
      <c r="AN10" s="19">
        <f>_xll.BDH("TSLA US Equity","RETURN_ON_INV_CAPITAL","FQ3 2020","FQ3 2020","Currency=USD","Period=FQ","BEST_FPERIOD_OVERRIDE=FQ","FILING_STATUS=MR","FA_ADJUSTED=GAAP","Sort=A","Dates=H","DateFormat=P","Fill=—","Direction=H","UseDPDF=Y")</f>
        <v>4.9420000000000002</v>
      </c>
      <c r="AO10" s="19">
        <f>_xll.BDH("TSLA US Equity","RETURN_ON_INV_CAPITAL","FQ4 2020","FQ4 2020","Currency=USD","Period=FQ","BEST_FPERIOD_OVERRIDE=FQ","FILING_STATUS=MR","FA_ADJUSTED=GAAP","Sort=A","Dates=H","DateFormat=P","Fill=—","Direction=H","UseDPDF=Y")</f>
        <v>5.1094999999999997</v>
      </c>
      <c r="AP10" s="19">
        <f>_xll.BDH("TSLA US Equity","RETURN_ON_INV_CAPITAL","FQ1 2021","FQ1 2021","Currency=USD","Period=FQ","BEST_FPERIOD_OVERRIDE=FQ","FILING_STATUS=MR","FA_ADJUSTED=GAAP","Sort=A","Dates=H","DateFormat=P","Fill=—","Direction=H","UseDPDF=Y")</f>
        <v>5.58</v>
      </c>
    </row>
    <row r="11" spans="1:42" x14ac:dyDescent="0.25">
      <c r="A11" s="1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pans="1:42" x14ac:dyDescent="0.25">
      <c r="A12" s="12" t="s">
        <v>93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</row>
    <row r="13" spans="1:42" x14ac:dyDescent="0.25">
      <c r="A13" s="16" t="s">
        <v>94</v>
      </c>
      <c r="B13" s="16" t="s">
        <v>95</v>
      </c>
      <c r="C13" s="19">
        <f>_xll.BDH("TSLA US Equity","GROSS_MARGIN","FQ2 2011","FQ2 2011","Currency=USD","Period=FQ","BEST_FPERIOD_OVERRIDE=FQ","FILING_STATUS=MR","FA_ADJUSTED=GAAP","Sort=A","Dates=H","DateFormat=P","Fill=—","Direction=H","UseDPDF=Y")</f>
        <v>31.816500000000001</v>
      </c>
      <c r="D13" s="19">
        <f>_xll.BDH("TSLA US Equity","GROSS_MARGIN","FQ3 2011","FQ3 2011","Currency=USD","Period=FQ","BEST_FPERIOD_OVERRIDE=FQ","FILING_STATUS=MR","FA_ADJUSTED=GAAP","Sort=A","Dates=H","DateFormat=P","Fill=—","Direction=H","UseDPDF=Y")</f>
        <v>29.868600000000001</v>
      </c>
      <c r="E13" s="19">
        <f>_xll.BDH("TSLA US Equity","GROSS_MARGIN","FQ4 2011","FQ4 2011","Currency=USD","Period=FQ","BEST_FPERIOD_OVERRIDE=FQ","FILING_STATUS=MR","FA_ADJUSTED=GAAP","Sort=A","Dates=H","DateFormat=P","Fill=—","Direction=H","UseDPDF=Y")</f>
        <v>19.898399999999999</v>
      </c>
      <c r="F13" s="19">
        <f>_xll.BDH("TSLA US Equity","GROSS_MARGIN","FQ1 2012","FQ1 2012","Currency=USD","Period=FQ","BEST_FPERIOD_OVERRIDE=FQ","FILING_STATUS=MR","FA_ADJUSTED=GAAP","Sort=A","Dates=H","DateFormat=P","Fill=—","Direction=H","UseDPDF=Y")</f>
        <v>33.844900000000003</v>
      </c>
      <c r="G13" s="19">
        <f>_xll.BDH("TSLA US Equity","GROSS_MARGIN","FQ2 2012","FQ2 2012","Currency=USD","Period=FQ","BEST_FPERIOD_OVERRIDE=FQ","FILING_STATUS=MR","FA_ADJUSTED=GAAP","Sort=A","Dates=H","DateFormat=P","Fill=—","Direction=H","UseDPDF=Y")</f>
        <v>17.866700000000002</v>
      </c>
      <c r="H13" s="19">
        <f>_xll.BDH("TSLA US Equity","GROSS_MARGIN","FQ3 2012","FQ3 2012","Currency=USD","Period=FQ","BEST_FPERIOD_OVERRIDE=FQ","FILING_STATUS=MR","FA_ADJUSTED=GAAP","Sort=A","Dates=H","DateFormat=P","Fill=—","Direction=H","UseDPDF=Y")</f>
        <v>-17.485600000000002</v>
      </c>
      <c r="I13" s="19">
        <f>_xll.BDH("TSLA US Equity","GROSS_MARGIN","FQ4 2012","FQ4 2012","Currency=USD","Period=FQ","BEST_FPERIOD_OVERRIDE=FQ","FILING_STATUS=MR","FA_ADJUSTED=GAAP","Sort=A","Dates=H","DateFormat=P","Fill=—","Direction=H","UseDPDF=Y")</f>
        <v>7.7880000000000003</v>
      </c>
      <c r="J13" s="19">
        <f>_xll.BDH("TSLA US Equity","GROSS_MARGIN","FQ1 2013","FQ1 2013","Currency=USD","Period=FQ","BEST_FPERIOD_OVERRIDE=FQ","FILING_STATUS=MR","FA_ADJUSTED=GAAP","Sort=A","Dates=H","DateFormat=P","Fill=—","Direction=H","UseDPDF=Y")</f>
        <v>17.145099999999999</v>
      </c>
      <c r="K13" s="19">
        <f>_xll.BDH("TSLA US Equity","GROSS_MARGIN","FQ2 2013","FQ2 2013","Currency=USD","Period=FQ","BEST_FPERIOD_OVERRIDE=FQ","FILING_STATUS=MR","FA_ADJUSTED=GAAP","Sort=A","Dates=H","DateFormat=P","Fill=—","Direction=H","UseDPDF=Y")</f>
        <v>24.802099999999999</v>
      </c>
      <c r="L13" s="19">
        <f>_xll.BDH("TSLA US Equity","GROSS_MARGIN","FQ3 2013","FQ3 2013","Currency=USD","Period=FQ","BEST_FPERIOD_OVERRIDE=FQ","FILING_STATUS=MR","FA_ADJUSTED=GAAP","Sort=A","Dates=H","DateFormat=P","Fill=—","Direction=H","UseDPDF=Y")</f>
        <v>23.848099999999999</v>
      </c>
      <c r="M13" s="19">
        <f>_xll.BDH("TSLA US Equity","GROSS_MARGIN","FQ4 2013","FQ4 2013","Currency=USD","Period=FQ","BEST_FPERIOD_OVERRIDE=FQ","FILING_STATUS=MR","FA_ADJUSTED=GAAP","Sort=A","Dates=H","DateFormat=P","Fill=—","Direction=H","UseDPDF=Y")</f>
        <v>25.4527</v>
      </c>
      <c r="N13" s="19">
        <f>_xll.BDH("TSLA US Equity","GROSS_MARGIN","FQ1 2014","FQ1 2014","Currency=USD","Period=FQ","BEST_FPERIOD_OVERRIDE=FQ","FILING_STATUS=MR","FA_ADJUSTED=GAAP","Sort=A","Dates=H","DateFormat=P","Fill=—","Direction=H","UseDPDF=Y")</f>
        <v>24.998799999999999</v>
      </c>
      <c r="O13" s="19">
        <f>_xll.BDH("TSLA US Equity","GROSS_MARGIN","FQ2 2014","FQ2 2014","Currency=USD","Period=FQ","BEST_FPERIOD_OVERRIDE=FQ","FILING_STATUS=MR","FA_ADJUSTED=GAAP","Sort=A","Dates=H","DateFormat=P","Fill=—","Direction=H","UseDPDF=Y")</f>
        <v>27.685099999999998</v>
      </c>
      <c r="P13" s="19">
        <f>_xll.BDH("TSLA US Equity","GROSS_MARGIN","FQ3 2014","FQ3 2014","Currency=USD","Period=FQ","BEST_FPERIOD_OVERRIDE=FQ","FILING_STATUS=MR","FA_ADJUSTED=GAAP","Sort=A","Dates=H","DateFormat=P","Fill=—","Direction=H","UseDPDF=Y")</f>
        <v>29.566800000000001</v>
      </c>
      <c r="Q13" s="19">
        <f>_xll.BDH("TSLA US Equity","GROSS_MARGIN","FQ4 2014","FQ4 2014","Currency=USD","Period=FQ","BEST_FPERIOD_OVERRIDE=FQ","FILING_STATUS=MR","FA_ADJUSTED=GAAP","Sort=A","Dates=H","DateFormat=P","Fill=—","Direction=H","UseDPDF=Y")</f>
        <v>27.3552</v>
      </c>
      <c r="R13" s="19">
        <f>_xll.BDH("TSLA US Equity","GROSS_MARGIN","FQ1 2015","FQ1 2015","Currency=USD","Period=FQ","BEST_FPERIOD_OVERRIDE=FQ","FILING_STATUS=MR","FA_ADJUSTED=GAAP","Sort=A","Dates=H","DateFormat=P","Fill=—","Direction=H","UseDPDF=Y")</f>
        <v>27.6709</v>
      </c>
      <c r="S13" s="19">
        <f>_xll.BDH("TSLA US Equity","GROSS_MARGIN","FQ2 2015","FQ2 2015","Currency=USD","Period=FQ","BEST_FPERIOD_OVERRIDE=FQ","FILING_STATUS=MR","FA_ADJUSTED=GAAP","Sort=A","Dates=H","DateFormat=P","Fill=—","Direction=H","UseDPDF=Y")</f>
        <v>22.343</v>
      </c>
      <c r="T13" s="19">
        <f>_xll.BDH("TSLA US Equity","GROSS_MARGIN","FQ3 2015","FQ3 2015","Currency=USD","Period=FQ","BEST_FPERIOD_OVERRIDE=FQ","FILING_STATUS=MR","FA_ADJUSTED=GAAP","Sort=A","Dates=H","DateFormat=P","Fill=—","Direction=H","UseDPDF=Y")</f>
        <v>24.711600000000001</v>
      </c>
      <c r="U13" s="19">
        <f>_xll.BDH("TSLA US Equity","GROSS_MARGIN","FQ4 2015","FQ4 2015","Currency=USD","Period=FQ","BEST_FPERIOD_OVERRIDE=FQ","FILING_STATUS=MR","FA_ADJUSTED=GAAP","Sort=A","Dates=H","DateFormat=P","Fill=—","Direction=H","UseDPDF=Y")</f>
        <v>17.998000000000001</v>
      </c>
      <c r="V13" s="19">
        <f>_xll.BDH("TSLA US Equity","GROSS_MARGIN","FQ1 2016","FQ1 2016","Currency=USD","Period=FQ","BEST_FPERIOD_OVERRIDE=FQ","FILING_STATUS=MR","FA_ADJUSTED=GAAP","Sort=A","Dates=H","DateFormat=P","Fill=—","Direction=H","UseDPDF=Y")</f>
        <v>22.010200000000001</v>
      </c>
      <c r="W13" s="19">
        <f>_xll.BDH("TSLA US Equity","GROSS_MARGIN","FQ2 2016","FQ2 2016","Currency=USD","Period=FQ","BEST_FPERIOD_OVERRIDE=FQ","FILING_STATUS=MR","FA_ADJUSTED=GAAP","Sort=A","Dates=H","DateFormat=P","Fill=—","Direction=H","UseDPDF=Y")</f>
        <v>21.6356</v>
      </c>
      <c r="X13" s="19">
        <f>_xll.BDH("TSLA US Equity","GROSS_MARGIN","FQ3 2016","FQ3 2016","Currency=USD","Period=FQ","BEST_FPERIOD_OVERRIDE=FQ","FILING_STATUS=MR","FA_ADJUSTED=GAAP","Sort=A","Dates=H","DateFormat=P","Fill=—","Direction=H","UseDPDF=Y")</f>
        <v>27.702999999999999</v>
      </c>
      <c r="Y13" s="19">
        <f>_xll.BDH("TSLA US Equity","GROSS_MARGIN","FQ4 2016","FQ4 2016","Currency=USD","Period=FQ","BEST_FPERIOD_OVERRIDE=FQ","FILING_STATUS=MR","FA_ADJUSTED=GAAP","Sort=A","Dates=H","DateFormat=P","Fill=—","Direction=H","UseDPDF=Y")</f>
        <v>19.052399999999999</v>
      </c>
      <c r="Z13" s="19">
        <f>_xll.BDH("TSLA US Equity","GROSS_MARGIN","FQ1 2017","FQ1 2017","Currency=USD","Period=FQ","BEST_FPERIOD_OVERRIDE=FQ","FILING_STATUS=MR","FA_ADJUSTED=GAAP","Sort=A","Dates=H","DateFormat=P","Fill=—","Direction=H","UseDPDF=Y")</f>
        <v>24.773</v>
      </c>
      <c r="AA13" s="19">
        <f>_xll.BDH("TSLA US Equity","GROSS_MARGIN","FQ2 2017","FQ2 2017","Currency=USD","Period=FQ","BEST_FPERIOD_OVERRIDE=FQ","FILING_STATUS=MR","FA_ADJUSTED=GAAP","Sort=A","Dates=H","DateFormat=P","Fill=—","Direction=H","UseDPDF=Y")</f>
        <v>23.896799999999999</v>
      </c>
      <c r="AB13" s="19">
        <f>_xll.BDH("TSLA US Equity","GROSS_MARGIN","FQ3 2017","FQ3 2017","Currency=USD","Period=FQ","BEST_FPERIOD_OVERRIDE=FQ","FILING_STATUS=MR","FA_ADJUSTED=GAAP","Sort=A","Dates=H","DateFormat=P","Fill=—","Direction=H","UseDPDF=Y")</f>
        <v>15.0482</v>
      </c>
      <c r="AC13" s="19">
        <f>_xll.BDH("TSLA US Equity","GROSS_MARGIN","FQ4 2017","FQ4 2017","Currency=USD","Period=FQ","BEST_FPERIOD_OVERRIDE=FQ","FILING_STATUS=MR","FA_ADJUSTED=GAAP","Sort=A","Dates=H","DateFormat=P","Fill=—","Direction=H","UseDPDF=Y")</f>
        <v>13.344099999999999</v>
      </c>
      <c r="AD13" s="19">
        <f>_xll.BDH("TSLA US Equity","GROSS_MARGIN","FQ1 2018","FQ1 2018","Currency=USD","Period=FQ","BEST_FPERIOD_OVERRIDE=FQ","FILING_STATUS=MR","FA_ADJUSTED=GAAP","Sort=A","Dates=H","DateFormat=P","Fill=—","Direction=H","UseDPDF=Y")</f>
        <v>13.392799999999999</v>
      </c>
      <c r="AE13" s="19">
        <f>_xll.BDH("TSLA US Equity","GROSS_MARGIN","FQ2 2018","FQ2 2018","Currency=USD","Period=FQ","BEST_FPERIOD_OVERRIDE=FQ","FILING_STATUS=MR","FA_ADJUSTED=GAAP","Sort=A","Dates=H","DateFormat=P","Fill=—","Direction=H","UseDPDF=Y")</f>
        <v>15.464600000000001</v>
      </c>
      <c r="AF13" s="19">
        <f>_xll.BDH("TSLA US Equity","GROSS_MARGIN","FQ3 2018","FQ3 2018","Currency=USD","Period=FQ","BEST_FPERIOD_OVERRIDE=FQ","FILING_STATUS=MR","FA_ADJUSTED=GAAP","Sort=A","Dates=H","DateFormat=P","Fill=—","Direction=H","UseDPDF=Y")</f>
        <v>22.326699999999999</v>
      </c>
      <c r="AG13" s="19">
        <f>_xll.BDH("TSLA US Equity","GROSS_MARGIN","FQ4 2018","FQ4 2018","Currency=USD","Period=FQ","BEST_FPERIOD_OVERRIDE=FQ","FILING_STATUS=MR","FA_ADJUSTED=GAAP","Sort=A","Dates=H","DateFormat=P","Fill=—","Direction=H","UseDPDF=Y")</f>
        <v>19.968499999999999</v>
      </c>
      <c r="AH13" s="19">
        <f>_xll.BDH("TSLA US Equity","GROSS_MARGIN","FQ1 2019","FQ1 2019","Currency=USD","Period=FQ","BEST_FPERIOD_OVERRIDE=FQ","FILING_STATUS=MR","FA_ADJUSTED=GAAP","Sort=A","Dates=H","DateFormat=P","Fill=—","Direction=H","UseDPDF=Y")</f>
        <v>12.4573</v>
      </c>
      <c r="AI13" s="19">
        <f>_xll.BDH("TSLA US Equity","GROSS_MARGIN","FQ2 2019","FQ2 2019","Currency=USD","Period=FQ","BEST_FPERIOD_OVERRIDE=FQ","FILING_STATUS=MR","FA_ADJUSTED=GAAP","Sort=A","Dates=H","DateFormat=P","Fill=—","Direction=H","UseDPDF=Y")</f>
        <v>14.5054</v>
      </c>
      <c r="AJ13" s="19">
        <f>_xll.BDH("TSLA US Equity","GROSS_MARGIN","FQ3 2019","FQ3 2019","Currency=USD","Period=FQ","BEST_FPERIOD_OVERRIDE=FQ","FILING_STATUS=MR","FA_ADJUSTED=GAAP","Sort=A","Dates=H","DateFormat=P","Fill=—","Direction=H","UseDPDF=Y")</f>
        <v>18.895800000000001</v>
      </c>
      <c r="AK13" s="19">
        <f>_xll.BDH("TSLA US Equity","GROSS_MARGIN","FQ4 2019","FQ4 2019","Currency=USD","Period=FQ","BEST_FPERIOD_OVERRIDE=FQ","FILING_STATUS=MR","FA_ADJUSTED=GAAP","Sort=A","Dates=H","DateFormat=P","Fill=—","Direction=H","UseDPDF=Y")</f>
        <v>18.838000000000001</v>
      </c>
      <c r="AL13" s="19">
        <f>_xll.BDH("TSLA US Equity","GROSS_MARGIN","FQ1 2020","FQ1 2020","Currency=USD","Period=FQ","BEST_FPERIOD_OVERRIDE=FQ","FILING_STATUS=MR","FA_ADJUSTED=GAAP","Sort=A","Dates=H","DateFormat=P","Fill=—","Direction=H","UseDPDF=Y")</f>
        <v>20.618200000000002</v>
      </c>
      <c r="AM13" s="19">
        <f>_xll.BDH("TSLA US Equity","GROSS_MARGIN","FQ2 2020","FQ2 2020","Currency=USD","Period=FQ","BEST_FPERIOD_OVERRIDE=FQ","FILING_STATUS=MR","FA_ADJUSTED=GAAP","Sort=A","Dates=H","DateFormat=P","Fill=—","Direction=H","UseDPDF=Y")</f>
        <v>20.9907</v>
      </c>
      <c r="AN13" s="19">
        <f>_xll.BDH("TSLA US Equity","GROSS_MARGIN","FQ3 2020","FQ3 2020","Currency=USD","Period=FQ","BEST_FPERIOD_OVERRIDE=FQ","FILING_STATUS=MR","FA_ADJUSTED=GAAP","Sort=A","Dates=H","DateFormat=P","Fill=—","Direction=H","UseDPDF=Y")</f>
        <v>23.520700000000001</v>
      </c>
      <c r="AO13" s="19">
        <f>_xll.BDH("TSLA US Equity","GROSS_MARGIN","FQ4 2020","FQ4 2020","Currency=USD","Period=FQ","BEST_FPERIOD_OVERRIDE=FQ","FILING_STATUS=MR","FA_ADJUSTED=GAAP","Sort=A","Dates=H","DateFormat=P","Fill=—","Direction=H","UseDPDF=Y")</f>
        <v>19.229299999999999</v>
      </c>
      <c r="AP13" s="19">
        <f>_xll.BDH("TSLA US Equity","GROSS_MARGIN","FQ1 2021","FQ1 2021","Currency=USD","Period=FQ","BEST_FPERIOD_OVERRIDE=FQ","FILING_STATUS=MR","FA_ADJUSTED=GAAP","Sort=A","Dates=H","DateFormat=P","Fill=—","Direction=H","UseDPDF=Y")</f>
        <v>21.320599999999999</v>
      </c>
    </row>
    <row r="14" spans="1:42" x14ac:dyDescent="0.25">
      <c r="A14" s="12" t="s">
        <v>96</v>
      </c>
      <c r="B14" s="12"/>
      <c r="C14" s="21" t="s">
        <v>97</v>
      </c>
      <c r="D14" s="21" t="s">
        <v>97</v>
      </c>
      <c r="E14" s="21" t="s">
        <v>97</v>
      </c>
      <c r="F14" s="21" t="s">
        <v>97</v>
      </c>
      <c r="G14" s="21" t="s">
        <v>97</v>
      </c>
      <c r="H14" s="21" t="s">
        <v>97</v>
      </c>
      <c r="I14" s="21" t="s">
        <v>97</v>
      </c>
      <c r="J14" s="21" t="s">
        <v>97</v>
      </c>
      <c r="K14" s="21" t="s">
        <v>97</v>
      </c>
      <c r="L14" s="21" t="s">
        <v>97</v>
      </c>
      <c r="M14" s="21" t="s">
        <v>97</v>
      </c>
      <c r="N14" s="21" t="s">
        <v>97</v>
      </c>
      <c r="O14" s="21" t="s">
        <v>97</v>
      </c>
      <c r="P14" s="21" t="s">
        <v>97</v>
      </c>
      <c r="Q14" s="21" t="s">
        <v>97</v>
      </c>
      <c r="R14" s="21" t="s">
        <v>97</v>
      </c>
      <c r="S14" s="21" t="s">
        <v>97</v>
      </c>
      <c r="T14" s="21" t="s">
        <v>97</v>
      </c>
      <c r="U14" s="21" t="s">
        <v>97</v>
      </c>
      <c r="V14" s="21" t="s">
        <v>97</v>
      </c>
      <c r="W14" s="21" t="s">
        <v>97</v>
      </c>
      <c r="X14" s="21" t="s">
        <v>97</v>
      </c>
      <c r="Y14" s="21" t="s">
        <v>97</v>
      </c>
      <c r="Z14" s="21" t="s">
        <v>97</v>
      </c>
      <c r="AA14" s="21" t="s">
        <v>97</v>
      </c>
      <c r="AB14" s="21" t="s">
        <v>97</v>
      </c>
      <c r="AC14" s="21" t="s">
        <v>97</v>
      </c>
      <c r="AD14" s="21" t="s">
        <v>97</v>
      </c>
      <c r="AE14" s="21" t="s">
        <v>97</v>
      </c>
      <c r="AF14" s="21" t="s">
        <v>97</v>
      </c>
      <c r="AG14" s="21" t="s">
        <v>97</v>
      </c>
      <c r="AH14" s="21" t="s">
        <v>97</v>
      </c>
      <c r="AI14" s="21" t="s">
        <v>97</v>
      </c>
      <c r="AJ14" s="21" t="s">
        <v>97</v>
      </c>
      <c r="AK14" s="21" t="s">
        <v>97</v>
      </c>
      <c r="AL14" s="21" t="s">
        <v>97</v>
      </c>
      <c r="AM14" s="21" t="s">
        <v>97</v>
      </c>
      <c r="AN14" s="21" t="s">
        <v>97</v>
      </c>
      <c r="AO14" s="21" t="s">
        <v>97</v>
      </c>
      <c r="AP14" s="21" t="s">
        <v>97</v>
      </c>
    </row>
    <row r="15" spans="1:42" x14ac:dyDescent="0.25">
      <c r="A15" s="16" t="s">
        <v>98</v>
      </c>
      <c r="B15" s="16"/>
      <c r="C15" s="19" t="s">
        <v>97</v>
      </c>
      <c r="D15" s="19" t="s">
        <v>97</v>
      </c>
      <c r="E15" s="19" t="s">
        <v>97</v>
      </c>
      <c r="F15" s="19" t="s">
        <v>97</v>
      </c>
      <c r="G15" s="19" t="s">
        <v>97</v>
      </c>
      <c r="H15" s="19" t="s">
        <v>97</v>
      </c>
      <c r="I15" s="19" t="s">
        <v>97</v>
      </c>
      <c r="J15" s="19" t="s">
        <v>97</v>
      </c>
      <c r="K15" s="19" t="s">
        <v>97</v>
      </c>
      <c r="L15" s="19" t="s">
        <v>97</v>
      </c>
      <c r="M15" s="19" t="s">
        <v>97</v>
      </c>
      <c r="N15" s="19" t="s">
        <v>97</v>
      </c>
      <c r="O15" s="19" t="s">
        <v>97</v>
      </c>
      <c r="P15" s="19" t="s">
        <v>97</v>
      </c>
      <c r="Q15" s="19" t="s">
        <v>97</v>
      </c>
      <c r="R15" s="19" t="s">
        <v>97</v>
      </c>
      <c r="S15" s="19" t="s">
        <v>97</v>
      </c>
      <c r="T15" s="19" t="s">
        <v>97</v>
      </c>
      <c r="U15" s="19">
        <v>19.7</v>
      </c>
      <c r="V15" s="19">
        <v>22</v>
      </c>
      <c r="W15" s="19">
        <v>23.1</v>
      </c>
      <c r="X15" s="19">
        <v>29.4</v>
      </c>
      <c r="Y15" s="19">
        <v>22.6</v>
      </c>
      <c r="Z15" s="19">
        <v>27</v>
      </c>
      <c r="AA15" s="19">
        <v>28</v>
      </c>
      <c r="AB15" s="19">
        <v>18</v>
      </c>
      <c r="AC15" s="19">
        <v>18.91</v>
      </c>
      <c r="AD15" s="19">
        <v>20</v>
      </c>
      <c r="AE15" s="19">
        <v>21</v>
      </c>
      <c r="AF15" s="19">
        <v>26</v>
      </c>
      <c r="AG15" s="19">
        <v>24.31</v>
      </c>
      <c r="AH15" s="19">
        <v>20</v>
      </c>
      <c r="AI15" s="19">
        <v>19</v>
      </c>
      <c r="AJ15" s="19">
        <v>23</v>
      </c>
      <c r="AK15" s="19">
        <v>21</v>
      </c>
      <c r="AL15" s="19">
        <v>26</v>
      </c>
      <c r="AM15" s="19">
        <v>25</v>
      </c>
      <c r="AN15" s="19">
        <v>28</v>
      </c>
      <c r="AO15" s="19">
        <v>24.1</v>
      </c>
      <c r="AP15" s="19">
        <v>26.5</v>
      </c>
    </row>
    <row r="16" spans="1:42" x14ac:dyDescent="0.25">
      <c r="A16" s="12" t="s">
        <v>99</v>
      </c>
      <c r="B16" s="12"/>
      <c r="C16" s="21" t="s">
        <v>97</v>
      </c>
      <c r="D16" s="21" t="s">
        <v>97</v>
      </c>
      <c r="E16" s="21" t="s">
        <v>97</v>
      </c>
      <c r="F16" s="21" t="s">
        <v>97</v>
      </c>
      <c r="G16" s="21" t="s">
        <v>97</v>
      </c>
      <c r="H16" s="21" t="s">
        <v>97</v>
      </c>
      <c r="I16" s="21" t="s">
        <v>97</v>
      </c>
      <c r="J16" s="21" t="s">
        <v>97</v>
      </c>
      <c r="K16" s="21" t="s">
        <v>97</v>
      </c>
      <c r="L16" s="21" t="s">
        <v>97</v>
      </c>
      <c r="M16" s="21" t="s">
        <v>97</v>
      </c>
      <c r="N16" s="21" t="s">
        <v>97</v>
      </c>
      <c r="O16" s="21" t="s">
        <v>97</v>
      </c>
      <c r="P16" s="21" t="s">
        <v>97</v>
      </c>
      <c r="Q16" s="21" t="s">
        <v>97</v>
      </c>
      <c r="R16" s="21" t="s">
        <v>97</v>
      </c>
      <c r="S16" s="21" t="s">
        <v>97</v>
      </c>
      <c r="T16" s="21" t="s">
        <v>97</v>
      </c>
      <c r="U16" s="21" t="s">
        <v>97</v>
      </c>
      <c r="V16" s="21" t="s">
        <v>97</v>
      </c>
      <c r="W16" s="21" t="s">
        <v>97</v>
      </c>
      <c r="X16" s="21" t="s">
        <v>97</v>
      </c>
      <c r="Y16" s="21" t="s">
        <v>97</v>
      </c>
      <c r="Z16" s="21" t="s">
        <v>97</v>
      </c>
      <c r="AA16" s="21" t="s">
        <v>97</v>
      </c>
      <c r="AB16" s="21" t="s">
        <v>97</v>
      </c>
      <c r="AC16" s="21" t="s">
        <v>97</v>
      </c>
      <c r="AD16" s="21" t="s">
        <v>97</v>
      </c>
      <c r="AE16" s="21" t="s">
        <v>97</v>
      </c>
      <c r="AF16" s="21" t="s">
        <v>97</v>
      </c>
      <c r="AG16" s="21">
        <v>23.2</v>
      </c>
      <c r="AH16" s="21">
        <v>15.3</v>
      </c>
      <c r="AI16" s="21">
        <v>17.2</v>
      </c>
      <c r="AJ16" s="21">
        <v>20.8</v>
      </c>
      <c r="AK16" s="21">
        <v>20.9</v>
      </c>
      <c r="AL16" s="21">
        <v>20</v>
      </c>
      <c r="AM16" s="21">
        <v>18.7</v>
      </c>
      <c r="AN16" s="21">
        <v>23.7</v>
      </c>
      <c r="AO16" s="21">
        <v>20.7</v>
      </c>
      <c r="AP16" s="21">
        <v>22</v>
      </c>
    </row>
    <row r="17" spans="1:42" x14ac:dyDescent="0.25">
      <c r="A17" s="16" t="s">
        <v>100</v>
      </c>
      <c r="B17" s="16"/>
      <c r="C17" s="19" t="s">
        <v>97</v>
      </c>
      <c r="D17" s="19" t="s">
        <v>97</v>
      </c>
      <c r="E17" s="19" t="s">
        <v>97</v>
      </c>
      <c r="F17" s="19" t="s">
        <v>97</v>
      </c>
      <c r="G17" s="19" t="s">
        <v>97</v>
      </c>
      <c r="H17" s="19" t="s">
        <v>97</v>
      </c>
      <c r="I17" s="19" t="s">
        <v>97</v>
      </c>
      <c r="J17" s="19" t="s">
        <v>97</v>
      </c>
      <c r="K17" s="19" t="s">
        <v>97</v>
      </c>
      <c r="L17" s="19" t="s">
        <v>97</v>
      </c>
      <c r="M17" s="19" t="s">
        <v>97</v>
      </c>
      <c r="N17" s="19" t="s">
        <v>97</v>
      </c>
      <c r="O17" s="19" t="s">
        <v>97</v>
      </c>
      <c r="P17" s="19" t="s">
        <v>97</v>
      </c>
      <c r="Q17" s="19" t="s">
        <v>97</v>
      </c>
      <c r="R17" s="19" t="s">
        <v>97</v>
      </c>
      <c r="S17" s="19" t="s">
        <v>97</v>
      </c>
      <c r="T17" s="19" t="s">
        <v>97</v>
      </c>
      <c r="U17" s="19" t="s">
        <v>97</v>
      </c>
      <c r="V17" s="19" t="s">
        <v>97</v>
      </c>
      <c r="W17" s="19" t="s">
        <v>97</v>
      </c>
      <c r="X17" s="19" t="s">
        <v>97</v>
      </c>
      <c r="Y17" s="19" t="s">
        <v>97</v>
      </c>
      <c r="Z17" s="19" t="s">
        <v>97</v>
      </c>
      <c r="AA17" s="19" t="s">
        <v>97</v>
      </c>
      <c r="AB17" s="19" t="s">
        <v>97</v>
      </c>
      <c r="AC17" s="19" t="s">
        <v>97</v>
      </c>
      <c r="AD17" s="19" t="s">
        <v>97</v>
      </c>
      <c r="AE17" s="19" t="s">
        <v>97</v>
      </c>
      <c r="AF17" s="19" t="s">
        <v>97</v>
      </c>
      <c r="AG17" s="19" t="s">
        <v>97</v>
      </c>
      <c r="AH17" s="19">
        <v>13</v>
      </c>
      <c r="AI17" s="19">
        <v>15</v>
      </c>
      <c r="AJ17" s="19" t="s">
        <v>97</v>
      </c>
      <c r="AK17" s="19">
        <v>-16</v>
      </c>
      <c r="AL17" s="19">
        <v>21</v>
      </c>
      <c r="AM17" s="19">
        <v>22</v>
      </c>
      <c r="AN17" s="19">
        <v>25</v>
      </c>
      <c r="AO17" s="19" t="s">
        <v>97</v>
      </c>
      <c r="AP17" s="19">
        <v>23</v>
      </c>
    </row>
    <row r="18" spans="1:42" x14ac:dyDescent="0.25">
      <c r="A18" s="16" t="s">
        <v>101</v>
      </c>
      <c r="B18" s="16"/>
      <c r="C18" s="19" t="s">
        <v>97</v>
      </c>
      <c r="D18" s="19" t="s">
        <v>97</v>
      </c>
      <c r="E18" s="19" t="s">
        <v>97</v>
      </c>
      <c r="F18" s="19" t="s">
        <v>97</v>
      </c>
      <c r="G18" s="19" t="s">
        <v>97</v>
      </c>
      <c r="H18" s="19" t="s">
        <v>97</v>
      </c>
      <c r="I18" s="19" t="s">
        <v>97</v>
      </c>
      <c r="J18" s="19" t="s">
        <v>97</v>
      </c>
      <c r="K18" s="19" t="s">
        <v>97</v>
      </c>
      <c r="L18" s="19" t="s">
        <v>97</v>
      </c>
      <c r="M18" s="19" t="s">
        <v>97</v>
      </c>
      <c r="N18" s="19" t="s">
        <v>97</v>
      </c>
      <c r="O18" s="19" t="s">
        <v>97</v>
      </c>
      <c r="P18" s="19" t="s">
        <v>97</v>
      </c>
      <c r="Q18" s="19" t="s">
        <v>97</v>
      </c>
      <c r="R18" s="19" t="s">
        <v>97</v>
      </c>
      <c r="S18" s="19" t="s">
        <v>97</v>
      </c>
      <c r="T18" s="19" t="s">
        <v>97</v>
      </c>
      <c r="U18" s="19">
        <v>11.8</v>
      </c>
      <c r="V18" s="19">
        <v>20.3</v>
      </c>
      <c r="W18" s="19">
        <v>-106.7</v>
      </c>
      <c r="X18" s="19">
        <v>-4.0999999999999996</v>
      </c>
      <c r="Y18" s="19">
        <v>2.7</v>
      </c>
      <c r="Z18" s="19">
        <v>29</v>
      </c>
      <c r="AA18" s="19">
        <v>29</v>
      </c>
      <c r="AB18" s="19">
        <v>25</v>
      </c>
      <c r="AC18" s="19">
        <v>5.48</v>
      </c>
      <c r="AD18" s="19">
        <v>8</v>
      </c>
      <c r="AE18" s="19">
        <v>12</v>
      </c>
      <c r="AF18" s="19">
        <v>17</v>
      </c>
      <c r="AG18" s="19">
        <v>11.52</v>
      </c>
      <c r="AH18" s="19">
        <v>2</v>
      </c>
      <c r="AI18" s="19">
        <v>12</v>
      </c>
      <c r="AJ18" s="19">
        <v>22</v>
      </c>
      <c r="AK18" s="19">
        <v>12</v>
      </c>
      <c r="AL18" s="19">
        <v>4</v>
      </c>
      <c r="AM18" s="19">
        <v>6</v>
      </c>
      <c r="AN18" s="19">
        <v>4</v>
      </c>
      <c r="AO18" s="19" t="s">
        <v>97</v>
      </c>
      <c r="AP18" s="19">
        <v>-20</v>
      </c>
    </row>
    <row r="19" spans="1:42" x14ac:dyDescent="0.25">
      <c r="A19" s="16" t="s">
        <v>102</v>
      </c>
      <c r="B19" s="16" t="s">
        <v>103</v>
      </c>
      <c r="C19" s="19">
        <f>_xll.BDH("TSLA US Equity","EBITDA_TO_REVENUE","FQ2 2011","FQ2 2011","Currency=USD","Period=FQ","BEST_FPERIOD_OVERRIDE=FQ","FILING_STATUS=MR","FA_ADJUSTED=GAAP","Sort=A","Dates=H","DateFormat=P","Fill=—","Direction=H","UseDPDF=Y")</f>
        <v>-93.5535</v>
      </c>
      <c r="D19" s="19">
        <f>_xll.BDH("TSLA US Equity","EBITDA_TO_REVENUE","FQ3 2011","FQ3 2011","Currency=USD","Period=FQ","BEST_FPERIOD_OVERRIDE=FQ","FILING_STATUS=MR","FA_ADJUSTED=GAAP","Sort=A","Dates=H","DateFormat=P","Fill=—","Direction=H","UseDPDF=Y")</f>
        <v>-104.3891</v>
      </c>
      <c r="E19" s="19">
        <f>_xll.BDH("TSLA US Equity","EBITDA_TO_REVENUE","FQ4 2011","FQ4 2011","Currency=USD","Period=FQ","BEST_FPERIOD_OVERRIDE=FQ","FILING_STATUS=MR","FA_ADJUSTED=GAAP","Sort=A","Dates=H","DateFormat=P","Fill=—","Direction=H","UseDPDF=Y")</f>
        <v>-193.32830000000001</v>
      </c>
      <c r="F19" s="19">
        <f>_xll.BDH("TSLA US Equity","EBITDA_TO_REVENUE","FQ1 2012","FQ1 2012","Currency=USD","Period=FQ","BEST_FPERIOD_OVERRIDE=FQ","FILING_STATUS=MR","FA_ADJUSTED=GAAP","Sort=A","Dates=H","DateFormat=P","Fill=—","Direction=H","UseDPDF=Y")</f>
        <v>-280.43889999999999</v>
      </c>
      <c r="G19" s="19">
        <f>_xll.BDH("TSLA US Equity","EBITDA_TO_REVENUE","FQ2 2012","FQ2 2012","Currency=USD","Period=FQ","BEST_FPERIOD_OVERRIDE=FQ","FILING_STATUS=MR","FA_ADJUSTED=GAAP","Sort=A","Dates=H","DateFormat=P","Fill=—","Direction=H","UseDPDF=Y")</f>
        <v>-382.04700000000003</v>
      </c>
      <c r="H19" s="19">
        <f>_xll.BDH("TSLA US Equity","EBITDA_TO_REVENUE","FQ3 2012","FQ3 2012","Currency=USD","Period=FQ","BEST_FPERIOD_OVERRIDE=FQ","FILING_STATUS=MR","FA_ADJUSTED=GAAP","Sort=A","Dates=H","DateFormat=P","Fill=—","Direction=H","UseDPDF=Y")</f>
        <v>-201.45699999999999</v>
      </c>
      <c r="I19" s="19">
        <f>_xll.BDH("TSLA US Equity","EBITDA_TO_REVENUE","FQ4 2012","FQ4 2012","Currency=USD","Period=FQ","BEST_FPERIOD_OVERRIDE=FQ","FILING_STATUS=MR","FA_ADJUSTED=GAAP","Sort=A","Dates=H","DateFormat=P","Fill=—","Direction=H","UseDPDF=Y")</f>
        <v>-25.4923</v>
      </c>
      <c r="J19" s="19">
        <f>_xll.BDH("TSLA US Equity","EBITDA_TO_REVENUE","FQ1 2013","FQ1 2013","Currency=USD","Period=FQ","BEST_FPERIOD_OVERRIDE=FQ","FILING_STATUS=MR","FA_ADJUSTED=GAAP","Sort=A","Dates=H","DateFormat=P","Fill=—","Direction=H","UseDPDF=Y")</f>
        <v>2.1833999999999998</v>
      </c>
      <c r="K19" s="19">
        <f>_xll.BDH("TSLA US Equity","EBITDA_TO_REVENUE","FQ2 2013","FQ2 2013","Currency=USD","Period=FQ","BEST_FPERIOD_OVERRIDE=FQ","FILING_STATUS=MR","FA_ADJUSTED=GAAP","Sort=A","Dates=H","DateFormat=P","Fill=—","Direction=H","UseDPDF=Y")</f>
        <v>6.9744000000000002</v>
      </c>
      <c r="L19" s="19">
        <f>_xll.BDH("TSLA US Equity","EBITDA_TO_REVENUE","FQ3 2013","FQ3 2013","Currency=USD","Period=FQ","BEST_FPERIOD_OVERRIDE=FQ","FILING_STATUS=MR","FA_ADJUSTED=GAAP","Sort=A","Dates=H","DateFormat=P","Fill=—","Direction=H","UseDPDF=Y")</f>
        <v>-0.48780000000000001</v>
      </c>
      <c r="M19" s="19">
        <f>_xll.BDH("TSLA US Equity","EBITDA_TO_REVENUE","FQ4 2013","FQ4 2013","Currency=USD","Period=FQ","BEST_FPERIOD_OVERRIDE=FQ","FILING_STATUS=MR","FA_ADJUSTED=GAAP","Sort=A","Dates=H","DateFormat=P","Fill=—","Direction=H","UseDPDF=Y")</f>
        <v>3.9388000000000001</v>
      </c>
      <c r="N19" s="19">
        <f>_xll.BDH("TSLA US Equity","EBITDA_TO_REVENUE","FQ1 2014","FQ1 2014","Currency=USD","Period=FQ","BEST_FPERIOD_OVERRIDE=FQ","FILING_STATUS=MR","FA_ADJUSTED=GAAP","Sort=A","Dates=H","DateFormat=P","Fill=—","Direction=H","UseDPDF=Y")</f>
        <v>4.8500000000000001E-2</v>
      </c>
      <c r="O19" s="19">
        <f>_xll.BDH("TSLA US Equity","EBITDA_TO_REVENUE","FQ2 2014","FQ2 2014","Currency=USD","Period=FQ","BEST_FPERIOD_OVERRIDE=FQ","FILING_STATUS=MR","FA_ADJUSTED=GAAP","Sort=A","Dates=H","DateFormat=P","Fill=—","Direction=H","UseDPDF=Y")</f>
        <v>3.3744999999999998</v>
      </c>
      <c r="P19" s="19">
        <f>_xll.BDH("TSLA US Equity","EBITDA_TO_REVENUE","FQ3 2014","FQ3 2014","Currency=USD","Period=FQ","BEST_FPERIOD_OVERRIDE=FQ","FILING_STATUS=MR","FA_ADJUSTED=GAAP","Sort=A","Dates=H","DateFormat=P","Fill=—","Direction=H","UseDPDF=Y")</f>
        <v>3.0339</v>
      </c>
      <c r="Q19" s="19">
        <f>_xll.BDH("TSLA US Equity","EBITDA_TO_REVENUE","FQ4 2014","FQ4 2014","Currency=USD","Period=FQ","BEST_FPERIOD_OVERRIDE=FQ","FILING_STATUS=MR","FA_ADJUSTED=GAAP","Sort=A","Dates=H","DateFormat=P","Fill=—","Direction=H","UseDPDF=Y")</f>
        <v>-0.71730000000000005</v>
      </c>
      <c r="R19" s="19">
        <f>_xll.BDH("TSLA US Equity","EBITDA_TO_REVENUE","FQ1 2015","FQ1 2015","Currency=USD","Period=FQ","BEST_FPERIOD_OVERRIDE=FQ","FILING_STATUS=MR","FA_ADJUSTED=GAAP","Sort=A","Dates=H","DateFormat=P","Fill=—","Direction=H","UseDPDF=Y")</f>
        <v>-2.6955</v>
      </c>
      <c r="S19" s="19">
        <f>_xll.BDH("TSLA US Equity","EBITDA_TO_REVENUE","FQ2 2015","FQ2 2015","Currency=USD","Period=FQ","BEST_FPERIOD_OVERRIDE=FQ","FILING_STATUS=MR","FA_ADJUSTED=GAAP","Sort=A","Dates=H","DateFormat=P","Fill=—","Direction=H","UseDPDF=Y")</f>
        <v>-8.2514000000000003</v>
      </c>
      <c r="T19" s="19">
        <f>_xll.BDH("TSLA US Equity","EBITDA_TO_REVENUE","FQ3 2015","FQ3 2015","Currency=USD","Period=FQ","BEST_FPERIOD_OVERRIDE=FQ","FILING_STATUS=MR","FA_ADJUSTED=GAAP","Sort=A","Dates=H","DateFormat=P","Fill=—","Direction=H","UseDPDF=Y")</f>
        <v>-7.8242000000000003</v>
      </c>
      <c r="U19" s="19">
        <f>_xll.BDH("TSLA US Equity","EBITDA_TO_REVENUE","FQ4 2015","FQ4 2015","Currency=USD","Period=FQ","BEST_FPERIOD_OVERRIDE=FQ","FILING_STATUS=MR","FA_ADJUSTED=GAAP","Sort=A","Dates=H","DateFormat=P","Fill=—","Direction=H","UseDPDF=Y")</f>
        <v>-9.6023999999999994</v>
      </c>
      <c r="V19" s="19">
        <f>_xll.BDH("TSLA US Equity","EBITDA_TO_REVENUE","FQ1 2016","FQ1 2016","Currency=USD","Period=FQ","BEST_FPERIOD_OVERRIDE=FQ","FILING_STATUS=MR","FA_ADJUSTED=GAAP","Sort=A","Dates=H","DateFormat=P","Fill=—","Direction=H","UseDPDF=Y")</f>
        <v>-8</v>
      </c>
      <c r="W19" s="19">
        <f>_xll.BDH("TSLA US Equity","EBITDA_TO_REVENUE","FQ2 2016","FQ2 2016","Currency=USD","Period=FQ","BEST_FPERIOD_OVERRIDE=FQ","FILING_STATUS=MR","FA_ADJUSTED=GAAP","Sort=A","Dates=H","DateFormat=P","Fill=—","Direction=H","UseDPDF=Y")</f>
        <v>-4.3155000000000001</v>
      </c>
      <c r="X19" s="19">
        <f>_xll.BDH("TSLA US Equity","EBITDA_TO_REVENUE","FQ3 2016","FQ3 2016","Currency=USD","Period=FQ","BEST_FPERIOD_OVERRIDE=FQ","FILING_STATUS=MR","FA_ADJUSTED=GAAP","Sort=A","Dates=H","DateFormat=P","Fill=—","Direction=H","UseDPDF=Y")</f>
        <v>15.9278</v>
      </c>
      <c r="Y19" s="19">
        <f>_xll.BDH("TSLA US Equity","EBITDA_TO_REVENUE","FQ4 2016","FQ4 2016","Currency=USD","Period=FQ","BEST_FPERIOD_OVERRIDE=FQ","FILING_STATUS=MR","FA_ADJUSTED=GAAP","Sort=A","Dates=H","DateFormat=P","Fill=—","Direction=H","UseDPDF=Y")</f>
        <v>2.6368</v>
      </c>
      <c r="Z19" s="19">
        <f>_xll.BDH("TSLA US Equity","EBITDA_TO_REVENUE","FQ1 2017","FQ1 2017","Currency=USD","Period=FQ","BEST_FPERIOD_OVERRIDE=FQ","FILING_STATUS=MR","FA_ADJUSTED=GAAP","Sort=A","Dates=H","DateFormat=P","Fill=—","Direction=H","UseDPDF=Y")</f>
        <v>4.4154999999999998</v>
      </c>
      <c r="AA19" s="19">
        <f>_xll.BDH("TSLA US Equity","EBITDA_TO_REVENUE","FQ2 2017","FQ2 2017","Currency=USD","Period=FQ","BEST_FPERIOD_OVERRIDE=FQ","FILING_STATUS=MR","FA_ADJUSTED=GAAP","Sort=A","Dates=H","DateFormat=P","Fill=—","Direction=H","UseDPDF=Y")</f>
        <v>5.3146000000000004</v>
      </c>
      <c r="AB19" s="19">
        <f>_xll.BDH("TSLA US Equity","EBITDA_TO_REVENUE","FQ3 2017","FQ3 2017","Currency=USD","Period=FQ","BEST_FPERIOD_OVERRIDE=FQ","FILING_STATUS=MR","FA_ADJUSTED=GAAP","Sort=A","Dates=H","DateFormat=P","Fill=—","Direction=H","UseDPDF=Y")</f>
        <v>-4.5183</v>
      </c>
      <c r="AC19" s="19">
        <f>_xll.BDH("TSLA US Equity","EBITDA_TO_REVENUE","FQ4 2017","FQ4 2017","Currency=USD","Period=FQ","BEST_FPERIOD_OVERRIDE=FQ","FILING_STATUS=MR","FA_ADJUSTED=GAAP","Sort=A","Dates=H","DateFormat=P","Fill=—","Direction=H","UseDPDF=Y")</f>
        <v>-3.9089</v>
      </c>
      <c r="AD19" s="19">
        <f>_xll.BDH("TSLA US Equity","EBITDA_TO_REVENUE","FQ1 2018","FQ1 2018","Currency=USD","Period=FQ","BEST_FPERIOD_OVERRIDE=FQ","FILING_STATUS=MR","FA_ADJUSTED=GAAP","Sort=A","Dates=H","DateFormat=P","Fill=—","Direction=H","UseDPDF=Y")</f>
        <v>-5.3022999999999998</v>
      </c>
      <c r="AE19" s="19">
        <f>_xll.BDH("TSLA US Equity","EBITDA_TO_REVENUE","FQ2 2018","FQ2 2018","Currency=USD","Period=FQ","BEST_FPERIOD_OVERRIDE=FQ","FILING_STATUS=MR","FA_ADJUSTED=GAAP","Sort=A","Dates=H","DateFormat=P","Fill=—","Direction=H","UseDPDF=Y")</f>
        <v>-3.4015</v>
      </c>
      <c r="AF19" s="19">
        <f>_xll.BDH("TSLA US Equity","EBITDA_TO_REVENUE","FQ3 2018","FQ3 2018","Currency=USD","Period=FQ","BEST_FPERIOD_OVERRIDE=FQ","FILING_STATUS=MR","FA_ADJUSTED=GAAP","Sort=A","Dates=H","DateFormat=P","Fill=—","Direction=H","UseDPDF=Y")</f>
        <v>13.4749</v>
      </c>
      <c r="AG19" s="19">
        <f>_xll.BDH("TSLA US Equity","EBITDA_TO_REVENUE","FQ4 2018","FQ4 2018","Currency=USD","Period=FQ","BEST_FPERIOD_OVERRIDE=FQ","FILING_STATUS=MR","FA_ADJUSTED=GAAP","Sort=A","Dates=H","DateFormat=P","Fill=—","Direction=H","UseDPDF=Y")</f>
        <v>12.5974</v>
      </c>
      <c r="AH19" s="19">
        <f>_xll.BDH("TSLA US Equity","EBITDA_TO_REVENUE","FQ1 2019","FQ1 2019","Currency=USD","Period=FQ","BEST_FPERIOD_OVERRIDE=FQ","FILING_STATUS=MR","FA_ADJUSTED=GAAP","Sort=A","Dates=H","DateFormat=P","Fill=—","Direction=H","UseDPDF=Y")</f>
        <v>1.7737000000000001</v>
      </c>
      <c r="AI19" s="19">
        <f>_xll.BDH("TSLA US Equity","EBITDA_TO_REVENUE","FQ2 2019","FQ2 2019","Currency=USD","Period=FQ","BEST_FPERIOD_OVERRIDE=FQ","FILING_STATUS=MR","FA_ADJUSTED=GAAP","Sort=A","Dates=H","DateFormat=P","Fill=—","Direction=H","UseDPDF=Y")</f>
        <v>8.1455000000000002</v>
      </c>
      <c r="AJ19" s="19">
        <f>_xll.BDH("TSLA US Equity","EBITDA_TO_REVENUE","FQ3 2019","FQ3 2019","Currency=USD","Period=FQ","BEST_FPERIOD_OVERRIDE=FQ","FILING_STATUS=MR","FA_ADJUSTED=GAAP","Sort=A","Dates=H","DateFormat=P","Fill=—","Direction=H","UseDPDF=Y")</f>
        <v>14.308299999999999</v>
      </c>
      <c r="AK19" s="19">
        <f>_xll.BDH("TSLA US Equity","EBITDA_TO_REVENUE","FQ4 2019","FQ4 2019","Currency=USD","Period=FQ","BEST_FPERIOD_OVERRIDE=FQ","FILING_STATUS=MR","FA_ADJUSTED=GAAP","Sort=A","Dates=H","DateFormat=P","Fill=—","Direction=H","UseDPDF=Y")</f>
        <v>14.152200000000001</v>
      </c>
      <c r="AL19" s="19">
        <f>_xll.BDH("TSLA US Equity","EBITDA_TO_REVENUE","FQ1 2020","FQ1 2020","Currency=USD","Period=FQ","BEST_FPERIOD_OVERRIDE=FQ","FILING_STATUS=MR","FA_ADJUSTED=GAAP","Sort=A","Dates=H","DateFormat=P","Fill=—","Direction=H","UseDPDF=Y")</f>
        <v>17.0593</v>
      </c>
      <c r="AM19" s="19">
        <f>_xll.BDH("TSLA US Equity","EBITDA_TO_REVENUE","FQ2 2020","FQ2 2020","Currency=USD","Period=FQ","BEST_FPERIOD_OVERRIDE=FQ","FILING_STATUS=MR","FA_ADJUSTED=GAAP","Sort=A","Dates=H","DateFormat=P","Fill=—","Direction=H","UseDPDF=Y")</f>
        <v>17.362500000000001</v>
      </c>
      <c r="AN19" s="19">
        <f>_xll.BDH("TSLA US Equity","EBITDA_TO_REVENUE","FQ3 2020","FQ3 2020","Currency=USD","Period=FQ","BEST_FPERIOD_OVERRIDE=FQ","FILING_STATUS=MR","FA_ADJUSTED=GAAP","Sort=A","Dates=H","DateFormat=P","Fill=—","Direction=H","UseDPDF=Y")</f>
        <v>16.7028</v>
      </c>
      <c r="AO19" s="19">
        <f>_xll.BDH("TSLA US Equity","EBITDA_TO_REVENUE","FQ4 2020","FQ4 2020","Currency=USD","Period=FQ","BEST_FPERIOD_OVERRIDE=FQ","FILING_STATUS=MR","FA_ADJUSTED=GAAP","Sort=A","Dates=H","DateFormat=P","Fill=—","Direction=H","UseDPDF=Y")</f>
        <v>11.4762</v>
      </c>
      <c r="AP19" s="19">
        <f>_xll.BDH("TSLA US Equity","EBITDA_TO_REVENUE","FQ1 2021","FQ1 2021","Currency=USD","Period=FQ","BEST_FPERIOD_OVERRIDE=FQ","FILING_STATUS=MR","FA_ADJUSTED=GAAP","Sort=A","Dates=H","DateFormat=P","Fill=—","Direction=H","UseDPDF=Y")</f>
        <v>11.6951</v>
      </c>
    </row>
    <row r="20" spans="1:42" x14ac:dyDescent="0.25">
      <c r="A20" s="17" t="s">
        <v>104</v>
      </c>
      <c r="B20" s="17" t="s">
        <v>103</v>
      </c>
      <c r="C20" s="22">
        <v>7.9820332153291504</v>
      </c>
      <c r="D20" s="22">
        <v>6.0844098800478799</v>
      </c>
      <c r="E20" s="22">
        <v>-43.884915142075997</v>
      </c>
      <c r="F20" s="22">
        <v>-213.71737328920901</v>
      </c>
      <c r="G20" s="22">
        <v>-308.37284967533401</v>
      </c>
      <c r="H20" s="22">
        <v>-92.986654502940894</v>
      </c>
      <c r="I20" s="22">
        <v>86.813993571782802</v>
      </c>
      <c r="J20" s="22" t="s">
        <v>97</v>
      </c>
      <c r="K20" s="22" t="s">
        <v>97</v>
      </c>
      <c r="L20" s="22">
        <v>99.757876334583997</v>
      </c>
      <c r="M20" s="22" t="s">
        <v>97</v>
      </c>
      <c r="N20" s="22">
        <v>-97.778388454544995</v>
      </c>
      <c r="O20" s="22">
        <v>-51.615293998218597</v>
      </c>
      <c r="P20" s="22" t="s">
        <v>97</v>
      </c>
      <c r="Q20" s="22" t="s">
        <v>97</v>
      </c>
      <c r="R20" s="22" t="s">
        <v>97</v>
      </c>
      <c r="S20" s="22" t="s">
        <v>97</v>
      </c>
      <c r="T20" s="22" t="s">
        <v>97</v>
      </c>
      <c r="U20" s="22">
        <v>-1238.71830762067</v>
      </c>
      <c r="V20" s="22">
        <v>-196.79697267617601</v>
      </c>
      <c r="W20" s="22">
        <v>47.699460407503601</v>
      </c>
      <c r="X20" s="22" t="s">
        <v>97</v>
      </c>
      <c r="Y20" s="22" t="s">
        <v>97</v>
      </c>
      <c r="Z20" s="22" t="s">
        <v>97</v>
      </c>
      <c r="AA20" s="22" t="s">
        <v>97</v>
      </c>
      <c r="AB20" s="22" t="s">
        <v>97</v>
      </c>
      <c r="AC20" s="22" t="s">
        <v>97</v>
      </c>
      <c r="AD20" s="22" t="s">
        <v>97</v>
      </c>
      <c r="AE20" s="22" t="s">
        <v>97</v>
      </c>
      <c r="AF20" s="22" t="s">
        <v>97</v>
      </c>
      <c r="AG20" s="22" t="s">
        <v>97</v>
      </c>
      <c r="AH20" s="22" t="s">
        <v>97</v>
      </c>
      <c r="AI20" s="22" t="s">
        <v>97</v>
      </c>
      <c r="AJ20" s="22">
        <v>6.1847935211038498</v>
      </c>
      <c r="AK20" s="22">
        <v>12.342289035239901</v>
      </c>
      <c r="AL20" s="22">
        <v>861.81589788781002</v>
      </c>
      <c r="AM20" s="22">
        <v>113.15351455165499</v>
      </c>
      <c r="AN20" s="22">
        <v>16.7349790841416</v>
      </c>
      <c r="AO20" s="22">
        <v>-18.9090320169534</v>
      </c>
      <c r="AP20" s="22">
        <v>-31.444715101397701</v>
      </c>
    </row>
    <row r="21" spans="1:42" x14ac:dyDescent="0.25">
      <c r="A21" s="16" t="s">
        <v>105</v>
      </c>
      <c r="B21" s="16" t="s">
        <v>106</v>
      </c>
      <c r="C21" s="19">
        <f>_xll.BDH("TSLA US Equity","OPER_MARGIN","FQ2 2011","FQ2 2011","Currency=USD","Period=FQ","BEST_FPERIOD_OVERRIDE=FQ","FILING_STATUS=MR","FA_ADJUSTED=GAAP","Sort=A","Dates=H","DateFormat=P","Fill=—","Direction=H","UseDPDF=Y")</f>
        <v>-100.9764</v>
      </c>
      <c r="D21" s="19">
        <f>_xll.BDH("TSLA US Equity","OPER_MARGIN","FQ3 2011","FQ3 2011","Currency=USD","Period=FQ","BEST_FPERIOD_OVERRIDE=FQ","FILING_STATUS=MR","FA_ADJUSTED=GAAP","Sort=A","Dates=H","DateFormat=P","Fill=—","Direction=H","UseDPDF=Y")</f>
        <v>-111.8111</v>
      </c>
      <c r="E21" s="19">
        <f>_xll.BDH("TSLA US Equity","OPER_MARGIN","FQ4 2011","FQ4 2011","Currency=USD","Period=FQ","BEST_FPERIOD_OVERRIDE=FQ","FILING_STATUS=MR","FA_ADJUSTED=GAAP","Sort=A","Dates=H","DateFormat=P","Fill=—","Direction=H","UseDPDF=Y")</f>
        <v>-205.52889999999999</v>
      </c>
      <c r="F21" s="19">
        <f>_xll.BDH("TSLA US Equity","OPER_MARGIN","FQ1 2012","FQ1 2012","Currency=USD","Period=FQ","BEST_FPERIOD_OVERRIDE=FQ","FILING_STATUS=MR","FA_ADJUSTED=GAAP","Sort=A","Dates=H","DateFormat=P","Fill=—","Direction=H","UseDPDF=Y")</f>
        <v>-294.23869999999999</v>
      </c>
      <c r="G21" s="19">
        <f>_xll.BDH("TSLA US Equity","OPER_MARGIN","FQ2 2012","FQ2 2012","Currency=USD","Period=FQ","BEST_FPERIOD_OVERRIDE=FQ","FILING_STATUS=MR","FA_ADJUSTED=GAAP","Sort=A","Dates=H","DateFormat=P","Fill=—","Direction=H","UseDPDF=Y")</f>
        <v>-398.36040000000003</v>
      </c>
      <c r="H21" s="19">
        <f>_xll.BDH("TSLA US Equity","OPER_MARGIN","FQ3 2012","FQ3 2012","Currency=USD","Period=FQ","BEST_FPERIOD_OVERRIDE=FQ","FILING_STATUS=MR","FA_ADJUSTED=GAAP","Sort=A","Dates=H","DateFormat=P","Fill=—","Direction=H","UseDPDF=Y")</f>
        <v>-216.46969999999999</v>
      </c>
      <c r="I21" s="19">
        <f>_xll.BDH("TSLA US Equity","OPER_MARGIN","FQ4 2012","FQ4 2012","Currency=USD","Period=FQ","BEST_FPERIOD_OVERRIDE=FQ","FILING_STATUS=MR","FA_ADJUSTED=GAAP","Sort=A","Dates=H","DateFormat=P","Fill=—","Direction=H","UseDPDF=Y")</f>
        <v>-29.668099999999999</v>
      </c>
      <c r="J21" s="19">
        <f>_xll.BDH("TSLA US Equity","OPER_MARGIN","FQ1 2013","FQ1 2013","Currency=USD","Period=FQ","BEST_FPERIOD_OVERRIDE=FQ","FILING_STATUS=MR","FA_ADJUSTED=GAAP","Sort=A","Dates=H","DateFormat=P","Fill=—","Direction=H","UseDPDF=Y")</f>
        <v>-0.99399999999999999</v>
      </c>
      <c r="K21" s="19">
        <f>_xll.BDH("TSLA US Equity","OPER_MARGIN","FQ2 2013","FQ2 2013","Currency=USD","Period=FQ","BEST_FPERIOD_OVERRIDE=FQ","FILING_STATUS=MR","FA_ADJUSTED=GAAP","Sort=A","Dates=H","DateFormat=P","Fill=—","Direction=H","UseDPDF=Y")</f>
        <v>-2.9106000000000001</v>
      </c>
      <c r="L21" s="19">
        <f>_xll.BDH("TSLA US Equity","OPER_MARGIN","FQ3 2013","FQ3 2013","Currency=USD","Period=FQ","BEST_FPERIOD_OVERRIDE=FQ","FILING_STATUS=MR","FA_ADJUSTED=GAAP","Sort=A","Dates=H","DateFormat=P","Fill=—","Direction=H","UseDPDF=Y")</f>
        <v>-7.0834000000000001</v>
      </c>
      <c r="M21" s="19">
        <f>_xll.BDH("TSLA US Equity","OPER_MARGIN","FQ4 2013","FQ4 2013","Currency=USD","Period=FQ","BEST_FPERIOD_OVERRIDE=FQ","FILING_STATUS=MR","FA_ADJUSTED=GAAP","Sort=A","Dates=H","DateFormat=P","Fill=—","Direction=H","UseDPDF=Y")</f>
        <v>-2.1703999999999999</v>
      </c>
      <c r="N21" s="19">
        <f>_xll.BDH("TSLA US Equity","OPER_MARGIN","FQ1 2014","FQ1 2014","Currency=USD","Period=FQ","BEST_FPERIOD_OVERRIDE=FQ","FILING_STATUS=MR","FA_ADJUSTED=GAAP","Sort=A","Dates=H","DateFormat=P","Fill=—","Direction=H","UseDPDF=Y")</f>
        <v>-7.0853000000000002</v>
      </c>
      <c r="O21" s="19">
        <f>_xll.BDH("TSLA US Equity","OPER_MARGIN","FQ2 2014","FQ2 2014","Currency=USD","Period=FQ","BEST_FPERIOD_OVERRIDE=FQ","FILING_STATUS=MR","FA_ADJUSTED=GAAP","Sort=A","Dates=H","DateFormat=P","Fill=—","Direction=H","UseDPDF=Y")</f>
        <v>-3.7372999999999998</v>
      </c>
      <c r="P21" s="19">
        <f>_xll.BDH("TSLA US Equity","OPER_MARGIN","FQ3 2014","FQ3 2014","Currency=USD","Period=FQ","BEST_FPERIOD_OVERRIDE=FQ","FILING_STATUS=MR","FA_ADJUSTED=GAAP","Sort=A","Dates=H","DateFormat=P","Fill=—","Direction=H","UseDPDF=Y")</f>
        <v>-4.5937000000000001</v>
      </c>
      <c r="Q21" s="19">
        <f>_xll.BDH("TSLA US Equity","OPER_MARGIN","FQ4 2014","FQ4 2014","Currency=USD","Period=FQ","BEST_FPERIOD_OVERRIDE=FQ","FILING_STATUS=MR","FA_ADJUSTED=GAAP","Sort=A","Dates=H","DateFormat=P","Fill=—","Direction=H","UseDPDF=Y")</f>
        <v>-7.8228</v>
      </c>
      <c r="R21" s="19">
        <f>_xll.BDH("TSLA US Equity","OPER_MARGIN","FQ1 2015","FQ1 2015","Currency=USD","Period=FQ","BEST_FPERIOD_OVERRIDE=FQ","FILING_STATUS=MR","FA_ADJUSTED=GAAP","Sort=A","Dates=H","DateFormat=P","Fill=—","Direction=H","UseDPDF=Y")</f>
        <v>-10.899900000000001</v>
      </c>
      <c r="S21" s="19">
        <f>_xll.BDH("TSLA US Equity","OPER_MARGIN","FQ2 2015","FQ2 2015","Currency=USD","Period=FQ","BEST_FPERIOD_OVERRIDE=FQ","FILING_STATUS=MR","FA_ADJUSTED=GAAP","Sort=A","Dates=H","DateFormat=P","Fill=—","Direction=H","UseDPDF=Y")</f>
        <v>-17.821200000000001</v>
      </c>
      <c r="T21" s="19">
        <f>_xll.BDH("TSLA US Equity","OPER_MARGIN","FQ3 2015","FQ3 2015","Currency=USD","Period=FQ","BEST_FPERIOD_OVERRIDE=FQ","FILING_STATUS=MR","FA_ADJUSTED=GAAP","Sort=A","Dates=H","DateFormat=P","Fill=—","Direction=H","UseDPDF=Y")</f>
        <v>-19.605499999999999</v>
      </c>
      <c r="U21" s="19">
        <f>_xll.BDH("TSLA US Equity","OPER_MARGIN","FQ4 2015","FQ4 2015","Currency=USD","Period=FQ","BEST_FPERIOD_OVERRIDE=FQ","FILING_STATUS=MR","FA_ADJUSTED=GAAP","Sort=A","Dates=H","DateFormat=P","Fill=—","Direction=H","UseDPDF=Y")</f>
        <v>-21.4375</v>
      </c>
      <c r="V21" s="19">
        <f>_xll.BDH("TSLA US Equity","OPER_MARGIN","FQ1 2016","FQ1 2016","Currency=USD","Period=FQ","BEST_FPERIOD_OVERRIDE=FQ","FILING_STATUS=MR","FA_ADJUSTED=GAAP","Sort=A","Dates=H","DateFormat=P","Fill=—","Direction=H","UseDPDF=Y")</f>
        <v>-21.6402</v>
      </c>
      <c r="W21" s="19">
        <f>_xll.BDH("TSLA US Equity","OPER_MARGIN","FQ2 2016","FQ2 2016","Currency=USD","Period=FQ","BEST_FPERIOD_OVERRIDE=FQ","FILING_STATUS=MR","FA_ADJUSTED=GAAP","Sort=A","Dates=H","DateFormat=P","Fill=—","Direction=H","UseDPDF=Y")</f>
        <v>-18.743099999999998</v>
      </c>
      <c r="X21" s="19">
        <f>_xll.BDH("TSLA US Equity","OPER_MARGIN","FQ3 2016","FQ3 2016","Currency=USD","Period=FQ","BEST_FPERIOD_OVERRIDE=FQ","FILING_STATUS=MR","FA_ADJUSTED=GAAP","Sort=A","Dates=H","DateFormat=P","Fill=—","Direction=H","UseDPDF=Y")</f>
        <v>3.7252000000000001</v>
      </c>
      <c r="Y21" s="19">
        <f>_xll.BDH("TSLA US Equity","OPER_MARGIN","FQ4 2016","FQ4 2016","Currency=USD","Period=FQ","BEST_FPERIOD_OVERRIDE=FQ","FILING_STATUS=MR","FA_ADJUSTED=GAAP","Sort=A","Dates=H","DateFormat=P","Fill=—","Direction=H","UseDPDF=Y")</f>
        <v>-11.6736</v>
      </c>
      <c r="Z21" s="19">
        <f>_xll.BDH("TSLA US Equity","OPER_MARGIN","FQ1 2017","FQ1 2017","Currency=USD","Period=FQ","BEST_FPERIOD_OVERRIDE=FQ","FILING_STATUS=MR","FA_ADJUSTED=GAAP","Sort=A","Dates=H","DateFormat=P","Fill=—","Direction=H","UseDPDF=Y")</f>
        <v>-9.5519999999999996</v>
      </c>
      <c r="AA21" s="19">
        <f>_xll.BDH("TSLA US Equity","OPER_MARGIN","FQ2 2017","FQ2 2017","Currency=USD","Period=FQ","BEST_FPERIOD_OVERRIDE=FQ","FILING_STATUS=MR","FA_ADJUSTED=GAAP","Sort=A","Dates=H","DateFormat=P","Fill=—","Direction=H","UseDPDF=Y")</f>
        <v>-8.6364000000000001</v>
      </c>
      <c r="AB21" s="19">
        <f>_xll.BDH("TSLA US Equity","OPER_MARGIN","FQ3 2017","FQ3 2017","Currency=USD","Period=FQ","BEST_FPERIOD_OVERRIDE=FQ","FILING_STATUS=MR","FA_ADJUSTED=GAAP","Sort=A","Dates=H","DateFormat=P","Fill=—","Direction=H","UseDPDF=Y")</f>
        <v>-17.940999999999999</v>
      </c>
      <c r="AC21" s="19">
        <f>_xll.BDH("TSLA US Equity","OPER_MARGIN","FQ4 2017","FQ4 2017","Currency=USD","Period=FQ","BEST_FPERIOD_OVERRIDE=FQ","FILING_STATUS=MR","FA_ADJUSTED=GAAP","Sort=A","Dates=H","DateFormat=P","Fill=—","Direction=H","UseDPDF=Y")</f>
        <v>-18.190300000000001</v>
      </c>
      <c r="AD21" s="19">
        <f>_xll.BDH("TSLA US Equity","OPER_MARGIN","FQ1 2018","FQ1 2018","Currency=USD","Period=FQ","BEST_FPERIOD_OVERRIDE=FQ","FILING_STATUS=MR","FA_ADJUSTED=GAAP","Sort=A","Dates=H","DateFormat=P","Fill=—","Direction=H","UseDPDF=Y")</f>
        <v>-17.513000000000002</v>
      </c>
      <c r="AE21" s="19">
        <f>_xll.BDH("TSLA US Equity","OPER_MARGIN","FQ2 2018","FQ2 2018","Currency=USD","Period=FQ","BEST_FPERIOD_OVERRIDE=FQ","FILING_STATUS=MR","FA_ADJUSTED=GAAP","Sort=A","Dates=H","DateFormat=P","Fill=—","Direction=H","UseDPDF=Y")</f>
        <v>-15.5261</v>
      </c>
      <c r="AF21" s="19">
        <f>_xll.BDH("TSLA US Equity","OPER_MARGIN","FQ3 2018","FQ3 2018","Currency=USD","Period=FQ","BEST_FPERIOD_OVERRIDE=FQ","FILING_STATUS=MR","FA_ADJUSTED=GAAP","Sort=A","Dates=H","DateFormat=P","Fill=—","Direction=H","UseDPDF=Y")</f>
        <v>6.1068999999999996</v>
      </c>
      <c r="AG21" s="19">
        <f>_xll.BDH("TSLA US Equity","OPER_MARGIN","FQ4 2018","FQ4 2018","Currency=USD","Period=FQ","BEST_FPERIOD_OVERRIDE=FQ","FILING_STATUS=MR","FA_ADJUSTED=GAAP","Sort=A","Dates=H","DateFormat=P","Fill=—","Direction=H","UseDPDF=Y")</f>
        <v>5.7229999999999999</v>
      </c>
      <c r="AH21" s="19">
        <f>_xll.BDH("TSLA US Equity","OPER_MARGIN","FQ1 2019","FQ1 2019","Currency=USD","Period=FQ","BEST_FPERIOD_OVERRIDE=FQ","FILING_STATUS=MR","FA_ADJUSTED=GAAP","Sort=A","Dates=H","DateFormat=P","Fill=—","Direction=H","UseDPDF=Y")</f>
        <v>-11.490399999999999</v>
      </c>
      <c r="AI21" s="19">
        <f>_xll.BDH("TSLA US Equity","OPER_MARGIN","FQ2 2019","FQ2 2019","Currency=USD","Period=FQ","BEST_FPERIOD_OVERRIDE=FQ","FILING_STATUS=MR","FA_ADJUSTED=GAAP","Sort=A","Dates=H","DateFormat=P","Fill=—","Direction=H","UseDPDF=Y")</f>
        <v>-2.6372999999999998</v>
      </c>
      <c r="AJ21" s="19">
        <f>_xll.BDH("TSLA US Equity","OPER_MARGIN","FQ3 2019","FQ3 2019","Currency=USD","Period=FQ","BEST_FPERIOD_OVERRIDE=FQ","FILING_STATUS=MR","FA_ADJUSTED=GAAP","Sort=A","Dates=H","DateFormat=P","Fill=—","Direction=H","UseDPDF=Y")</f>
        <v>4.1409000000000002</v>
      </c>
      <c r="AK21" s="19">
        <f>_xll.BDH("TSLA US Equity","OPER_MARGIN","FQ4 2019","FQ4 2019","Currency=USD","Period=FQ","BEST_FPERIOD_OVERRIDE=FQ","FILING_STATUS=MR","FA_ADJUSTED=GAAP","Sort=A","Dates=H","DateFormat=P","Fill=—","Direction=H","UseDPDF=Y")</f>
        <v>4.8619000000000003</v>
      </c>
      <c r="AL21" s="19">
        <f>_xll.BDH("TSLA US Equity","OPER_MARGIN","FQ1 2020","FQ1 2020","Currency=USD","Period=FQ","BEST_FPERIOD_OVERRIDE=FQ","FILING_STATUS=MR","FA_ADJUSTED=GAAP","Sort=A","Dates=H","DateFormat=P","Fill=—","Direction=H","UseDPDF=Y")</f>
        <v>4.7285000000000004</v>
      </c>
      <c r="AM21" s="19">
        <f>_xll.BDH("TSLA US Equity","OPER_MARGIN","FQ2 2020","FQ2 2020","Currency=USD","Period=FQ","BEST_FPERIOD_OVERRIDE=FQ","FILING_STATUS=MR","FA_ADJUSTED=GAAP","Sort=A","Dates=H","DateFormat=P","Fill=—","Direction=H","UseDPDF=Y")</f>
        <v>5.4175000000000004</v>
      </c>
      <c r="AN21" s="19">
        <f>_xll.BDH("TSLA US Equity","OPER_MARGIN","FQ3 2020","FQ3 2020","Currency=USD","Period=FQ","BEST_FPERIOD_OVERRIDE=FQ","FILING_STATUS=MR","FA_ADJUSTED=GAAP","Sort=A","Dates=H","DateFormat=P","Fill=—","Direction=H","UseDPDF=Y")</f>
        <v>9.2235999999999994</v>
      </c>
      <c r="AO21" s="19">
        <f>_xll.BDH("TSLA US Equity","OPER_MARGIN","FQ4 2020","FQ4 2020","Currency=USD","Period=FQ","BEST_FPERIOD_OVERRIDE=FQ","FILING_STATUS=MR","FA_ADJUSTED=GAAP","Sort=A","Dates=H","DateFormat=P","Fill=—","Direction=H","UseDPDF=Y")</f>
        <v>5.3517999999999999</v>
      </c>
      <c r="AP21" s="19">
        <f>_xll.BDH("TSLA US Equity","OPER_MARGIN","FQ1 2021","FQ1 2021","Currency=USD","Period=FQ","BEST_FPERIOD_OVERRIDE=FQ","FILING_STATUS=MR","FA_ADJUSTED=GAAP","Sort=A","Dates=H","DateFormat=P","Fill=—","Direction=H","UseDPDF=Y")</f>
        <v>5.7176</v>
      </c>
    </row>
    <row r="22" spans="1:42" x14ac:dyDescent="0.25">
      <c r="A22" s="16" t="s">
        <v>107</v>
      </c>
      <c r="B22" s="16" t="s">
        <v>108</v>
      </c>
      <c r="C22" s="19" t="str">
        <f>_xll.BDH("TSLA US Equity","INCREMENTAL_OPERATING_MARGIN","FQ2 2011","FQ2 2011","Currency=USD","Period=FQ","BEST_FPERIOD_OVERRIDE=FQ","FILING_STATUS=MR","FA_ADJUSTED=GAAP","Sort=A","Dates=H","DateFormat=P","Fill=—","Direction=H","UseDPDF=Y")</f>
        <v>—</v>
      </c>
      <c r="D22" s="19" t="str">
        <f>_xll.BDH("TSLA US Equity","INCREMENTAL_OPERATING_MARGIN","FQ3 2011","FQ3 2011","Currency=USD","Period=FQ","BEST_FPERIOD_OVERRIDE=FQ","FILING_STATUS=MR","FA_ADJUSTED=GAAP","Sort=A","Dates=H","DateFormat=P","Fill=—","Direction=H","UseDPDF=Y")</f>
        <v>—</v>
      </c>
      <c r="E22" s="19" t="str">
        <f>_xll.BDH("TSLA US Equity","INCREMENTAL_OPERATING_MARGIN","FQ4 2011","FQ4 2011","Currency=USD","Period=FQ","BEST_FPERIOD_OVERRIDE=FQ","FILING_STATUS=MR","FA_ADJUSTED=GAAP","Sort=A","Dates=H","DateFormat=P","Fill=—","Direction=H","UseDPDF=Y")</f>
        <v>—</v>
      </c>
      <c r="F22" s="19">
        <f>_xll.BDH("TSLA US Equity","INCREMENTAL_OPERATING_MARGIN","FQ1 2012","FQ1 2012","Currency=USD","Period=FQ","BEST_FPERIOD_OVERRIDE=FQ","FILING_STATUS=MR","FA_ADJUSTED=GAAP","Sort=A","Dates=H","DateFormat=P","Fill=—","Direction=H","UseDPDF=Y")</f>
        <v>-219.56739999999999</v>
      </c>
      <c r="G22" s="19">
        <f>_xll.BDH("TSLA US Equity","INCREMENTAL_OPERATING_MARGIN","FQ2 2012","FQ2 2012","Currency=USD","Period=FQ","BEST_FPERIOD_OVERRIDE=FQ","FILING_STATUS=MR","FA_ADJUSTED=GAAP","Sort=A","Dates=H","DateFormat=P","Fill=—","Direction=H","UseDPDF=Y")</f>
        <v>-150.50450000000001</v>
      </c>
      <c r="H22" s="19">
        <f>_xll.BDH("TSLA US Equity","INCREMENTAL_OPERATING_MARGIN","FQ3 2012","FQ3 2012","Currency=USD","Period=FQ","BEST_FPERIOD_OVERRIDE=FQ","FILING_STATUS=MR","FA_ADJUSTED=GAAP","Sort=A","Dates=H","DateFormat=P","Fill=—","Direction=H","UseDPDF=Y")</f>
        <v>-581.6318</v>
      </c>
      <c r="I22" s="19" t="str">
        <f>_xll.BDH("TSLA US Equity","INCREMENTAL_OPERATING_MARGIN","FQ4 2012","FQ4 2012","Currency=USD","Period=FQ","BEST_FPERIOD_OVERRIDE=FQ","FILING_STATUS=MR","FA_ADJUSTED=GAAP","Sort=A","Dates=H","DateFormat=P","Fill=—","Direction=H","UseDPDF=Y")</f>
        <v>—</v>
      </c>
      <c r="J22" s="19">
        <f>_xll.BDH("TSLA US Equity","INCREMENTAL_OPERATING_MARGIN","FQ1 2013","FQ1 2013","Currency=USD","Period=FQ","BEST_FPERIOD_OVERRIDE=FQ","FILING_STATUS=MR","FA_ADJUSTED=GAAP","Sort=A","Dates=H","DateFormat=P","Fill=—","Direction=H","UseDPDF=Y")</f>
        <v>15.6462</v>
      </c>
      <c r="K22" s="19">
        <f>_xll.BDH("TSLA US Equity","INCREMENTAL_OPERATING_MARGIN","FQ2 2013","FQ2 2013","Currency=USD","Period=FQ","BEST_FPERIOD_OVERRIDE=FQ","FILING_STATUS=MR","FA_ADJUSTED=GAAP","Sort=A","Dates=H","DateFormat=P","Fill=—","Direction=H","UseDPDF=Y")</f>
        <v>24.937000000000001</v>
      </c>
      <c r="L22" s="19">
        <f>_xll.BDH("TSLA US Equity","INCREMENTAL_OPERATING_MARGIN","FQ3 2013","FQ3 2013","Currency=USD","Period=FQ","BEST_FPERIOD_OVERRIDE=FQ","FILING_STATUS=MR","FA_ADJUSTED=GAAP","Sort=A","Dates=H","DateFormat=P","Fill=—","Direction=H","UseDPDF=Y")</f>
        <v>20.434799999999999</v>
      </c>
      <c r="M22" s="19">
        <f>_xll.BDH("TSLA US Equity","INCREMENTAL_OPERATING_MARGIN","FQ4 2013","FQ4 2013","Currency=USD","Period=FQ","BEST_FPERIOD_OVERRIDE=FQ","FILING_STATUS=MR","FA_ADJUSTED=GAAP","Sort=A","Dates=H","DateFormat=P","Fill=—","Direction=H","UseDPDF=Y")</f>
        <v>25.099799999999998</v>
      </c>
      <c r="N22" s="19" t="str">
        <f>_xll.BDH("TSLA US Equity","INCREMENTAL_OPERATING_MARGIN","FQ1 2014","FQ1 2014","Currency=USD","Period=FQ","BEST_FPERIOD_OVERRIDE=FQ","FILING_STATUS=MR","FA_ADJUSTED=GAAP","Sort=A","Dates=H","DateFormat=P","Fill=—","Direction=H","UseDPDF=Y")</f>
        <v>—</v>
      </c>
      <c r="O22" s="19" t="str">
        <f>_xll.BDH("TSLA US Equity","INCREMENTAL_OPERATING_MARGIN","FQ2 2014","FQ2 2014","Currency=USD","Period=FQ","BEST_FPERIOD_OVERRIDE=FQ","FILING_STATUS=MR","FA_ADJUSTED=GAAP","Sort=A","Dates=H","DateFormat=P","Fill=—","Direction=H","UseDPDF=Y")</f>
        <v>—</v>
      </c>
      <c r="P22" s="19" t="str">
        <f>_xll.BDH("TSLA US Equity","INCREMENTAL_OPERATING_MARGIN","FQ3 2014","FQ3 2014","Currency=USD","Period=FQ","BEST_FPERIOD_OVERRIDE=FQ","FILING_STATUS=MR","FA_ADJUSTED=GAAP","Sort=A","Dates=H","DateFormat=P","Fill=—","Direction=H","UseDPDF=Y")</f>
        <v>—</v>
      </c>
      <c r="Q22" s="19" t="str">
        <f>_xll.BDH("TSLA US Equity","INCREMENTAL_OPERATING_MARGIN","FQ4 2014","FQ4 2014","Currency=USD","Period=FQ","BEST_FPERIOD_OVERRIDE=FQ","FILING_STATUS=MR","FA_ADJUSTED=GAAP","Sort=A","Dates=H","DateFormat=P","Fill=—","Direction=H","UseDPDF=Y")</f>
        <v>—</v>
      </c>
      <c r="R22" s="19" t="str">
        <f>_xll.BDH("TSLA US Equity","INCREMENTAL_OPERATING_MARGIN","FQ1 2015","FQ1 2015","Currency=USD","Period=FQ","BEST_FPERIOD_OVERRIDE=FQ","FILING_STATUS=MR","FA_ADJUSTED=GAAP","Sort=A","Dates=H","DateFormat=P","Fill=—","Direction=H","UseDPDF=Y")</f>
        <v>—</v>
      </c>
      <c r="S22" s="19" t="str">
        <f>_xll.BDH("TSLA US Equity","INCREMENTAL_OPERATING_MARGIN","FQ2 2015","FQ2 2015","Currency=USD","Period=FQ","BEST_FPERIOD_OVERRIDE=FQ","FILING_STATUS=MR","FA_ADJUSTED=GAAP","Sort=A","Dates=H","DateFormat=P","Fill=—","Direction=H","UseDPDF=Y")</f>
        <v>—</v>
      </c>
      <c r="T22" s="19" t="str">
        <f>_xll.BDH("TSLA US Equity","INCREMENTAL_OPERATING_MARGIN","FQ3 2015","FQ3 2015","Currency=USD","Period=FQ","BEST_FPERIOD_OVERRIDE=FQ","FILING_STATUS=MR","FA_ADJUSTED=GAAP","Sort=A","Dates=H","DateFormat=P","Fill=—","Direction=H","UseDPDF=Y")</f>
        <v>—</v>
      </c>
      <c r="U22" s="19" t="str">
        <f>_xll.BDH("TSLA US Equity","INCREMENTAL_OPERATING_MARGIN","FQ4 2015","FQ4 2015","Currency=USD","Period=FQ","BEST_FPERIOD_OVERRIDE=FQ","FILING_STATUS=MR","FA_ADJUSTED=GAAP","Sort=A","Dates=H","DateFormat=P","Fill=—","Direction=H","UseDPDF=Y")</f>
        <v>—</v>
      </c>
      <c r="V22" s="19" t="str">
        <f>_xll.BDH("TSLA US Equity","INCREMENTAL_OPERATING_MARGIN","FQ1 2016","FQ1 2016","Currency=USD","Period=FQ","BEST_FPERIOD_OVERRIDE=FQ","FILING_STATUS=MR","FA_ADJUSTED=GAAP","Sort=A","Dates=H","DateFormat=P","Fill=—","Direction=H","UseDPDF=Y")</f>
        <v>—</v>
      </c>
      <c r="W22" s="19" t="str">
        <f>_xll.BDH("TSLA US Equity","INCREMENTAL_OPERATING_MARGIN","FQ2 2016","FQ2 2016","Currency=USD","Period=FQ","BEST_FPERIOD_OVERRIDE=FQ","FILING_STATUS=MR","FA_ADJUSTED=GAAP","Sort=A","Dates=H","DateFormat=P","Fill=—","Direction=H","UseDPDF=Y")</f>
        <v>—</v>
      </c>
      <c r="X22" s="19">
        <f>_xll.BDH("TSLA US Equity","INCREMENTAL_OPERATING_MARGIN","FQ3 2016","FQ3 2016","Currency=USD","Period=FQ","BEST_FPERIOD_OVERRIDE=FQ","FILING_STATUS=MR","FA_ADJUSTED=GAAP","Sort=A","Dates=H","DateFormat=P","Fill=—","Direction=H","UseDPDF=Y")</f>
        <v>19.776299999999999</v>
      </c>
      <c r="Y22" s="19" t="str">
        <f>_xll.BDH("TSLA US Equity","INCREMENTAL_OPERATING_MARGIN","FQ4 2016","FQ4 2016","Currency=USD","Period=FQ","BEST_FPERIOD_OVERRIDE=FQ","FILING_STATUS=MR","FA_ADJUSTED=GAAP","Sort=A","Dates=H","DateFormat=P","Fill=—","Direction=H","UseDPDF=Y")</f>
        <v>—</v>
      </c>
      <c r="Z22" s="19" t="str">
        <f>_xll.BDH("TSLA US Equity","INCREMENTAL_OPERATING_MARGIN","FQ1 2017","FQ1 2017","Currency=USD","Period=FQ","BEST_FPERIOD_OVERRIDE=FQ","FILING_STATUS=MR","FA_ADJUSTED=GAAP","Sort=A","Dates=H","DateFormat=P","Fill=—","Direction=H","UseDPDF=Y")</f>
        <v>—</v>
      </c>
      <c r="AA22" s="19" t="str">
        <f>_xll.BDH("TSLA US Equity","INCREMENTAL_OPERATING_MARGIN","FQ2 2017","FQ2 2017","Currency=USD","Period=FQ","BEST_FPERIOD_OVERRIDE=FQ","FILING_STATUS=MR","FA_ADJUSTED=GAAP","Sort=A","Dates=H","DateFormat=P","Fill=—","Direction=H","UseDPDF=Y")</f>
        <v>—</v>
      </c>
      <c r="AB22" s="19" t="str">
        <f>_xll.BDH("TSLA US Equity","INCREMENTAL_OPERATING_MARGIN","FQ3 2017","FQ3 2017","Currency=USD","Period=FQ","BEST_FPERIOD_OVERRIDE=FQ","FILING_STATUS=MR","FA_ADJUSTED=GAAP","Sort=A","Dates=H","DateFormat=P","Fill=—","Direction=H","UseDPDF=Y")</f>
        <v>—</v>
      </c>
      <c r="AC22" s="19" t="str">
        <f>_xll.BDH("TSLA US Equity","INCREMENTAL_OPERATING_MARGIN","FQ4 2017","FQ4 2017","Currency=USD","Period=FQ","BEST_FPERIOD_OVERRIDE=FQ","FILING_STATUS=MR","FA_ADJUSTED=GAAP","Sort=A","Dates=H","DateFormat=P","Fill=—","Direction=H","UseDPDF=Y")</f>
        <v>—</v>
      </c>
      <c r="AD22" s="19" t="str">
        <f>_xll.BDH("TSLA US Equity","INCREMENTAL_OPERATING_MARGIN","FQ1 2018","FQ1 2018","Currency=USD","Period=FQ","BEST_FPERIOD_OVERRIDE=FQ","FILING_STATUS=MR","FA_ADJUSTED=GAAP","Sort=A","Dates=H","DateFormat=P","Fill=—","Direction=H","UseDPDF=Y")</f>
        <v>—</v>
      </c>
      <c r="AE22" s="19" t="str">
        <f>_xll.BDH("TSLA US Equity","INCREMENTAL_OPERATING_MARGIN","FQ2 2018","FQ2 2018","Currency=USD","Period=FQ","BEST_FPERIOD_OVERRIDE=FQ","FILING_STATUS=MR","FA_ADJUSTED=GAAP","Sort=A","Dates=H","DateFormat=P","Fill=—","Direction=H","UseDPDF=Y")</f>
        <v>—</v>
      </c>
      <c r="AF22" s="19">
        <f>_xll.BDH("TSLA US Equity","INCREMENTAL_OPERATING_MARGIN","FQ3 2018","FQ3 2018","Currency=USD","Period=FQ","BEST_FPERIOD_OVERRIDE=FQ","FILING_STATUS=MR","FA_ADJUSTED=GAAP","Sort=A","Dates=H","DateFormat=P","Fill=—","Direction=H","UseDPDF=Y")</f>
        <v>24.799499999999998</v>
      </c>
      <c r="AG22" s="19">
        <f>_xll.BDH("TSLA US Equity","INCREMENTAL_OPERATING_MARGIN","FQ4 2018","FQ4 2018","Currency=USD","Period=FQ","BEST_FPERIOD_OVERRIDE=FQ","FILING_STATUS=MR","FA_ADJUSTED=GAAP","Sort=A","Dates=H","DateFormat=P","Fill=—","Direction=H","UseDPDF=Y")</f>
        <v>25.692599999999999</v>
      </c>
      <c r="AH22" s="19">
        <f>_xll.BDH("TSLA US Equity","INCREMENTAL_OPERATING_MARGIN","FQ1 2019","FQ1 2019","Currency=USD","Period=FQ","BEST_FPERIOD_OVERRIDE=FQ","FILING_STATUS=MR","FA_ADJUSTED=GAAP","Sort=A","Dates=H","DateFormat=P","Fill=—","Direction=H","UseDPDF=Y")</f>
        <v>6.6338999999999997</v>
      </c>
      <c r="AI22" s="19">
        <f>_xll.BDH("TSLA US Equity","INCREMENTAL_OPERATING_MARGIN","FQ2 2019","FQ2 2019","Currency=USD","Period=FQ","BEST_FPERIOD_OVERRIDE=FQ","FILING_STATUS=MR","FA_ADJUSTED=GAAP","Sort=A","Dates=H","DateFormat=P","Fill=—","Direction=H","UseDPDF=Y")</f>
        <v>19.337399999999999</v>
      </c>
      <c r="AJ22" s="19">
        <f>_xll.BDH("TSLA US Equity","INCREMENTAL_OPERATING_MARGIN","FQ3 2019","FQ3 2019","Currency=USD","Period=FQ","BEST_FPERIOD_OVERRIDE=FQ","FILING_STATUS=MR","FA_ADJUSTED=GAAP","Sort=A","Dates=H","DateFormat=P","Fill=—","Direction=H","UseDPDF=Y")</f>
        <v>-29.8721</v>
      </c>
      <c r="AK22" s="19" t="str">
        <f>_xll.BDH("TSLA US Equity","INCREMENTAL_OPERATING_MARGIN","FQ4 2019","FQ4 2019","Currency=USD","Period=FQ","BEST_FPERIOD_OVERRIDE=FQ","FILING_STATUS=MR","FA_ADJUSTED=GAAP","Sort=A","Dates=H","DateFormat=P","Fill=—","Direction=H","UseDPDF=Y")</f>
        <v>—</v>
      </c>
      <c r="AL22" s="19">
        <f>_xll.BDH("TSLA US Equity","INCREMENTAL_OPERATING_MARGIN","FQ1 2020","FQ1 2020","Currency=USD","Period=FQ","BEST_FPERIOD_OVERRIDE=FQ","FILING_STATUS=MR","FA_ADJUSTED=GAAP","Sort=A","Dates=H","DateFormat=P","Fill=—","Direction=H","UseDPDF=Y")</f>
        <v>55.754100000000001</v>
      </c>
      <c r="AM22" s="19" t="str">
        <f>_xll.BDH("TSLA US Equity","INCREMENTAL_OPERATING_MARGIN","FQ2 2020","FQ2 2020","Currency=USD","Period=FQ","BEST_FPERIOD_OVERRIDE=FQ","FILING_STATUS=MR","FA_ADJUSTED=GAAP","Sort=A","Dates=H","DateFormat=P","Fill=—","Direction=H","UseDPDF=Y")</f>
        <v>—</v>
      </c>
      <c r="AN22" s="19">
        <f>_xll.BDH("TSLA US Equity","INCREMENTAL_OPERATING_MARGIN","FQ3 2020","FQ3 2020","Currency=USD","Period=FQ","BEST_FPERIOD_OVERRIDE=FQ","FILING_STATUS=MR","FA_ADJUSTED=GAAP","Sort=A","Dates=H","DateFormat=P","Fill=—","Direction=H","UseDPDF=Y")</f>
        <v>22.2042</v>
      </c>
      <c r="AO22" s="19">
        <f>_xll.BDH("TSLA US Equity","INCREMENTAL_OPERATING_MARGIN","FQ4 2020","FQ4 2020","Currency=USD","Period=FQ","BEST_FPERIOD_OVERRIDE=FQ","FILING_STATUS=MR","FA_ADJUSTED=GAAP","Sort=A","Dates=H","DateFormat=P","Fill=—","Direction=H","UseDPDF=Y")</f>
        <v>6.4286000000000003</v>
      </c>
      <c r="AP22" s="19">
        <f>_xll.BDH("TSLA US Equity","INCREMENTAL_OPERATING_MARGIN","FQ1 2021","FQ1 2021","Currency=USD","Period=FQ","BEST_FPERIOD_OVERRIDE=FQ","FILING_STATUS=MR","FA_ADJUSTED=GAAP","Sort=A","Dates=H","DateFormat=P","Fill=—","Direction=H","UseDPDF=Y")</f>
        <v>7.0617999999999999</v>
      </c>
    </row>
    <row r="23" spans="1:42" x14ac:dyDescent="0.25">
      <c r="A23" s="16" t="s">
        <v>109</v>
      </c>
      <c r="B23" s="16" t="s">
        <v>110</v>
      </c>
      <c r="C23" s="19">
        <f>_xll.BDH("TSLA US Equity","PRETAX_INC_TO_NET_SALES","FQ2 2011","FQ2 2011","Currency=USD","Period=FQ","BEST_FPERIOD_OVERRIDE=FQ","FILING_STATUS=MR","FA_ADJUSTED=GAAP","Sort=A","Dates=H","DateFormat=P","Fill=—","Direction=H","UseDPDF=Y")</f>
        <v>-101.0194</v>
      </c>
      <c r="D23" s="19">
        <f>_xll.BDH("TSLA US Equity","PRETAX_INC_TO_NET_SALES","FQ3 2011","FQ3 2011","Currency=USD","Period=FQ","BEST_FPERIOD_OVERRIDE=FQ","FILING_STATUS=MR","FA_ADJUSTED=GAAP","Sort=A","Dates=H","DateFormat=P","Fill=—","Direction=H","UseDPDF=Y")</f>
        <v>-112.7025</v>
      </c>
      <c r="E23" s="19">
        <f>_xll.BDH("TSLA US Equity","PRETAX_INC_TO_NET_SALES","FQ4 2011","FQ4 2011","Currency=USD","Period=FQ","BEST_FPERIOD_OVERRIDE=FQ","FILING_STATUS=MR","FA_ADJUSTED=GAAP","Sort=A","Dates=H","DateFormat=P","Fill=—","Direction=H","UseDPDF=Y")</f>
        <v>-206.66919999999999</v>
      </c>
      <c r="F23" s="19">
        <f>_xll.BDH("TSLA US Equity","PRETAX_INC_TO_NET_SALES","FQ1 2012","FQ1 2012","Currency=USD","Period=FQ","BEST_FPERIOD_OVERRIDE=FQ","FILING_STATUS=MR","FA_ADJUSTED=GAAP","Sort=A","Dates=H","DateFormat=P","Fill=—","Direction=H","UseDPDF=Y")</f>
        <v>-297.72269999999997</v>
      </c>
      <c r="G23" s="19">
        <f>_xll.BDH("TSLA US Equity","PRETAX_INC_TO_NET_SALES","FQ2 2012","FQ2 2012","Currency=USD","Period=FQ","BEST_FPERIOD_OVERRIDE=FQ","FILING_STATUS=MR","FA_ADJUSTED=GAAP","Sort=A","Dates=H","DateFormat=P","Fill=—","Direction=H","UseDPDF=Y")</f>
        <v>-395.80540000000002</v>
      </c>
      <c r="H23" s="19">
        <f>_xll.BDH("TSLA US Equity","PRETAX_INC_TO_NET_SALES","FQ3 2012","FQ3 2012","Currency=USD","Period=FQ","BEST_FPERIOD_OVERRIDE=FQ","FILING_STATUS=MR","FA_ADJUSTED=GAAP","Sort=A","Dates=H","DateFormat=P","Fill=—","Direction=H","UseDPDF=Y")</f>
        <v>-220.91650000000001</v>
      </c>
      <c r="I23" s="19">
        <f>_xll.BDH("TSLA US Equity","PRETAX_INC_TO_NET_SALES","FQ4 2012","FQ4 2012","Currency=USD","Period=FQ","BEST_FPERIOD_OVERRIDE=FQ","FILING_STATUS=MR","FA_ADJUSTED=GAAP","Sort=A","Dates=H","DateFormat=P","Fill=—","Direction=H","UseDPDF=Y")</f>
        <v>-29.4057</v>
      </c>
      <c r="J23" s="19">
        <f>_xll.BDH("TSLA US Equity","PRETAX_INC_TO_NET_SALES","FQ1 2013","FQ1 2013","Currency=USD","Period=FQ","BEST_FPERIOD_OVERRIDE=FQ","FILING_STATUS=MR","FA_ADJUSTED=GAAP","Sort=A","Dates=H","DateFormat=P","Fill=—","Direction=H","UseDPDF=Y")</f>
        <v>2.0289999999999999</v>
      </c>
      <c r="K23" s="19">
        <f>_xll.BDH("TSLA US Equity","PRETAX_INC_TO_NET_SALES","FQ2 2013","FQ2 2013","Currency=USD","Period=FQ","BEST_FPERIOD_OVERRIDE=FQ","FILING_STATUS=MR","FA_ADJUSTED=GAAP","Sort=A","Dates=H","DateFormat=P","Fill=—","Direction=H","UseDPDF=Y")</f>
        <v>-7.4545000000000003</v>
      </c>
      <c r="L23" s="19">
        <f>_xll.BDH("TSLA US Equity","PRETAX_INC_TO_NET_SALES","FQ3 2013","FQ3 2013","Currency=USD","Period=FQ","BEST_FPERIOD_OVERRIDE=FQ","FILING_STATUS=MR","FA_ADJUSTED=GAAP","Sort=A","Dates=H","DateFormat=P","Fill=—","Direction=H","UseDPDF=Y")</f>
        <v>-8.7442999999999991</v>
      </c>
      <c r="M23" s="19">
        <f>_xll.BDH("TSLA US Equity","PRETAX_INC_TO_NET_SALES","FQ4 2013","FQ4 2013","Currency=USD","Period=FQ","BEST_FPERIOD_OVERRIDE=FQ","FILING_STATUS=MR","FA_ADJUSTED=GAAP","Sort=A","Dates=H","DateFormat=P","Fill=—","Direction=H","UseDPDF=Y")</f>
        <v>-2.4228999999999998</v>
      </c>
      <c r="N23" s="19">
        <f>_xll.BDH("TSLA US Equity","PRETAX_INC_TO_NET_SALES","FQ1 2014","FQ1 2014","Currency=USD","Period=FQ","BEST_FPERIOD_OVERRIDE=FQ","FILING_STATUS=MR","FA_ADJUSTED=GAAP","Sort=A","Dates=H","DateFormat=P","Fill=—","Direction=H","UseDPDF=Y")</f>
        <v>-7.8948999999999998</v>
      </c>
      <c r="O23" s="19">
        <f>_xll.BDH("TSLA US Equity","PRETAX_INC_TO_NET_SALES","FQ2 2014","FQ2 2014","Currency=USD","Period=FQ","BEST_FPERIOD_OVERRIDE=FQ","FILING_STATUS=MR","FA_ADJUSTED=GAAP","Sort=A","Dates=H","DateFormat=P","Fill=—","Direction=H","UseDPDF=Y")</f>
        <v>-7.8963000000000001</v>
      </c>
      <c r="P23" s="19">
        <f>_xll.BDH("TSLA US Equity","PRETAX_INC_TO_NET_SALES","FQ3 2014","FQ3 2014","Currency=USD","Period=FQ","BEST_FPERIOD_OVERRIDE=FQ","FILING_STATUS=MR","FA_ADJUSTED=GAAP","Sort=A","Dates=H","DateFormat=P","Fill=—","Direction=H","UseDPDF=Y")</f>
        <v>-8.3330000000000002</v>
      </c>
      <c r="Q23" s="19">
        <f>_xll.BDH("TSLA US Equity","PRETAX_INC_TO_NET_SALES","FQ4 2014","FQ4 2014","Currency=USD","Period=FQ","BEST_FPERIOD_OVERRIDE=FQ","FILING_STATUS=MR","FA_ADJUSTED=GAAP","Sort=A","Dates=H","DateFormat=P","Fill=—","Direction=H","UseDPDF=Y")</f>
        <v>-10.861700000000001</v>
      </c>
      <c r="R23" s="19">
        <f>_xll.BDH("TSLA US Equity","PRETAX_INC_TO_NET_SALES","FQ1 2015","FQ1 2015","Currency=USD","Period=FQ","BEST_FPERIOD_OVERRIDE=FQ","FILING_STATUS=MR","FA_ADJUSTED=GAAP","Sort=A","Dates=H","DateFormat=P","Fill=—","Direction=H","UseDPDF=Y")</f>
        <v>-16.0809</v>
      </c>
      <c r="S23" s="19">
        <f>_xll.BDH("TSLA US Equity","PRETAX_INC_TO_NET_SALES","FQ2 2015","FQ2 2015","Currency=USD","Period=FQ","BEST_FPERIOD_OVERRIDE=FQ","FILING_STATUS=MR","FA_ADJUSTED=GAAP","Sort=A","Dates=H","DateFormat=P","Fill=—","Direction=H","UseDPDF=Y")</f>
        <v>-18.959600000000002</v>
      </c>
      <c r="T23" s="19">
        <f>_xll.BDH("TSLA US Equity","PRETAX_INC_TO_NET_SALES","FQ3 2015","FQ3 2015","Currency=USD","Period=FQ","BEST_FPERIOD_OVERRIDE=FQ","FILING_STATUS=MR","FA_ADJUSTED=GAAP","Sort=A","Dates=H","DateFormat=P","Fill=—","Direction=H","UseDPDF=Y")</f>
        <v>-24.346399999999999</v>
      </c>
      <c r="U23" s="19">
        <f>_xll.BDH("TSLA US Equity","PRETAX_INC_TO_NET_SALES","FQ4 2015","FQ4 2015","Currency=USD","Period=FQ","BEST_FPERIOD_OVERRIDE=FQ","FILING_STATUS=MR","FA_ADJUSTED=GAAP","Sort=A","Dates=H","DateFormat=P","Fill=—","Direction=H","UseDPDF=Y")</f>
        <v>-25.9679</v>
      </c>
      <c r="V23" s="19">
        <f>_xll.BDH("TSLA US Equity","PRETAX_INC_TO_NET_SALES","FQ1 2016","FQ1 2016","Currency=USD","Period=FQ","BEST_FPERIOD_OVERRIDE=FQ","FILING_STATUS=MR","FA_ADJUSTED=GAAP","Sort=A","Dates=H","DateFormat=P","Fill=—","Direction=H","UseDPDF=Y")</f>
        <v>-24.2728</v>
      </c>
      <c r="W23" s="19">
        <f>_xll.BDH("TSLA US Equity","PRETAX_INC_TO_NET_SALES","FQ2 2016","FQ2 2016","Currency=USD","Period=FQ","BEST_FPERIOD_OVERRIDE=FQ","FILING_STATUS=MR","FA_ADJUSTED=GAAP","Sort=A","Dates=H","DateFormat=P","Fill=—","Direction=H","UseDPDF=Y")</f>
        <v>-22.798000000000002</v>
      </c>
      <c r="X23" s="19">
        <f>_xll.BDH("TSLA US Equity","PRETAX_INC_TO_NET_SALES","FQ3 2016","FQ3 2016","Currency=USD","Period=FQ","BEST_FPERIOD_OVERRIDE=FQ","FILING_STATUS=MR","FA_ADJUSTED=GAAP","Sort=A","Dates=H","DateFormat=P","Fill=—","Direction=H","UseDPDF=Y")</f>
        <v>1.3057000000000001</v>
      </c>
      <c r="Y23" s="19">
        <f>_xll.BDH("TSLA US Equity","PRETAX_INC_TO_NET_SALES","FQ4 2016","FQ4 2016","Currency=USD","Period=FQ","BEST_FPERIOD_OVERRIDE=FQ","FILING_STATUS=MR","FA_ADJUSTED=GAAP","Sort=A","Dates=H","DateFormat=P","Fill=—","Direction=H","UseDPDF=Y")</f>
        <v>-9.1218000000000004</v>
      </c>
      <c r="Z23" s="19">
        <f>_xll.BDH("TSLA US Equity","PRETAX_INC_TO_NET_SALES","FQ1 2017","FQ1 2017","Currency=USD","Period=FQ","BEST_FPERIOD_OVERRIDE=FQ","FILING_STATUS=MR","FA_ADJUSTED=GAAP","Sort=A","Dates=H","DateFormat=P","Fill=—","Direction=H","UseDPDF=Y")</f>
        <v>-13.793200000000001</v>
      </c>
      <c r="AA23" s="19">
        <f>_xll.BDH("TSLA US Equity","PRETAX_INC_TO_NET_SALES","FQ2 2017","FQ2 2017","Currency=USD","Period=FQ","BEST_FPERIOD_OVERRIDE=FQ","FILING_STATUS=MR","FA_ADJUSTED=GAAP","Sort=A","Dates=H","DateFormat=P","Fill=—","Direction=H","UseDPDF=Y")</f>
        <v>-13.8294</v>
      </c>
      <c r="AB23" s="19">
        <f>_xll.BDH("TSLA US Equity","PRETAX_INC_TO_NET_SALES","FQ3 2017","FQ3 2017","Currency=USD","Period=FQ","BEST_FPERIOD_OVERRIDE=FQ","FILING_STATUS=MR","FA_ADJUSTED=GAAP","Sort=A","Dates=H","DateFormat=P","Fill=—","Direction=H","UseDPDF=Y")</f>
        <v>-22.496500000000001</v>
      </c>
      <c r="AC23" s="19">
        <f>_xll.BDH("TSLA US Equity","PRETAX_INC_TO_NET_SALES","FQ4 2017","FQ4 2017","Currency=USD","Period=FQ","BEST_FPERIOD_OVERRIDE=FQ","FILING_STATUS=MR","FA_ADJUSTED=GAAP","Sort=A","Dates=H","DateFormat=P","Fill=—","Direction=H","UseDPDF=Y")</f>
        <v>-23.7178</v>
      </c>
      <c r="AD23" s="19">
        <f>_xll.BDH("TSLA US Equity","PRETAX_INC_TO_NET_SALES","FQ1 2018","FQ1 2018","Currency=USD","Period=FQ","BEST_FPERIOD_OVERRIDE=FQ","FILING_STATUS=MR","FA_ADJUSTED=GAAP","Sort=A","Dates=H","DateFormat=P","Fill=—","Direction=H","UseDPDF=Y")</f>
        <v>-22.8536</v>
      </c>
      <c r="AE23" s="19">
        <f>_xll.BDH("TSLA US Equity","PRETAX_INC_TO_NET_SALES","FQ2 2018","FQ2 2018","Currency=USD","Period=FQ","BEST_FPERIOD_OVERRIDE=FQ","FILING_STATUS=MR","FA_ADJUSTED=GAAP","Sort=A","Dates=H","DateFormat=P","Fill=—","Direction=H","UseDPDF=Y")</f>
        <v>-18.2148</v>
      </c>
      <c r="AF23" s="19">
        <f>_xll.BDH("TSLA US Equity","PRETAX_INC_TO_NET_SALES","FQ3 2018","FQ3 2018","Currency=USD","Period=FQ","BEST_FPERIOD_OVERRIDE=FQ","FILING_STATUS=MR","FA_ADJUSTED=GAAP","Sort=A","Dates=H","DateFormat=P","Fill=—","Direction=H","UseDPDF=Y")</f>
        <v>3.9756999999999998</v>
      </c>
      <c r="AG23" s="19">
        <f>_xll.BDH("TSLA US Equity","PRETAX_INC_TO_NET_SALES","FQ4 2018","FQ4 2018","Currency=USD","Period=FQ","BEST_FPERIOD_OVERRIDE=FQ","FILING_STATUS=MR","FA_ADJUSTED=GAAP","Sort=A","Dates=H","DateFormat=P","Fill=—","Direction=H","UseDPDF=Y")</f>
        <v>3.2101000000000002</v>
      </c>
      <c r="AH23" s="19">
        <f>_xll.BDH("TSLA US Equity","PRETAX_INC_TO_NET_SALES","FQ1 2019","FQ1 2019","Currency=USD","Period=FQ","BEST_FPERIOD_OVERRIDE=FQ","FILING_STATUS=MR","FA_ADJUSTED=GAAP","Sort=A","Dates=H","DateFormat=P","Fill=—","Direction=H","UseDPDF=Y")</f>
        <v>-14.1974</v>
      </c>
      <c r="AI23" s="19">
        <f>_xll.BDH("TSLA US Equity","PRETAX_INC_TO_NET_SALES","FQ2 2019","FQ2 2019","Currency=USD","Period=FQ","BEST_FPERIOD_OVERRIDE=FQ","FILING_STATUS=MR","FA_ADJUSTED=GAAP","Sort=A","Dates=H","DateFormat=P","Fill=—","Direction=H","UseDPDF=Y")</f>
        <v>-5.8243999999999998</v>
      </c>
      <c r="AJ23" s="19">
        <f>_xll.BDH("TSLA US Equity","PRETAX_INC_TO_NET_SALES","FQ3 2019","FQ3 2019","Currency=USD","Period=FQ","BEST_FPERIOD_OVERRIDE=FQ","FILING_STATUS=MR","FA_ADJUSTED=GAAP","Sort=A","Dates=H","DateFormat=P","Fill=—","Direction=H","UseDPDF=Y")</f>
        <v>2.7923</v>
      </c>
      <c r="AK23" s="19">
        <f>_xll.BDH("TSLA US Equity","PRETAX_INC_TO_NET_SALES","FQ4 2019","FQ4 2019","Currency=USD","Period=FQ","BEST_FPERIOD_OVERRIDE=FQ","FILING_STATUS=MR","FA_ADJUSTED=GAAP","Sort=A","Dates=H","DateFormat=P","Fill=—","Direction=H","UseDPDF=Y")</f>
        <v>2.3563999999999998</v>
      </c>
      <c r="AL23" s="19">
        <f>_xll.BDH("TSLA US Equity","PRETAX_INC_TO_NET_SALES","FQ1 2020","FQ1 2020","Currency=USD","Period=FQ","BEST_FPERIOD_OVERRIDE=FQ","FILING_STATUS=MR","FA_ADJUSTED=GAAP","Sort=A","Dates=H","DateFormat=P","Fill=—","Direction=H","UseDPDF=Y")</f>
        <v>1.1696</v>
      </c>
      <c r="AM23" s="19">
        <f>_xll.BDH("TSLA US Equity","PRETAX_INC_TO_NET_SALES","FQ2 2020","FQ2 2020","Currency=USD","Period=FQ","BEST_FPERIOD_OVERRIDE=FQ","FILING_STATUS=MR","FA_ADJUSTED=GAAP","Sort=A","Dates=H","DateFormat=P","Fill=—","Direction=H","UseDPDF=Y")</f>
        <v>2.4851000000000001</v>
      </c>
      <c r="AN23" s="19">
        <f>_xll.BDH("TSLA US Equity","PRETAX_INC_TO_NET_SALES","FQ3 2020","FQ3 2020","Currency=USD","Period=FQ","BEST_FPERIOD_OVERRIDE=FQ","FILING_STATUS=MR","FA_ADJUSTED=GAAP","Sort=A","Dates=H","DateFormat=P","Fill=—","Direction=H","UseDPDF=Y")</f>
        <v>6.3277000000000001</v>
      </c>
      <c r="AO23" s="19">
        <f>_xll.BDH("TSLA US Equity","PRETAX_INC_TO_NET_SALES","FQ4 2020","FQ4 2020","Currency=USD","Period=FQ","BEST_FPERIOD_OVERRIDE=FQ","FILING_STATUS=MR","FA_ADJUSTED=GAAP","Sort=A","Dates=H","DateFormat=P","Fill=—","Direction=H","UseDPDF=Y")</f>
        <v>3.5276000000000001</v>
      </c>
      <c r="AP23" s="19">
        <f>_xll.BDH("TSLA US Equity","PRETAX_INC_TO_NET_SALES","FQ1 2021","FQ1 2021","Currency=USD","Period=FQ","BEST_FPERIOD_OVERRIDE=FQ","FILING_STATUS=MR","FA_ADJUSTED=GAAP","Sort=A","Dates=H","DateFormat=P","Fill=—","Direction=H","UseDPDF=Y")</f>
        <v>5.1303999999999998</v>
      </c>
    </row>
    <row r="24" spans="1:42" x14ac:dyDescent="0.25">
      <c r="A24" s="16" t="s">
        <v>111</v>
      </c>
      <c r="B24" s="16" t="s">
        <v>112</v>
      </c>
      <c r="C24" s="19">
        <f>_xll.BDH("TSLA US Equity","INC_BEF_XO_ITEMS_TO_NET_SALES","FQ2 2011","FQ2 2011","Currency=USD","Period=FQ","BEST_FPERIOD_OVERRIDE=FQ","FILING_STATUS=MR","FA_ADJUSTED=GAAP","Sort=A","Dates=H","DateFormat=P","Fill=—","Direction=H","UseDPDF=Y")</f>
        <v>-101.25839999999999</v>
      </c>
      <c r="D24" s="19">
        <f>_xll.BDH("TSLA US Equity","INC_BEF_XO_ITEMS_TO_NET_SALES","FQ3 2011","FQ3 2011","Currency=USD","Period=FQ","BEST_FPERIOD_OVERRIDE=FQ","FILING_STATUS=MR","FA_ADJUSTED=GAAP","Sort=A","Dates=H","DateFormat=P","Fill=—","Direction=H","UseDPDF=Y")</f>
        <v>-112.8533</v>
      </c>
      <c r="E24" s="19">
        <f>_xll.BDH("TSLA US Equity","INC_BEF_XO_ITEMS_TO_NET_SALES","FQ4 2011","FQ4 2011","Currency=USD","Period=FQ","BEST_FPERIOD_OVERRIDE=FQ","FILING_STATUS=MR","FA_ADJUSTED=GAAP","Sort=A","Dates=H","DateFormat=P","Fill=—","Direction=H","UseDPDF=Y")</f>
        <v>-206.9537</v>
      </c>
      <c r="F24" s="19">
        <f>_xll.BDH("TSLA US Equity","INC_BEF_XO_ITEMS_TO_NET_SALES","FQ1 2012","FQ1 2012","Currency=USD","Period=FQ","BEST_FPERIOD_OVERRIDE=FQ","FILING_STATUS=MR","FA_ADJUSTED=GAAP","Sort=A","Dates=H","DateFormat=P","Fill=—","Direction=H","UseDPDF=Y")</f>
        <v>-297.91829999999999</v>
      </c>
      <c r="G24" s="19">
        <f>_xll.BDH("TSLA US Equity","INC_BEF_XO_ITEMS_TO_NET_SALES","FQ2 2012","FQ2 2012","Currency=USD","Period=FQ","BEST_FPERIOD_OVERRIDE=FQ","FILING_STATUS=MR","FA_ADJUSTED=GAAP","Sort=A","Dates=H","DateFormat=P","Fill=—","Direction=H","UseDPDF=Y")</f>
        <v>-396.21429999999998</v>
      </c>
      <c r="H24" s="19">
        <f>_xll.BDH("TSLA US Equity","INC_BEF_XO_ITEMS_TO_NET_SALES","FQ3 2012","FQ3 2012","Currency=USD","Period=FQ","BEST_FPERIOD_OVERRIDE=FQ","FILING_STATUS=MR","FA_ADJUSTED=GAAP","Sort=A","Dates=H","DateFormat=P","Fill=—","Direction=H","UseDPDF=Y")</f>
        <v>-221.148</v>
      </c>
      <c r="I24" s="19">
        <f>_xll.BDH("TSLA US Equity","INC_BEF_XO_ITEMS_TO_NET_SALES","FQ4 2012","FQ4 2012","Currency=USD","Period=FQ","BEST_FPERIOD_OVERRIDE=FQ","FILING_STATUS=MR","FA_ADJUSTED=GAAP","Sort=A","Dates=H","DateFormat=P","Fill=—","Direction=H","UseDPDF=Y")</f>
        <v>-29.357700000000001</v>
      </c>
      <c r="J24" s="19">
        <f>_xll.BDH("TSLA US Equity","INC_BEF_XO_ITEMS_TO_NET_SALES","FQ1 2013","FQ1 2013","Currency=USD","Period=FQ","BEST_FPERIOD_OVERRIDE=FQ","FILING_STATUS=MR","FA_ADJUSTED=GAAP","Sort=A","Dates=H","DateFormat=P","Fill=—","Direction=H","UseDPDF=Y")</f>
        <v>2.0022000000000002</v>
      </c>
      <c r="K24" s="19">
        <f>_xll.BDH("TSLA US Equity","INC_BEF_XO_ITEMS_TO_NET_SALES","FQ2 2013","FQ2 2013","Currency=USD","Period=FQ","BEST_FPERIOD_OVERRIDE=FQ","FILING_STATUS=MR","FA_ADJUSTED=GAAP","Sort=A","Dates=H","DateFormat=P","Fill=—","Direction=H","UseDPDF=Y")</f>
        <v>-7.5288000000000004</v>
      </c>
      <c r="L24" s="19">
        <f>_xll.BDH("TSLA US Equity","INC_BEF_XO_ITEMS_TO_NET_SALES","FQ3 2013","FQ3 2013","Currency=USD","Period=FQ","BEST_FPERIOD_OVERRIDE=FQ","FILING_STATUS=MR","FA_ADJUSTED=GAAP","Sort=A","Dates=H","DateFormat=P","Fill=—","Direction=H","UseDPDF=Y")</f>
        <v>-8.9245999999999999</v>
      </c>
      <c r="M24" s="19">
        <f>_xll.BDH("TSLA US Equity","INC_BEF_XO_ITEMS_TO_NET_SALES","FQ4 2013","FQ4 2013","Currency=USD","Period=FQ","BEST_FPERIOD_OVERRIDE=FQ","FILING_STATUS=MR","FA_ADJUSTED=GAAP","Sort=A","Dates=H","DateFormat=P","Fill=—","Direction=H","UseDPDF=Y")</f>
        <v>-2.6436000000000002</v>
      </c>
      <c r="N24" s="19">
        <f>_xll.BDH("TSLA US Equity","INC_BEF_XO_ITEMS_TO_NET_SALES","FQ1 2014","FQ1 2014","Currency=USD","Period=FQ","BEST_FPERIOD_OVERRIDE=FQ","FILING_STATUS=MR","FA_ADJUSTED=GAAP","Sort=A","Dates=H","DateFormat=P","Fill=—","Direction=H","UseDPDF=Y")</f>
        <v>-8.0251999999999999</v>
      </c>
      <c r="O24" s="19">
        <f>_xll.BDH("TSLA US Equity","INC_BEF_XO_ITEMS_TO_NET_SALES","FQ2 2014","FQ2 2014","Currency=USD","Period=FQ","BEST_FPERIOD_OVERRIDE=FQ","FILING_STATUS=MR","FA_ADJUSTED=GAAP","Sort=A","Dates=H","DateFormat=P","Fill=—","Direction=H","UseDPDF=Y")</f>
        <v>-8.0457999999999998</v>
      </c>
      <c r="P24" s="19">
        <f>_xll.BDH("TSLA US Equity","INC_BEF_XO_ITEMS_TO_NET_SALES","FQ3 2014","FQ3 2014","Currency=USD","Period=FQ","BEST_FPERIOD_OVERRIDE=FQ","FILING_STATUS=MR","FA_ADJUSTED=GAAP","Sort=A","Dates=H","DateFormat=P","Fill=—","Direction=H","UseDPDF=Y")</f>
        <v>-8.7706</v>
      </c>
      <c r="Q24" s="19">
        <f>_xll.BDH("TSLA US Equity","INC_BEF_XO_ITEMS_TO_NET_SALES","FQ4 2014","FQ4 2014","Currency=USD","Period=FQ","BEST_FPERIOD_OVERRIDE=FQ","FILING_STATUS=MR","FA_ADJUSTED=GAAP","Sort=A","Dates=H","DateFormat=P","Fill=—","Direction=H","UseDPDF=Y")</f>
        <v>-11.250500000000001</v>
      </c>
      <c r="R24" s="19">
        <f>_xll.BDH("TSLA US Equity","INC_BEF_XO_ITEMS_TO_NET_SALES","FQ1 2015","FQ1 2015","Currency=USD","Period=FQ","BEST_FPERIOD_OVERRIDE=FQ","FILING_STATUS=MR","FA_ADJUSTED=GAAP","Sort=A","Dates=H","DateFormat=P","Fill=—","Direction=H","UseDPDF=Y")</f>
        <v>-16.404299999999999</v>
      </c>
      <c r="S24" s="19">
        <f>_xll.BDH("TSLA US Equity","INC_BEF_XO_ITEMS_TO_NET_SALES","FQ2 2015","FQ2 2015","Currency=USD","Period=FQ","BEST_FPERIOD_OVERRIDE=FQ","FILING_STATUS=MR","FA_ADJUSTED=GAAP","Sort=A","Dates=H","DateFormat=P","Fill=—","Direction=H","UseDPDF=Y")</f>
        <v>-19.2913</v>
      </c>
      <c r="T24" s="19">
        <f>_xll.BDH("TSLA US Equity","INC_BEF_XO_ITEMS_TO_NET_SALES","FQ3 2015","FQ3 2015","Currency=USD","Period=FQ","BEST_FPERIOD_OVERRIDE=FQ","FILING_STATUS=MR","FA_ADJUSTED=GAAP","Sort=A","Dates=H","DateFormat=P","Fill=—","Direction=H","UseDPDF=Y")</f>
        <v>-24.536799999999999</v>
      </c>
      <c r="U24" s="19">
        <f>_xll.BDH("TSLA US Equity","INC_BEF_XO_ITEMS_TO_NET_SALES","FQ4 2015","FQ4 2015","Currency=USD","Period=FQ","BEST_FPERIOD_OVERRIDE=FQ","FILING_STATUS=MR","FA_ADJUSTED=GAAP","Sort=A","Dates=H","DateFormat=P","Fill=—","Direction=H","UseDPDF=Y")</f>
        <v>-26.383600000000001</v>
      </c>
      <c r="V24" s="19">
        <f>_xll.BDH("TSLA US Equity","INC_BEF_XO_ITEMS_TO_NET_SALES","FQ1 2016","FQ1 2016","Currency=USD","Period=FQ","BEST_FPERIOD_OVERRIDE=FQ","FILING_STATUS=MR","FA_ADJUSTED=GAAP","Sort=A","Dates=H","DateFormat=P","Fill=—","Direction=H","UseDPDF=Y")</f>
        <v>-24.6081</v>
      </c>
      <c r="W24" s="19">
        <f>_xll.BDH("TSLA US Equity","INC_BEF_XO_ITEMS_TO_NET_SALES","FQ2 2016","FQ2 2016","Currency=USD","Period=FQ","BEST_FPERIOD_OVERRIDE=FQ","FILING_STATUS=MR","FA_ADJUSTED=GAAP","Sort=A","Dates=H","DateFormat=P","Fill=—","Direction=H","UseDPDF=Y")</f>
        <v>-23.0854</v>
      </c>
      <c r="X24" s="19">
        <f>_xll.BDH("TSLA US Equity","INC_BEF_XO_ITEMS_TO_NET_SALES","FQ3 2016","FQ3 2016","Currency=USD","Period=FQ","BEST_FPERIOD_OVERRIDE=FQ","FILING_STATUS=MR","FA_ADJUSTED=GAAP","Sort=A","Dates=H","DateFormat=P","Fill=—","Direction=H","UseDPDF=Y")</f>
        <v>0.95189999999999997</v>
      </c>
      <c r="Y24" s="19">
        <f>_xll.BDH("TSLA US Equity","INC_BEF_XO_ITEMS_TO_NET_SALES","FQ4 2016","FQ4 2016","Currency=USD","Period=FQ","BEST_FPERIOD_OVERRIDE=FQ","FILING_STATUS=MR","FA_ADJUSTED=GAAP","Sort=A","Dates=H","DateFormat=P","Fill=—","Direction=H","UseDPDF=Y")</f>
        <v>-9.6062999999999992</v>
      </c>
      <c r="Z24" s="19">
        <f>_xll.BDH("TSLA US Equity","INC_BEF_XO_ITEMS_TO_NET_SALES","FQ1 2017","FQ1 2017","Currency=USD","Period=FQ","BEST_FPERIOD_OVERRIDE=FQ","FILING_STATUS=MR","FA_ADJUSTED=GAAP","Sort=A","Dates=H","DateFormat=P","Fill=—","Direction=H","UseDPDF=Y")</f>
        <v>-14.7308</v>
      </c>
      <c r="AA24" s="19">
        <f>_xll.BDH("TSLA US Equity","INC_BEF_XO_ITEMS_TO_NET_SALES","FQ2 2017","FQ2 2017","Currency=USD","Period=FQ","BEST_FPERIOD_OVERRIDE=FQ","FILING_STATUS=MR","FA_ADJUSTED=GAAP","Sort=A","Dates=H","DateFormat=P","Fill=—","Direction=H","UseDPDF=Y")</f>
        <v>-14.3903</v>
      </c>
      <c r="AB24" s="19">
        <f>_xll.BDH("TSLA US Equity","INC_BEF_XO_ITEMS_TO_NET_SALES","FQ3 2017","FQ3 2017","Currency=USD","Period=FQ","BEST_FPERIOD_OVERRIDE=FQ","FILING_STATUS=MR","FA_ADJUSTED=GAAP","Sort=A","Dates=H","DateFormat=P","Fill=—","Direction=H","UseDPDF=Y")</f>
        <v>-22.486999999999998</v>
      </c>
      <c r="AC24" s="19">
        <f>_xll.BDH("TSLA US Equity","INC_BEF_XO_ITEMS_TO_NET_SALES","FQ4 2017","FQ4 2017","Currency=USD","Period=FQ","BEST_FPERIOD_OVERRIDE=FQ","FILING_STATUS=MR","FA_ADJUSTED=GAAP","Sort=A","Dates=H","DateFormat=P","Fill=—","Direction=H","UseDPDF=Y")</f>
        <v>-23.441299999999998</v>
      </c>
      <c r="AD24" s="19">
        <f>_xll.BDH("TSLA US Equity","INC_BEF_XO_ITEMS_TO_NET_SALES","FQ1 2018","FQ1 2018","Currency=USD","Period=FQ","BEST_FPERIOD_OVERRIDE=FQ","FILING_STATUS=MR","FA_ADJUSTED=GAAP","Sort=A","Dates=H","DateFormat=P","Fill=—","Direction=H","UseDPDF=Y")</f>
        <v>-23.018000000000001</v>
      </c>
      <c r="AE24" s="19">
        <f>_xll.BDH("TSLA US Equity","INC_BEF_XO_ITEMS_TO_NET_SALES","FQ2 2018","FQ2 2018","Currency=USD","Period=FQ","BEST_FPERIOD_OVERRIDE=FQ","FILING_STATUS=MR","FA_ADJUSTED=GAAP","Sort=A","Dates=H","DateFormat=P","Fill=—","Direction=H","UseDPDF=Y")</f>
        <v>-18.557300000000001</v>
      </c>
      <c r="AF24" s="19">
        <f>_xll.BDH("TSLA US Equity","INC_BEF_XO_ITEMS_TO_NET_SALES","FQ3 2018","FQ3 2018","Currency=USD","Period=FQ","BEST_FPERIOD_OVERRIDE=FQ","FILING_STATUS=MR","FA_ADJUSTED=GAAP","Sort=A","Dates=H","DateFormat=P","Fill=—","Direction=H","UseDPDF=Y")</f>
        <v>3.7317999999999998</v>
      </c>
      <c r="AG24" s="19">
        <f>_xll.BDH("TSLA US Equity","INC_BEF_XO_ITEMS_TO_NET_SALES","FQ4 2018","FQ4 2018","Currency=USD","Period=FQ","BEST_FPERIOD_OVERRIDE=FQ","FILING_STATUS=MR","FA_ADJUSTED=GAAP","Sort=A","Dates=H","DateFormat=P","Fill=—","Direction=H","UseDPDF=Y")</f>
        <v>2.9073000000000002</v>
      </c>
      <c r="AH24" s="19">
        <f>_xll.BDH("TSLA US Equity","INC_BEF_XO_ITEMS_TO_NET_SALES","FQ1 2019","FQ1 2019","Currency=USD","Period=FQ","BEST_FPERIOD_OVERRIDE=FQ","FILING_STATUS=MR","FA_ADJUSTED=GAAP","Sort=A","Dates=H","DateFormat=P","Fill=—","Direction=H","UseDPDF=Y")</f>
        <v>-14.7011</v>
      </c>
      <c r="AI24" s="19">
        <f>_xll.BDH("TSLA US Equity","INC_BEF_XO_ITEMS_TO_NET_SALES","FQ2 2019","FQ2 2019","Currency=USD","Period=FQ","BEST_FPERIOD_OVERRIDE=FQ","FILING_STATUS=MR","FA_ADJUSTED=GAAP","Sort=A","Dates=H","DateFormat=P","Fill=—","Direction=H","UseDPDF=Y")</f>
        <v>-6.1303999999999998</v>
      </c>
      <c r="AJ24" s="19">
        <f>_xll.BDH("TSLA US Equity","INC_BEF_XO_ITEMS_TO_NET_SALES","FQ3 2019","FQ3 2019","Currency=USD","Period=FQ","BEST_FPERIOD_OVERRIDE=FQ","FILING_STATUS=MR","FA_ADJUSTED=GAAP","Sort=A","Dates=H","DateFormat=P","Fill=—","Direction=H","UseDPDF=Y")</f>
        <v>2.3797999999999999</v>
      </c>
      <c r="AK24" s="19">
        <f>_xll.BDH("TSLA US Equity","INC_BEF_XO_ITEMS_TO_NET_SALES","FQ4 2019","FQ4 2019","Currency=USD","Period=FQ","BEST_FPERIOD_OVERRIDE=FQ","FILING_STATUS=MR","FA_ADJUSTED=GAAP","Sort=A","Dates=H","DateFormat=P","Fill=—","Direction=H","UseDPDF=Y")</f>
        <v>1.7875999999999999</v>
      </c>
      <c r="AL24" s="19">
        <f>_xll.BDH("TSLA US Equity","INC_BEF_XO_ITEMS_TO_NET_SALES","FQ1 2020","FQ1 2020","Currency=USD","Period=FQ","BEST_FPERIOD_OVERRIDE=FQ","FILING_STATUS=MR","FA_ADJUSTED=GAAP","Sort=A","Dates=H","DateFormat=P","Fill=—","Direction=H","UseDPDF=Y")</f>
        <v>1.1362000000000001</v>
      </c>
      <c r="AM24" s="19">
        <f>_xll.BDH("TSLA US Equity","INC_BEF_XO_ITEMS_TO_NET_SALES","FQ2 2020","FQ2 2020","Currency=USD","Period=FQ","BEST_FPERIOD_OVERRIDE=FQ","FILING_STATUS=MR","FA_ADJUSTED=GAAP","Sort=A","Dates=H","DateFormat=P","Fill=—","Direction=H","UseDPDF=Y")</f>
        <v>2.1372</v>
      </c>
      <c r="AN24" s="19">
        <f>_xll.BDH("TSLA US Equity","INC_BEF_XO_ITEMS_TO_NET_SALES","FQ3 2020","FQ3 2020","Currency=USD","Period=FQ","BEST_FPERIOD_OVERRIDE=FQ","FILING_STATUS=MR","FA_ADJUSTED=GAAP","Sort=A","Dates=H","DateFormat=P","Fill=—","Direction=H","UseDPDF=Y")</f>
        <v>4.2069999999999999</v>
      </c>
      <c r="AO24" s="19">
        <f>_xll.BDH("TSLA US Equity","INC_BEF_XO_ITEMS_TO_NET_SALES","FQ4 2020","FQ4 2020","Currency=USD","Period=FQ","BEST_FPERIOD_OVERRIDE=FQ","FILING_STATUS=MR","FA_ADJUSTED=GAAP","Sort=A","Dates=H","DateFormat=P","Fill=—","Direction=H","UseDPDF=Y")</f>
        <v>2.7549999999999999</v>
      </c>
      <c r="AP24" s="19">
        <f>_xll.BDH("TSLA US Equity","INC_BEF_XO_ITEMS_TO_NET_SALES","FQ1 2021","FQ1 2021","Currency=USD","Period=FQ","BEST_FPERIOD_OVERRIDE=FQ","FILING_STATUS=MR","FA_ADJUSTED=GAAP","Sort=A","Dates=H","DateFormat=P","Fill=—","Direction=H","UseDPDF=Y")</f>
        <v>4.4663000000000004</v>
      </c>
    </row>
    <row r="25" spans="1:42" x14ac:dyDescent="0.25">
      <c r="A25" s="16" t="s">
        <v>113</v>
      </c>
      <c r="B25" s="16" t="s">
        <v>114</v>
      </c>
      <c r="C25" s="19">
        <f>_xll.BDH("TSLA US Equity","PROF_MARGIN","FQ2 2011","FQ2 2011","Currency=USD","Period=FQ","BEST_FPERIOD_OVERRIDE=FQ","FILING_STATUS=MR","FA_ADJUSTED=GAAP","Sort=A","Dates=H","DateFormat=P","Fill=—","Direction=H","UseDPDF=Y")</f>
        <v>-101.25839999999999</v>
      </c>
      <c r="D25" s="19">
        <f>_xll.BDH("TSLA US Equity","PROF_MARGIN","FQ3 2011","FQ3 2011","Currency=USD","Period=FQ","BEST_FPERIOD_OVERRIDE=FQ","FILING_STATUS=MR","FA_ADJUSTED=GAAP","Sort=A","Dates=H","DateFormat=P","Fill=—","Direction=H","UseDPDF=Y")</f>
        <v>-112.8533</v>
      </c>
      <c r="E25" s="19">
        <f>_xll.BDH("TSLA US Equity","PROF_MARGIN","FQ4 2011","FQ4 2011","Currency=USD","Period=FQ","BEST_FPERIOD_OVERRIDE=FQ","FILING_STATUS=MR","FA_ADJUSTED=GAAP","Sort=A","Dates=H","DateFormat=P","Fill=—","Direction=H","UseDPDF=Y")</f>
        <v>-206.9537</v>
      </c>
      <c r="F25" s="19">
        <f>_xll.BDH("TSLA US Equity","PROF_MARGIN","FQ1 2012","FQ1 2012","Currency=USD","Period=FQ","BEST_FPERIOD_OVERRIDE=FQ","FILING_STATUS=MR","FA_ADJUSTED=GAAP","Sort=A","Dates=H","DateFormat=P","Fill=—","Direction=H","UseDPDF=Y")</f>
        <v>-297.91829999999999</v>
      </c>
      <c r="G25" s="19">
        <f>_xll.BDH("TSLA US Equity","PROF_MARGIN","FQ2 2012","FQ2 2012","Currency=USD","Period=FQ","BEST_FPERIOD_OVERRIDE=FQ","FILING_STATUS=MR","FA_ADJUSTED=GAAP","Sort=A","Dates=H","DateFormat=P","Fill=—","Direction=H","UseDPDF=Y")</f>
        <v>-396.21429999999998</v>
      </c>
      <c r="H25" s="19">
        <f>_xll.BDH("TSLA US Equity","PROF_MARGIN","FQ3 2012","FQ3 2012","Currency=USD","Period=FQ","BEST_FPERIOD_OVERRIDE=FQ","FILING_STATUS=MR","FA_ADJUSTED=GAAP","Sort=A","Dates=H","DateFormat=P","Fill=—","Direction=H","UseDPDF=Y")</f>
        <v>-221.148</v>
      </c>
      <c r="I25" s="19">
        <f>_xll.BDH("TSLA US Equity","PROF_MARGIN","FQ4 2012","FQ4 2012","Currency=USD","Period=FQ","BEST_FPERIOD_OVERRIDE=FQ","FILING_STATUS=MR","FA_ADJUSTED=GAAP","Sort=A","Dates=H","DateFormat=P","Fill=—","Direction=H","UseDPDF=Y")</f>
        <v>-29.357700000000001</v>
      </c>
      <c r="J25" s="19">
        <f>_xll.BDH("TSLA US Equity","PROF_MARGIN","FQ1 2013","FQ1 2013","Currency=USD","Period=FQ","BEST_FPERIOD_OVERRIDE=FQ","FILING_STATUS=MR","FA_ADJUSTED=GAAP","Sort=A","Dates=H","DateFormat=P","Fill=—","Direction=H","UseDPDF=Y")</f>
        <v>2.0022000000000002</v>
      </c>
      <c r="K25" s="19">
        <f>_xll.BDH("TSLA US Equity","PROF_MARGIN","FQ2 2013","FQ2 2013","Currency=USD","Period=FQ","BEST_FPERIOD_OVERRIDE=FQ","FILING_STATUS=MR","FA_ADJUSTED=GAAP","Sort=A","Dates=H","DateFormat=P","Fill=—","Direction=H","UseDPDF=Y")</f>
        <v>-7.5288000000000004</v>
      </c>
      <c r="L25" s="19">
        <f>_xll.BDH("TSLA US Equity","PROF_MARGIN","FQ3 2013","FQ3 2013","Currency=USD","Period=FQ","BEST_FPERIOD_OVERRIDE=FQ","FILING_STATUS=MR","FA_ADJUSTED=GAAP","Sort=A","Dates=H","DateFormat=P","Fill=—","Direction=H","UseDPDF=Y")</f>
        <v>-8.9245999999999999</v>
      </c>
      <c r="M25" s="19">
        <f>_xll.BDH("TSLA US Equity","PROF_MARGIN","FQ4 2013","FQ4 2013","Currency=USD","Period=FQ","BEST_FPERIOD_OVERRIDE=FQ","FILING_STATUS=MR","FA_ADJUSTED=GAAP","Sort=A","Dates=H","DateFormat=P","Fill=—","Direction=H","UseDPDF=Y")</f>
        <v>-2.6436000000000002</v>
      </c>
      <c r="N25" s="19">
        <f>_xll.BDH("TSLA US Equity","PROF_MARGIN","FQ1 2014","FQ1 2014","Currency=USD","Period=FQ","BEST_FPERIOD_OVERRIDE=FQ","FILING_STATUS=MR","FA_ADJUSTED=GAAP","Sort=A","Dates=H","DateFormat=P","Fill=—","Direction=H","UseDPDF=Y")</f>
        <v>-8.0251999999999999</v>
      </c>
      <c r="O25" s="19">
        <f>_xll.BDH("TSLA US Equity","PROF_MARGIN","FQ2 2014","FQ2 2014","Currency=USD","Period=FQ","BEST_FPERIOD_OVERRIDE=FQ","FILING_STATUS=MR","FA_ADJUSTED=GAAP","Sort=A","Dates=H","DateFormat=P","Fill=—","Direction=H","UseDPDF=Y")</f>
        <v>-8.0457999999999998</v>
      </c>
      <c r="P25" s="19">
        <f>_xll.BDH("TSLA US Equity","PROF_MARGIN","FQ3 2014","FQ3 2014","Currency=USD","Period=FQ","BEST_FPERIOD_OVERRIDE=FQ","FILING_STATUS=MR","FA_ADJUSTED=GAAP","Sort=A","Dates=H","DateFormat=P","Fill=—","Direction=H","UseDPDF=Y")</f>
        <v>-8.7706</v>
      </c>
      <c r="Q25" s="19">
        <f>_xll.BDH("TSLA US Equity","PROF_MARGIN","FQ4 2014","FQ4 2014","Currency=USD","Period=FQ","BEST_FPERIOD_OVERRIDE=FQ","FILING_STATUS=MR","FA_ADJUSTED=GAAP","Sort=A","Dates=H","DateFormat=P","Fill=—","Direction=H","UseDPDF=Y")</f>
        <v>-11.250500000000001</v>
      </c>
      <c r="R25" s="19">
        <f>_xll.BDH("TSLA US Equity","PROF_MARGIN","FQ1 2015","FQ1 2015","Currency=USD","Period=FQ","BEST_FPERIOD_OVERRIDE=FQ","FILING_STATUS=MR","FA_ADJUSTED=GAAP","Sort=A","Dates=H","DateFormat=P","Fill=—","Direction=H","UseDPDF=Y")</f>
        <v>-16.404299999999999</v>
      </c>
      <c r="S25" s="19">
        <f>_xll.BDH("TSLA US Equity","PROF_MARGIN","FQ2 2015","FQ2 2015","Currency=USD","Period=FQ","BEST_FPERIOD_OVERRIDE=FQ","FILING_STATUS=MR","FA_ADJUSTED=GAAP","Sort=A","Dates=H","DateFormat=P","Fill=—","Direction=H","UseDPDF=Y")</f>
        <v>-19.2913</v>
      </c>
      <c r="T25" s="19">
        <f>_xll.BDH("TSLA US Equity","PROF_MARGIN","FQ3 2015","FQ3 2015","Currency=USD","Period=FQ","BEST_FPERIOD_OVERRIDE=FQ","FILING_STATUS=MR","FA_ADJUSTED=GAAP","Sort=A","Dates=H","DateFormat=P","Fill=—","Direction=H","UseDPDF=Y")</f>
        <v>-24.536799999999999</v>
      </c>
      <c r="U25" s="19">
        <f>_xll.BDH("TSLA US Equity","PROF_MARGIN","FQ4 2015","FQ4 2015","Currency=USD","Period=FQ","BEST_FPERIOD_OVERRIDE=FQ","FILING_STATUS=MR","FA_ADJUSTED=GAAP","Sort=A","Dates=H","DateFormat=P","Fill=—","Direction=H","UseDPDF=Y")</f>
        <v>-26.383600000000001</v>
      </c>
      <c r="V25" s="19">
        <f>_xll.BDH("TSLA US Equity","PROF_MARGIN","FQ1 2016","FQ1 2016","Currency=USD","Period=FQ","BEST_FPERIOD_OVERRIDE=FQ","FILING_STATUS=MR","FA_ADJUSTED=GAAP","Sort=A","Dates=H","DateFormat=P","Fill=—","Direction=H","UseDPDF=Y")</f>
        <v>-24.6081</v>
      </c>
      <c r="W25" s="19">
        <f>_xll.BDH("TSLA US Equity","PROF_MARGIN","FQ2 2016","FQ2 2016","Currency=USD","Period=FQ","BEST_FPERIOD_OVERRIDE=FQ","FILING_STATUS=MR","FA_ADJUSTED=GAAP","Sort=A","Dates=H","DateFormat=P","Fill=—","Direction=H","UseDPDF=Y")</f>
        <v>-23.0854</v>
      </c>
      <c r="X25" s="19">
        <f>_xll.BDH("TSLA US Equity","PROF_MARGIN","FQ3 2016","FQ3 2016","Currency=USD","Period=FQ","BEST_FPERIOD_OVERRIDE=FQ","FILING_STATUS=MR","FA_ADJUSTED=GAAP","Sort=A","Dates=H","DateFormat=P","Fill=—","Direction=H","UseDPDF=Y")</f>
        <v>0.95189999999999997</v>
      </c>
      <c r="Y25" s="19">
        <f>_xll.BDH("TSLA US Equity","PROF_MARGIN","FQ4 2016","FQ4 2016","Currency=USD","Period=FQ","BEST_FPERIOD_OVERRIDE=FQ","FILING_STATUS=MR","FA_ADJUSTED=GAAP","Sort=A","Dates=H","DateFormat=P","Fill=—","Direction=H","UseDPDF=Y")</f>
        <v>-5.3109999999999999</v>
      </c>
      <c r="Z25" s="19">
        <f>_xll.BDH("TSLA US Equity","PROF_MARGIN","FQ1 2017","FQ1 2017","Currency=USD","Period=FQ","BEST_FPERIOD_OVERRIDE=FQ","FILING_STATUS=MR","FA_ADJUSTED=GAAP","Sort=A","Dates=H","DateFormat=P","Fill=—","Direction=H","UseDPDF=Y")</f>
        <v>-12.2494</v>
      </c>
      <c r="AA25" s="19">
        <f>_xll.BDH("TSLA US Equity","PROF_MARGIN","FQ2 2017","FQ2 2017","Currency=USD","Period=FQ","BEST_FPERIOD_OVERRIDE=FQ","FILING_STATUS=MR","FA_ADJUSTED=GAAP","Sort=A","Dates=H","DateFormat=P","Fill=—","Direction=H","UseDPDF=Y")</f>
        <v>-12.059200000000001</v>
      </c>
      <c r="AB25" s="19">
        <f>_xll.BDH("TSLA US Equity","PROF_MARGIN","FQ3 2017","FQ3 2017","Currency=USD","Period=FQ","BEST_FPERIOD_OVERRIDE=FQ","FILING_STATUS=MR","FA_ADJUSTED=GAAP","Sort=A","Dates=H","DateFormat=P","Fill=—","Direction=H","UseDPDF=Y")</f>
        <v>-20.751899999999999</v>
      </c>
      <c r="AC25" s="19">
        <f>_xll.BDH("TSLA US Equity","PROF_MARGIN","FQ4 2017","FQ4 2017","Currency=USD","Period=FQ","BEST_FPERIOD_OVERRIDE=FQ","FILING_STATUS=MR","FA_ADJUSTED=GAAP","Sort=A","Dates=H","DateFormat=P","Fill=—","Direction=H","UseDPDF=Y")</f>
        <v>-20.5383</v>
      </c>
      <c r="AD25" s="19">
        <f>_xll.BDH("TSLA US Equity","PROF_MARGIN","FQ1 2018","FQ1 2018","Currency=USD","Period=FQ","BEST_FPERIOD_OVERRIDE=FQ","FILING_STATUS=MR","FA_ADJUSTED=GAAP","Sort=A","Dates=H","DateFormat=P","Fill=—","Direction=H","UseDPDF=Y")</f>
        <v>-20.8156</v>
      </c>
      <c r="AE25" s="19">
        <f>_xll.BDH("TSLA US Equity","PROF_MARGIN","FQ2 2018","FQ2 2018","Currency=USD","Period=FQ","BEST_FPERIOD_OVERRIDE=FQ","FILING_STATUS=MR","FA_ADJUSTED=GAAP","Sort=A","Dates=H","DateFormat=P","Fill=—","Direction=H","UseDPDF=Y")</f>
        <v>-17.9285</v>
      </c>
      <c r="AF25" s="19">
        <f>_xll.BDH("TSLA US Equity","PROF_MARGIN","FQ3 2018","FQ3 2018","Currency=USD","Period=FQ","BEST_FPERIOD_OVERRIDE=FQ","FILING_STATUS=MR","FA_ADJUSTED=GAAP","Sort=A","Dates=H","DateFormat=P","Fill=—","Direction=H","UseDPDF=Y")</f>
        <v>4.5647000000000002</v>
      </c>
      <c r="AG25" s="19">
        <f>_xll.BDH("TSLA US Equity","PROF_MARGIN","FQ4 2018","FQ4 2018","Currency=USD","Period=FQ","BEST_FPERIOD_OVERRIDE=FQ","FILING_STATUS=MR","FA_ADJUSTED=GAAP","Sort=A","Dates=H","DateFormat=P","Fill=—","Direction=H","UseDPDF=Y")</f>
        <v>1.9302999999999999</v>
      </c>
      <c r="AH25" s="19">
        <f>_xll.BDH("TSLA US Equity","PROF_MARGIN","FQ1 2019","FQ1 2019","Currency=USD","Period=FQ","BEST_FPERIOD_OVERRIDE=FQ","FILING_STATUS=MR","FA_ADJUSTED=GAAP","Sort=A","Dates=H","DateFormat=P","Fill=—","Direction=H","UseDPDF=Y")</f>
        <v>-15.4605</v>
      </c>
      <c r="AI25" s="19">
        <f>_xll.BDH("TSLA US Equity","PROF_MARGIN","FQ2 2019","FQ2 2019","Currency=USD","Period=FQ","BEST_FPERIOD_OVERRIDE=FQ","FILING_STATUS=MR","FA_ADJUSTED=GAAP","Sort=A","Dates=H","DateFormat=P","Fill=—","Direction=H","UseDPDF=Y")</f>
        <v>-6.4307999999999996</v>
      </c>
      <c r="AJ25" s="19">
        <f>_xll.BDH("TSLA US Equity","PROF_MARGIN","FQ3 2019","FQ3 2019","Currency=USD","Period=FQ","BEST_FPERIOD_OVERRIDE=FQ","FILING_STATUS=MR","FA_ADJUSTED=GAAP","Sort=A","Dates=H","DateFormat=P","Fill=—","Direction=H","UseDPDF=Y")</f>
        <v>2.2688000000000001</v>
      </c>
      <c r="AK25" s="19">
        <f>_xll.BDH("TSLA US Equity","PROF_MARGIN","FQ4 2019","FQ4 2019","Currency=USD","Period=FQ","BEST_FPERIOD_OVERRIDE=FQ","FILING_STATUS=MR","FA_ADJUSTED=GAAP","Sort=A","Dates=H","DateFormat=P","Fill=—","Direction=H","UseDPDF=Y")</f>
        <v>1.4219999999999999</v>
      </c>
      <c r="AL25" s="19">
        <f>_xll.BDH("TSLA US Equity","PROF_MARGIN","FQ1 2020","FQ1 2020","Currency=USD","Period=FQ","BEST_FPERIOD_OVERRIDE=FQ","FILING_STATUS=MR","FA_ADJUSTED=GAAP","Sort=A","Dates=H","DateFormat=P","Fill=—","Direction=H","UseDPDF=Y")</f>
        <v>0.26729999999999998</v>
      </c>
      <c r="AM25" s="19">
        <f>_xll.BDH("TSLA US Equity","PROF_MARGIN","FQ2 2020","FQ2 2020","Currency=USD","Period=FQ","BEST_FPERIOD_OVERRIDE=FQ","FILING_STATUS=MR","FA_ADJUSTED=GAAP","Sort=A","Dates=H","DateFormat=P","Fill=—","Direction=H","UseDPDF=Y")</f>
        <v>1.7229999999999999</v>
      </c>
      <c r="AN25" s="19">
        <f>_xll.BDH("TSLA US Equity","PROF_MARGIN","FQ3 2020","FQ3 2020","Currency=USD","Period=FQ","BEST_FPERIOD_OVERRIDE=FQ","FILING_STATUS=MR","FA_ADJUSTED=GAAP","Sort=A","Dates=H","DateFormat=P","Fill=—","Direction=H","UseDPDF=Y")</f>
        <v>3.7738</v>
      </c>
      <c r="AO25" s="19">
        <f>_xll.BDH("TSLA US Equity","PROF_MARGIN","FQ4 2020","FQ4 2020","Currency=USD","Period=FQ","BEST_FPERIOD_OVERRIDE=FQ","FILING_STATUS=MR","FA_ADJUSTED=GAAP","Sort=A","Dates=H","DateFormat=P","Fill=—","Direction=H","UseDPDF=Y")</f>
        <v>2.5129999999999999</v>
      </c>
      <c r="AP25" s="19">
        <f>_xll.BDH("TSLA US Equity","PROF_MARGIN","FQ1 2021","FQ1 2021","Currency=USD","Period=FQ","BEST_FPERIOD_OVERRIDE=FQ","FILING_STATUS=MR","FA_ADJUSTED=GAAP","Sort=A","Dates=H","DateFormat=P","Fill=—","Direction=H","UseDPDF=Y")</f>
        <v>4.2160000000000002</v>
      </c>
    </row>
    <row r="26" spans="1:42" x14ac:dyDescent="0.25">
      <c r="A26" s="16" t="s">
        <v>115</v>
      </c>
      <c r="B26" s="16" t="s">
        <v>116</v>
      </c>
      <c r="C26" s="19">
        <f>_xll.BDH("TSLA US Equity","NET_INCOME_TO_COMMON_MARGIN","FQ2 2011","FQ2 2011","Currency=USD","Period=FQ","BEST_FPERIOD_OVERRIDE=FQ","FILING_STATUS=MR","FA_ADJUSTED=GAAP","Sort=A","Dates=H","DateFormat=P","Fill=—","Direction=H","UseDPDF=Y")</f>
        <v>-101.25839999999999</v>
      </c>
      <c r="D26" s="19">
        <f>_xll.BDH("TSLA US Equity","NET_INCOME_TO_COMMON_MARGIN","FQ3 2011","FQ3 2011","Currency=USD","Period=FQ","BEST_FPERIOD_OVERRIDE=FQ","FILING_STATUS=MR","FA_ADJUSTED=GAAP","Sort=A","Dates=H","DateFormat=P","Fill=—","Direction=H","UseDPDF=Y")</f>
        <v>-112.8533</v>
      </c>
      <c r="E26" s="19">
        <f>_xll.BDH("TSLA US Equity","NET_INCOME_TO_COMMON_MARGIN","FQ4 2011","FQ4 2011","Currency=USD","Period=FQ","BEST_FPERIOD_OVERRIDE=FQ","FILING_STATUS=MR","FA_ADJUSTED=GAAP","Sort=A","Dates=H","DateFormat=P","Fill=—","Direction=H","UseDPDF=Y")</f>
        <v>-206.9537</v>
      </c>
      <c r="F26" s="19">
        <f>_xll.BDH("TSLA US Equity","NET_INCOME_TO_COMMON_MARGIN","FQ1 2012","FQ1 2012","Currency=USD","Period=FQ","BEST_FPERIOD_OVERRIDE=FQ","FILING_STATUS=MR","FA_ADJUSTED=GAAP","Sort=A","Dates=H","DateFormat=P","Fill=—","Direction=H","UseDPDF=Y")</f>
        <v>-297.91829999999999</v>
      </c>
      <c r="G26" s="19">
        <f>_xll.BDH("TSLA US Equity","NET_INCOME_TO_COMMON_MARGIN","FQ2 2012","FQ2 2012","Currency=USD","Period=FQ","BEST_FPERIOD_OVERRIDE=FQ","FILING_STATUS=MR","FA_ADJUSTED=GAAP","Sort=A","Dates=H","DateFormat=P","Fill=—","Direction=H","UseDPDF=Y")</f>
        <v>-396.21429999999998</v>
      </c>
      <c r="H26" s="19">
        <f>_xll.BDH("TSLA US Equity","NET_INCOME_TO_COMMON_MARGIN","FQ3 2012","FQ3 2012","Currency=USD","Period=FQ","BEST_FPERIOD_OVERRIDE=FQ","FILING_STATUS=MR","FA_ADJUSTED=GAAP","Sort=A","Dates=H","DateFormat=P","Fill=—","Direction=H","UseDPDF=Y")</f>
        <v>-221.148</v>
      </c>
      <c r="I26" s="19">
        <f>_xll.BDH("TSLA US Equity","NET_INCOME_TO_COMMON_MARGIN","FQ4 2012","FQ4 2012","Currency=USD","Period=FQ","BEST_FPERIOD_OVERRIDE=FQ","FILING_STATUS=MR","FA_ADJUSTED=GAAP","Sort=A","Dates=H","DateFormat=P","Fill=—","Direction=H","UseDPDF=Y")</f>
        <v>-29.357700000000001</v>
      </c>
      <c r="J26" s="19">
        <f>_xll.BDH("TSLA US Equity","NET_INCOME_TO_COMMON_MARGIN","FQ1 2013","FQ1 2013","Currency=USD","Period=FQ","BEST_FPERIOD_OVERRIDE=FQ","FILING_STATUS=MR","FA_ADJUSTED=GAAP","Sort=A","Dates=H","DateFormat=P","Fill=—","Direction=H","UseDPDF=Y")</f>
        <v>2.0022000000000002</v>
      </c>
      <c r="K26" s="19">
        <f>_xll.BDH("TSLA US Equity","NET_INCOME_TO_COMMON_MARGIN","FQ2 2013","FQ2 2013","Currency=USD","Period=FQ","BEST_FPERIOD_OVERRIDE=FQ","FILING_STATUS=MR","FA_ADJUSTED=GAAP","Sort=A","Dates=H","DateFormat=P","Fill=—","Direction=H","UseDPDF=Y")</f>
        <v>-7.5288000000000004</v>
      </c>
      <c r="L26" s="19">
        <f>_xll.BDH("TSLA US Equity","NET_INCOME_TO_COMMON_MARGIN","FQ3 2013","FQ3 2013","Currency=USD","Period=FQ","BEST_FPERIOD_OVERRIDE=FQ","FILING_STATUS=MR","FA_ADJUSTED=GAAP","Sort=A","Dates=H","DateFormat=P","Fill=—","Direction=H","UseDPDF=Y")</f>
        <v>-8.9245999999999999</v>
      </c>
      <c r="M26" s="19">
        <f>_xll.BDH("TSLA US Equity","NET_INCOME_TO_COMMON_MARGIN","FQ4 2013","FQ4 2013","Currency=USD","Period=FQ","BEST_FPERIOD_OVERRIDE=FQ","FILING_STATUS=MR","FA_ADJUSTED=GAAP","Sort=A","Dates=H","DateFormat=P","Fill=—","Direction=H","UseDPDF=Y")</f>
        <v>-2.6436000000000002</v>
      </c>
      <c r="N26" s="19">
        <f>_xll.BDH("TSLA US Equity","NET_INCOME_TO_COMMON_MARGIN","FQ1 2014","FQ1 2014","Currency=USD","Period=FQ","BEST_FPERIOD_OVERRIDE=FQ","FILING_STATUS=MR","FA_ADJUSTED=GAAP","Sort=A","Dates=H","DateFormat=P","Fill=—","Direction=H","UseDPDF=Y")</f>
        <v>-8.0251999999999999</v>
      </c>
      <c r="O26" s="19">
        <f>_xll.BDH("TSLA US Equity","NET_INCOME_TO_COMMON_MARGIN","FQ2 2014","FQ2 2014","Currency=USD","Period=FQ","BEST_FPERIOD_OVERRIDE=FQ","FILING_STATUS=MR","FA_ADJUSTED=GAAP","Sort=A","Dates=H","DateFormat=P","Fill=—","Direction=H","UseDPDF=Y")</f>
        <v>-8.0457999999999998</v>
      </c>
      <c r="P26" s="19">
        <f>_xll.BDH("TSLA US Equity","NET_INCOME_TO_COMMON_MARGIN","FQ3 2014","FQ3 2014","Currency=USD","Period=FQ","BEST_FPERIOD_OVERRIDE=FQ","FILING_STATUS=MR","FA_ADJUSTED=GAAP","Sort=A","Dates=H","DateFormat=P","Fill=—","Direction=H","UseDPDF=Y")</f>
        <v>-8.7706</v>
      </c>
      <c r="Q26" s="19">
        <f>_xll.BDH("TSLA US Equity","NET_INCOME_TO_COMMON_MARGIN","FQ4 2014","FQ4 2014","Currency=USD","Period=FQ","BEST_FPERIOD_OVERRIDE=FQ","FILING_STATUS=MR","FA_ADJUSTED=GAAP","Sort=A","Dates=H","DateFormat=P","Fill=—","Direction=H","UseDPDF=Y")</f>
        <v>-11.250500000000001</v>
      </c>
      <c r="R26" s="19">
        <f>_xll.BDH("TSLA US Equity","NET_INCOME_TO_COMMON_MARGIN","FQ1 2015","FQ1 2015","Currency=USD","Period=FQ","BEST_FPERIOD_OVERRIDE=FQ","FILING_STATUS=MR","FA_ADJUSTED=GAAP","Sort=A","Dates=H","DateFormat=P","Fill=—","Direction=H","UseDPDF=Y")</f>
        <v>-16.404299999999999</v>
      </c>
      <c r="S26" s="19">
        <f>_xll.BDH("TSLA US Equity","NET_INCOME_TO_COMMON_MARGIN","FQ2 2015","FQ2 2015","Currency=USD","Period=FQ","BEST_FPERIOD_OVERRIDE=FQ","FILING_STATUS=MR","FA_ADJUSTED=GAAP","Sort=A","Dates=H","DateFormat=P","Fill=—","Direction=H","UseDPDF=Y")</f>
        <v>-19.2913</v>
      </c>
      <c r="T26" s="19">
        <f>_xll.BDH("TSLA US Equity","NET_INCOME_TO_COMMON_MARGIN","FQ3 2015","FQ3 2015","Currency=USD","Period=FQ","BEST_FPERIOD_OVERRIDE=FQ","FILING_STATUS=MR","FA_ADJUSTED=GAAP","Sort=A","Dates=H","DateFormat=P","Fill=—","Direction=H","UseDPDF=Y")</f>
        <v>-24.536799999999999</v>
      </c>
      <c r="U26" s="19">
        <f>_xll.BDH("TSLA US Equity","NET_INCOME_TO_COMMON_MARGIN","FQ4 2015","FQ4 2015","Currency=USD","Period=FQ","BEST_FPERIOD_OVERRIDE=FQ","FILING_STATUS=MR","FA_ADJUSTED=GAAP","Sort=A","Dates=H","DateFormat=P","Fill=—","Direction=H","UseDPDF=Y")</f>
        <v>-26.383600000000001</v>
      </c>
      <c r="V26" s="19">
        <f>_xll.BDH("TSLA US Equity","NET_INCOME_TO_COMMON_MARGIN","FQ1 2016","FQ1 2016","Currency=USD","Period=FQ","BEST_FPERIOD_OVERRIDE=FQ","FILING_STATUS=MR","FA_ADJUSTED=GAAP","Sort=A","Dates=H","DateFormat=P","Fill=—","Direction=H","UseDPDF=Y")</f>
        <v>-24.6081</v>
      </c>
      <c r="W26" s="19">
        <f>_xll.BDH("TSLA US Equity","NET_INCOME_TO_COMMON_MARGIN","FQ2 2016","FQ2 2016","Currency=USD","Period=FQ","BEST_FPERIOD_OVERRIDE=FQ","FILING_STATUS=MR","FA_ADJUSTED=GAAP","Sort=A","Dates=H","DateFormat=P","Fill=—","Direction=H","UseDPDF=Y")</f>
        <v>-23.0854</v>
      </c>
      <c r="X26" s="19">
        <f>_xll.BDH("TSLA US Equity","NET_INCOME_TO_COMMON_MARGIN","FQ3 2016","FQ3 2016","Currency=USD","Period=FQ","BEST_FPERIOD_OVERRIDE=FQ","FILING_STATUS=MR","FA_ADJUSTED=GAAP","Sort=A","Dates=H","DateFormat=P","Fill=—","Direction=H","UseDPDF=Y")</f>
        <v>0.95189999999999997</v>
      </c>
      <c r="Y26" s="19">
        <f>_xll.BDH("TSLA US Equity","NET_INCOME_TO_COMMON_MARGIN","FQ4 2016","FQ4 2016","Currency=USD","Period=FQ","BEST_FPERIOD_OVERRIDE=FQ","FILING_STATUS=MR","FA_ADJUSTED=GAAP","Sort=A","Dates=H","DateFormat=P","Fill=—","Direction=H","UseDPDF=Y")</f>
        <v>-5.3109999999999999</v>
      </c>
      <c r="Z26" s="19">
        <f>_xll.BDH("TSLA US Equity","NET_INCOME_TO_COMMON_MARGIN","FQ1 2017","FQ1 2017","Currency=USD","Period=FQ","BEST_FPERIOD_OVERRIDE=FQ","FILING_STATUS=MR","FA_ADJUSTED=GAAP","Sort=A","Dates=H","DateFormat=P","Fill=—","Direction=H","UseDPDF=Y")</f>
        <v>-12.2494</v>
      </c>
      <c r="AA26" s="19">
        <f>_xll.BDH("TSLA US Equity","NET_INCOME_TO_COMMON_MARGIN","FQ2 2017","FQ2 2017","Currency=USD","Period=FQ","BEST_FPERIOD_OVERRIDE=FQ","FILING_STATUS=MR","FA_ADJUSTED=GAAP","Sort=A","Dates=H","DateFormat=P","Fill=—","Direction=H","UseDPDF=Y")</f>
        <v>-12.059200000000001</v>
      </c>
      <c r="AB26" s="19">
        <f>_xll.BDH("TSLA US Equity","NET_INCOME_TO_COMMON_MARGIN","FQ3 2017","FQ3 2017","Currency=USD","Period=FQ","BEST_FPERIOD_OVERRIDE=FQ","FILING_STATUS=MR","FA_ADJUSTED=GAAP","Sort=A","Dates=H","DateFormat=P","Fill=—","Direction=H","UseDPDF=Y")</f>
        <v>-20.751899999999999</v>
      </c>
      <c r="AC26" s="19">
        <f>_xll.BDH("TSLA US Equity","NET_INCOME_TO_COMMON_MARGIN","FQ4 2017","FQ4 2017","Currency=USD","Period=FQ","BEST_FPERIOD_OVERRIDE=FQ","FILING_STATUS=MR","FA_ADJUSTED=GAAP","Sort=A","Dates=H","DateFormat=P","Fill=—","Direction=H","UseDPDF=Y")</f>
        <v>-20.5383</v>
      </c>
      <c r="AD26" s="19">
        <f>_xll.BDH("TSLA US Equity","NET_INCOME_TO_COMMON_MARGIN","FQ1 2018","FQ1 2018","Currency=USD","Period=FQ","BEST_FPERIOD_OVERRIDE=FQ","FILING_STATUS=MR","FA_ADJUSTED=GAAP","Sort=A","Dates=H","DateFormat=P","Fill=—","Direction=H","UseDPDF=Y")</f>
        <v>-20.8156</v>
      </c>
      <c r="AE26" s="19">
        <f>_xll.BDH("TSLA US Equity","NET_INCOME_TO_COMMON_MARGIN","FQ2 2018","FQ2 2018","Currency=USD","Period=FQ","BEST_FPERIOD_OVERRIDE=FQ","FILING_STATUS=MR","FA_ADJUSTED=GAAP","Sort=A","Dates=H","DateFormat=P","Fill=—","Direction=H","UseDPDF=Y")</f>
        <v>-17.9285</v>
      </c>
      <c r="AF26" s="19">
        <f>_xll.BDH("TSLA US Equity","NET_INCOME_TO_COMMON_MARGIN","FQ3 2018","FQ3 2018","Currency=USD","Period=FQ","BEST_FPERIOD_OVERRIDE=FQ","FILING_STATUS=MR","FA_ADJUSTED=GAAP","Sort=A","Dates=H","DateFormat=P","Fill=—","Direction=H","UseDPDF=Y")</f>
        <v>4.5647000000000002</v>
      </c>
      <c r="AG26" s="19">
        <f>_xll.BDH("TSLA US Equity","NET_INCOME_TO_COMMON_MARGIN","FQ4 2018","FQ4 2018","Currency=USD","Period=FQ","BEST_FPERIOD_OVERRIDE=FQ","FILING_STATUS=MR","FA_ADJUSTED=GAAP","Sort=A","Dates=H","DateFormat=P","Fill=—","Direction=H","UseDPDF=Y")</f>
        <v>1.9302999999999999</v>
      </c>
      <c r="AH26" s="19">
        <f>_xll.BDH("TSLA US Equity","NET_INCOME_TO_COMMON_MARGIN","FQ1 2019","FQ1 2019","Currency=USD","Period=FQ","BEST_FPERIOD_OVERRIDE=FQ","FILING_STATUS=MR","FA_ADJUSTED=GAAP","Sort=A","Dates=H","DateFormat=P","Fill=—","Direction=H","UseDPDF=Y")</f>
        <v>-15.4605</v>
      </c>
      <c r="AI26" s="19">
        <f>_xll.BDH("TSLA US Equity","NET_INCOME_TO_COMMON_MARGIN","FQ2 2019","FQ2 2019","Currency=USD","Period=FQ","BEST_FPERIOD_OVERRIDE=FQ","FILING_STATUS=MR","FA_ADJUSTED=GAAP","Sort=A","Dates=H","DateFormat=P","Fill=—","Direction=H","UseDPDF=Y")</f>
        <v>-6.4307999999999996</v>
      </c>
      <c r="AJ26" s="19">
        <f>_xll.BDH("TSLA US Equity","NET_INCOME_TO_COMMON_MARGIN","FQ3 2019","FQ3 2019","Currency=USD","Period=FQ","BEST_FPERIOD_OVERRIDE=FQ","FILING_STATUS=MR","FA_ADJUSTED=GAAP","Sort=A","Dates=H","DateFormat=P","Fill=—","Direction=H","UseDPDF=Y")</f>
        <v>2.2688000000000001</v>
      </c>
      <c r="AK26" s="19">
        <f>_xll.BDH("TSLA US Equity","NET_INCOME_TO_COMMON_MARGIN","FQ4 2019","FQ4 2019","Currency=USD","Period=FQ","BEST_FPERIOD_OVERRIDE=FQ","FILING_STATUS=MR","FA_ADJUSTED=GAAP","Sort=A","Dates=H","DateFormat=P","Fill=—","Direction=H","UseDPDF=Y")</f>
        <v>1.4219999999999999</v>
      </c>
      <c r="AL26" s="19">
        <f>_xll.BDH("TSLA US Equity","NET_INCOME_TO_COMMON_MARGIN","FQ1 2020","FQ1 2020","Currency=USD","Period=FQ","BEST_FPERIOD_OVERRIDE=FQ","FILING_STATUS=MR","FA_ADJUSTED=GAAP","Sort=A","Dates=H","DateFormat=P","Fill=—","Direction=H","UseDPDF=Y")</f>
        <v>0.26729999999999998</v>
      </c>
      <c r="AM26" s="19">
        <f>_xll.BDH("TSLA US Equity","NET_INCOME_TO_COMMON_MARGIN","FQ2 2020","FQ2 2020","Currency=USD","Period=FQ","BEST_FPERIOD_OVERRIDE=FQ","FILING_STATUS=MR","FA_ADJUSTED=GAAP","Sort=A","Dates=H","DateFormat=P","Fill=—","Direction=H","UseDPDF=Y")</f>
        <v>1.7229999999999999</v>
      </c>
      <c r="AN26" s="19">
        <f>_xll.BDH("TSLA US Equity","NET_INCOME_TO_COMMON_MARGIN","FQ3 2020","FQ3 2020","Currency=USD","Period=FQ","BEST_FPERIOD_OVERRIDE=FQ","FILING_STATUS=MR","FA_ADJUSTED=GAAP","Sort=A","Dates=H","DateFormat=P","Fill=—","Direction=H","UseDPDF=Y")</f>
        <v>3.7738</v>
      </c>
      <c r="AO26" s="19">
        <f>_xll.BDH("TSLA US Equity","NET_INCOME_TO_COMMON_MARGIN","FQ4 2020","FQ4 2020","Currency=USD","Period=FQ","BEST_FPERIOD_OVERRIDE=FQ","FILING_STATUS=MR","FA_ADJUSTED=GAAP","Sort=A","Dates=H","DateFormat=P","Fill=—","Direction=H","UseDPDF=Y")</f>
        <v>2.5129999999999999</v>
      </c>
      <c r="AP26" s="19">
        <f>_xll.BDH("TSLA US Equity","NET_INCOME_TO_COMMON_MARGIN","FQ1 2021","FQ1 2021","Currency=USD","Period=FQ","BEST_FPERIOD_OVERRIDE=FQ","FILING_STATUS=MR","FA_ADJUSTED=GAAP","Sort=A","Dates=H","DateFormat=P","Fill=—","Direction=H","UseDPDF=Y")</f>
        <v>4.2160000000000002</v>
      </c>
    </row>
    <row r="27" spans="1:42" x14ac:dyDescent="0.25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</row>
    <row r="28" spans="1:42" x14ac:dyDescent="0.25">
      <c r="A28" s="12" t="s">
        <v>117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</row>
    <row r="29" spans="1:42" x14ac:dyDescent="0.25">
      <c r="A29" s="16" t="s">
        <v>118</v>
      </c>
      <c r="B29" s="16" t="s">
        <v>119</v>
      </c>
      <c r="C29" s="19" t="str">
        <f>_xll.BDH("TSLA US Equity","EFF_TAX_RATE","FQ2 2011","FQ2 2011","Currency=USD","Period=FQ","BEST_FPERIOD_OVERRIDE=FQ","FILING_STATUS=MR","FA_ADJUSTED=GAAP","Sort=A","Dates=H","DateFormat=P","Fill=—","Direction=H","UseDPDF=Y")</f>
        <v>—</v>
      </c>
      <c r="D29" s="19" t="str">
        <f>_xll.BDH("TSLA US Equity","EFF_TAX_RATE","FQ3 2011","FQ3 2011","Currency=USD","Period=FQ","BEST_FPERIOD_OVERRIDE=FQ","FILING_STATUS=MR","FA_ADJUSTED=GAAP","Sort=A","Dates=H","DateFormat=P","Fill=—","Direction=H","UseDPDF=Y")</f>
        <v>—</v>
      </c>
      <c r="E29" s="19" t="str">
        <f>_xll.BDH("TSLA US Equity","EFF_TAX_RATE","FQ4 2011","FQ4 2011","Currency=USD","Period=FQ","BEST_FPERIOD_OVERRIDE=FQ","FILING_STATUS=MR","FA_ADJUSTED=GAAP","Sort=A","Dates=H","DateFormat=P","Fill=—","Direction=H","UseDPDF=Y")</f>
        <v>—</v>
      </c>
      <c r="F29" s="19" t="str">
        <f>_xll.BDH("TSLA US Equity","EFF_TAX_RATE","FQ1 2012","FQ1 2012","Currency=USD","Period=FQ","BEST_FPERIOD_OVERRIDE=FQ","FILING_STATUS=MR","FA_ADJUSTED=GAAP","Sort=A","Dates=H","DateFormat=P","Fill=—","Direction=H","UseDPDF=Y")</f>
        <v>—</v>
      </c>
      <c r="G29" s="19" t="str">
        <f>_xll.BDH("TSLA US Equity","EFF_TAX_RATE","FQ2 2012","FQ2 2012","Currency=USD","Period=FQ","BEST_FPERIOD_OVERRIDE=FQ","FILING_STATUS=MR","FA_ADJUSTED=GAAP","Sort=A","Dates=H","DateFormat=P","Fill=—","Direction=H","UseDPDF=Y")</f>
        <v>—</v>
      </c>
      <c r="H29" s="19" t="str">
        <f>_xll.BDH("TSLA US Equity","EFF_TAX_RATE","FQ3 2012","FQ3 2012","Currency=USD","Period=FQ","BEST_FPERIOD_OVERRIDE=FQ","FILING_STATUS=MR","FA_ADJUSTED=GAAP","Sort=A","Dates=H","DateFormat=P","Fill=—","Direction=H","UseDPDF=Y")</f>
        <v>—</v>
      </c>
      <c r="I29" s="19" t="str">
        <f>_xll.BDH("TSLA US Equity","EFF_TAX_RATE","FQ4 2012","FQ4 2012","Currency=USD","Period=FQ","BEST_FPERIOD_OVERRIDE=FQ","FILING_STATUS=MR","FA_ADJUSTED=GAAP","Sort=A","Dates=H","DateFormat=P","Fill=—","Direction=H","UseDPDF=Y")</f>
        <v>—</v>
      </c>
      <c r="J29" s="19">
        <f>_xll.BDH("TSLA US Equity","EFF_TAX_RATE","FQ1 2013","FQ1 2013","Currency=USD","Period=FQ","BEST_FPERIOD_OVERRIDE=FQ","FILING_STATUS=MR","FA_ADJUSTED=GAAP","Sort=A","Dates=H","DateFormat=P","Fill=—","Direction=H","UseDPDF=Y")</f>
        <v>1.3247</v>
      </c>
      <c r="K29" s="19" t="str">
        <f>_xll.BDH("TSLA US Equity","EFF_TAX_RATE","FQ2 2013","FQ2 2013","Currency=USD","Period=FQ","BEST_FPERIOD_OVERRIDE=FQ","FILING_STATUS=MR","FA_ADJUSTED=GAAP","Sort=A","Dates=H","DateFormat=P","Fill=—","Direction=H","UseDPDF=Y")</f>
        <v>—</v>
      </c>
      <c r="L29" s="19" t="str">
        <f>_xll.BDH("TSLA US Equity","EFF_TAX_RATE","FQ3 2013","FQ3 2013","Currency=USD","Period=FQ","BEST_FPERIOD_OVERRIDE=FQ","FILING_STATUS=MR","FA_ADJUSTED=GAAP","Sort=A","Dates=H","DateFormat=P","Fill=—","Direction=H","UseDPDF=Y")</f>
        <v>—</v>
      </c>
      <c r="M29" s="19" t="str">
        <f>_xll.BDH("TSLA US Equity","EFF_TAX_RATE","FQ4 2013","FQ4 2013","Currency=USD","Period=FQ","BEST_FPERIOD_OVERRIDE=FQ","FILING_STATUS=MR","FA_ADJUSTED=GAAP","Sort=A","Dates=H","DateFormat=P","Fill=—","Direction=H","UseDPDF=Y")</f>
        <v>—</v>
      </c>
      <c r="N29" s="19" t="str">
        <f>_xll.BDH("TSLA US Equity","EFF_TAX_RATE","FQ1 2014","FQ1 2014","Currency=USD","Period=FQ","BEST_FPERIOD_OVERRIDE=FQ","FILING_STATUS=MR","FA_ADJUSTED=GAAP","Sort=A","Dates=H","DateFormat=P","Fill=—","Direction=H","UseDPDF=Y")</f>
        <v>—</v>
      </c>
      <c r="O29" s="19" t="str">
        <f>_xll.BDH("TSLA US Equity","EFF_TAX_RATE","FQ2 2014","FQ2 2014","Currency=USD","Period=FQ","BEST_FPERIOD_OVERRIDE=FQ","FILING_STATUS=MR","FA_ADJUSTED=GAAP","Sort=A","Dates=H","DateFormat=P","Fill=—","Direction=H","UseDPDF=Y")</f>
        <v>—</v>
      </c>
      <c r="P29" s="19" t="str">
        <f>_xll.BDH("TSLA US Equity","EFF_TAX_RATE","FQ3 2014","FQ3 2014","Currency=USD","Period=FQ","BEST_FPERIOD_OVERRIDE=FQ","FILING_STATUS=MR","FA_ADJUSTED=GAAP","Sort=A","Dates=H","DateFormat=P","Fill=—","Direction=H","UseDPDF=Y")</f>
        <v>—</v>
      </c>
      <c r="Q29" s="19" t="str">
        <f>_xll.BDH("TSLA US Equity","EFF_TAX_RATE","FQ4 2014","FQ4 2014","Currency=USD","Period=FQ","BEST_FPERIOD_OVERRIDE=FQ","FILING_STATUS=MR","FA_ADJUSTED=GAAP","Sort=A","Dates=H","DateFormat=P","Fill=—","Direction=H","UseDPDF=Y")</f>
        <v>—</v>
      </c>
      <c r="R29" s="19" t="str">
        <f>_xll.BDH("TSLA US Equity","EFF_TAX_RATE","FQ1 2015","FQ1 2015","Currency=USD","Period=FQ","BEST_FPERIOD_OVERRIDE=FQ","FILING_STATUS=MR","FA_ADJUSTED=GAAP","Sort=A","Dates=H","DateFormat=P","Fill=—","Direction=H","UseDPDF=Y")</f>
        <v>—</v>
      </c>
      <c r="S29" s="19" t="str">
        <f>_xll.BDH("TSLA US Equity","EFF_TAX_RATE","FQ2 2015","FQ2 2015","Currency=USD","Period=FQ","BEST_FPERIOD_OVERRIDE=FQ","FILING_STATUS=MR","FA_ADJUSTED=GAAP","Sort=A","Dates=H","DateFormat=P","Fill=—","Direction=H","UseDPDF=Y")</f>
        <v>—</v>
      </c>
      <c r="T29" s="19" t="str">
        <f>_xll.BDH("TSLA US Equity","EFF_TAX_RATE","FQ3 2015","FQ3 2015","Currency=USD","Period=FQ","BEST_FPERIOD_OVERRIDE=FQ","FILING_STATUS=MR","FA_ADJUSTED=GAAP","Sort=A","Dates=H","DateFormat=P","Fill=—","Direction=H","UseDPDF=Y")</f>
        <v>—</v>
      </c>
      <c r="U29" s="19" t="str">
        <f>_xll.BDH("TSLA US Equity","EFF_TAX_RATE","FQ4 2015","FQ4 2015","Currency=USD","Period=FQ","BEST_FPERIOD_OVERRIDE=FQ","FILING_STATUS=MR","FA_ADJUSTED=GAAP","Sort=A","Dates=H","DateFormat=P","Fill=—","Direction=H","UseDPDF=Y")</f>
        <v>—</v>
      </c>
      <c r="V29" s="19" t="str">
        <f>_xll.BDH("TSLA US Equity","EFF_TAX_RATE","FQ1 2016","FQ1 2016","Currency=USD","Period=FQ","BEST_FPERIOD_OVERRIDE=FQ","FILING_STATUS=MR","FA_ADJUSTED=GAAP","Sort=A","Dates=H","DateFormat=P","Fill=—","Direction=H","UseDPDF=Y")</f>
        <v>—</v>
      </c>
      <c r="W29" s="19" t="str">
        <f>_xll.BDH("TSLA US Equity","EFF_TAX_RATE","FQ2 2016","FQ2 2016","Currency=USD","Period=FQ","BEST_FPERIOD_OVERRIDE=FQ","FILING_STATUS=MR","FA_ADJUSTED=GAAP","Sort=A","Dates=H","DateFormat=P","Fill=—","Direction=H","UseDPDF=Y")</f>
        <v>—</v>
      </c>
      <c r="X29" s="19">
        <f>_xll.BDH("TSLA US Equity","EFF_TAX_RATE","FQ3 2016","FQ3 2016","Currency=USD","Period=FQ","BEST_FPERIOD_OVERRIDE=FQ","FILING_STATUS=MR","FA_ADJUSTED=GAAP","Sort=A","Dates=H","DateFormat=P","Fill=—","Direction=H","UseDPDF=Y")</f>
        <v>27.100100000000001</v>
      </c>
      <c r="Y29" s="19" t="str">
        <f>_xll.BDH("TSLA US Equity","EFF_TAX_RATE","FQ4 2016","FQ4 2016","Currency=USD","Period=FQ","BEST_FPERIOD_OVERRIDE=FQ","FILING_STATUS=MR","FA_ADJUSTED=GAAP","Sort=A","Dates=H","DateFormat=P","Fill=—","Direction=H","UseDPDF=Y")</f>
        <v>—</v>
      </c>
      <c r="Z29" s="19" t="str">
        <f>_xll.BDH("TSLA US Equity","EFF_TAX_RATE","FQ1 2017","FQ1 2017","Currency=USD","Period=FQ","BEST_FPERIOD_OVERRIDE=FQ","FILING_STATUS=MR","FA_ADJUSTED=GAAP","Sort=A","Dates=H","DateFormat=P","Fill=—","Direction=H","UseDPDF=Y")</f>
        <v>—</v>
      </c>
      <c r="AA29" s="19" t="str">
        <f>_xll.BDH("TSLA US Equity","EFF_TAX_RATE","FQ2 2017","FQ2 2017","Currency=USD","Period=FQ","BEST_FPERIOD_OVERRIDE=FQ","FILING_STATUS=MR","FA_ADJUSTED=GAAP","Sort=A","Dates=H","DateFormat=P","Fill=—","Direction=H","UseDPDF=Y")</f>
        <v>—</v>
      </c>
      <c r="AB29" s="19" t="str">
        <f>_xll.BDH("TSLA US Equity","EFF_TAX_RATE","FQ3 2017","FQ3 2017","Currency=USD","Period=FQ","BEST_FPERIOD_OVERRIDE=FQ","FILING_STATUS=MR","FA_ADJUSTED=GAAP","Sort=A","Dates=H","DateFormat=P","Fill=—","Direction=H","UseDPDF=Y")</f>
        <v>—</v>
      </c>
      <c r="AC29" s="19" t="str">
        <f>_xll.BDH("TSLA US Equity","EFF_TAX_RATE","FQ4 2017","FQ4 2017","Currency=USD","Period=FQ","BEST_FPERIOD_OVERRIDE=FQ","FILING_STATUS=MR","FA_ADJUSTED=GAAP","Sort=A","Dates=H","DateFormat=P","Fill=—","Direction=H","UseDPDF=Y")</f>
        <v>—</v>
      </c>
      <c r="AD29" s="19" t="str">
        <f>_xll.BDH("TSLA US Equity","EFF_TAX_RATE","FQ1 2018","FQ1 2018","Currency=USD","Period=FQ","BEST_FPERIOD_OVERRIDE=FQ","FILING_STATUS=MR","FA_ADJUSTED=GAAP","Sort=A","Dates=H","DateFormat=P","Fill=—","Direction=H","UseDPDF=Y")</f>
        <v>—</v>
      </c>
      <c r="AE29" s="19" t="str">
        <f>_xll.BDH("TSLA US Equity","EFF_TAX_RATE","FQ2 2018","FQ2 2018","Currency=USD","Period=FQ","BEST_FPERIOD_OVERRIDE=FQ","FILING_STATUS=MR","FA_ADJUSTED=GAAP","Sort=A","Dates=H","DateFormat=P","Fill=—","Direction=H","UseDPDF=Y")</f>
        <v>—</v>
      </c>
      <c r="AF29" s="19">
        <f>_xll.BDH("TSLA US Equity","EFF_TAX_RATE","FQ3 2018","FQ3 2018","Currency=USD","Period=FQ","BEST_FPERIOD_OVERRIDE=FQ","FILING_STATUS=MR","FA_ADJUSTED=GAAP","Sort=A","Dates=H","DateFormat=P","Fill=—","Direction=H","UseDPDF=Y")</f>
        <v>6.1356000000000002</v>
      </c>
      <c r="AG29" s="19">
        <f>_xll.BDH("TSLA US Equity","EFF_TAX_RATE","FQ4 2018","FQ4 2018","Currency=USD","Period=FQ","BEST_FPERIOD_OVERRIDE=FQ","FILING_STATUS=MR","FA_ADJUSTED=GAAP","Sort=A","Dates=H","DateFormat=P","Fill=—","Direction=H","UseDPDF=Y")</f>
        <v>9.4320000000000004</v>
      </c>
      <c r="AH29" s="19" t="str">
        <f>_xll.BDH("TSLA US Equity","EFF_TAX_RATE","FQ1 2019","FQ1 2019","Currency=USD","Period=FQ","BEST_FPERIOD_OVERRIDE=FQ","FILING_STATUS=MR","FA_ADJUSTED=GAAP","Sort=A","Dates=H","DateFormat=P","Fill=—","Direction=H","UseDPDF=Y")</f>
        <v>—</v>
      </c>
      <c r="AI29" s="19" t="str">
        <f>_xll.BDH("TSLA US Equity","EFF_TAX_RATE","FQ2 2019","FQ2 2019","Currency=USD","Period=FQ","BEST_FPERIOD_OVERRIDE=FQ","FILING_STATUS=MR","FA_ADJUSTED=GAAP","Sort=A","Dates=H","DateFormat=P","Fill=—","Direction=H","UseDPDF=Y")</f>
        <v>—</v>
      </c>
      <c r="AJ29" s="19">
        <f>_xll.BDH("TSLA US Equity","EFF_TAX_RATE","FQ3 2019","FQ3 2019","Currency=USD","Period=FQ","BEST_FPERIOD_OVERRIDE=FQ","FILING_STATUS=MR","FA_ADJUSTED=GAAP","Sort=A","Dates=H","DateFormat=P","Fill=—","Direction=H","UseDPDF=Y")</f>
        <v>14.7727</v>
      </c>
      <c r="AK29" s="19">
        <f>_xll.BDH("TSLA US Equity","EFF_TAX_RATE","FQ4 2019","FQ4 2019","Currency=USD","Period=FQ","BEST_FPERIOD_OVERRIDE=FQ","FILING_STATUS=MR","FA_ADJUSTED=GAAP","Sort=A","Dates=H","DateFormat=P","Fill=—","Direction=H","UseDPDF=Y")</f>
        <v>24.137899999999998</v>
      </c>
      <c r="AL29" s="19">
        <f>_xll.BDH("TSLA US Equity","EFF_TAX_RATE","FQ1 2020","FQ1 2020","Currency=USD","Period=FQ","BEST_FPERIOD_OVERRIDE=FQ","FILING_STATUS=MR","FA_ADJUSTED=GAAP","Sort=A","Dates=H","DateFormat=P","Fill=—","Direction=H","UseDPDF=Y")</f>
        <v>2.8571</v>
      </c>
      <c r="AM29" s="19">
        <f>_xll.BDH("TSLA US Equity","EFF_TAX_RATE","FQ2 2020","FQ2 2020","Currency=USD","Period=FQ","BEST_FPERIOD_OVERRIDE=FQ","FILING_STATUS=MR","FA_ADJUSTED=GAAP","Sort=A","Dates=H","DateFormat=P","Fill=—","Direction=H","UseDPDF=Y")</f>
        <v>14</v>
      </c>
      <c r="AN29" s="19">
        <f>_xll.BDH("TSLA US Equity","EFF_TAX_RATE","FQ3 2020","FQ3 2020","Currency=USD","Period=FQ","BEST_FPERIOD_OVERRIDE=FQ","FILING_STATUS=MR","FA_ADJUSTED=GAAP","Sort=A","Dates=H","DateFormat=P","Fill=—","Direction=H","UseDPDF=Y")</f>
        <v>33.513500000000001</v>
      </c>
      <c r="AO29" s="19">
        <f>_xll.BDH("TSLA US Equity","EFF_TAX_RATE","FQ4 2020","FQ4 2020","Currency=USD","Period=FQ","BEST_FPERIOD_OVERRIDE=FQ","FILING_STATUS=MR","FA_ADJUSTED=GAAP","Sort=A","Dates=H","DateFormat=P","Fill=—","Direction=H","UseDPDF=Y")</f>
        <v>21.899699999999999</v>
      </c>
      <c r="AP29" s="19">
        <f>_xll.BDH("TSLA US Equity","EFF_TAX_RATE","FQ1 2021","FQ1 2021","Currency=USD","Period=FQ","BEST_FPERIOD_OVERRIDE=FQ","FILING_STATUS=MR","FA_ADJUSTED=GAAP","Sort=A","Dates=H","DateFormat=P","Fill=—","Direction=H","UseDPDF=Y")</f>
        <v>12.945600000000001</v>
      </c>
    </row>
    <row r="30" spans="1:42" x14ac:dyDescent="0.25">
      <c r="A30" s="16" t="s">
        <v>120</v>
      </c>
      <c r="B30" s="16" t="s">
        <v>121</v>
      </c>
      <c r="C30" s="19" t="str">
        <f>_xll.BDH("TSLA US Equity","DVD_PAYOUT_RATIO","FQ2 2011","FQ2 2011","Currency=USD","Period=FQ","BEST_FPERIOD_OVERRIDE=FQ","FILING_STATUS=MR","FA_ADJUSTED=GAAP","Sort=A","Dates=H","DateFormat=P","Fill=—","Direction=H","UseDPDF=Y")</f>
        <v>—</v>
      </c>
      <c r="D30" s="19" t="str">
        <f>_xll.BDH("TSLA US Equity","DVD_PAYOUT_RATIO","FQ3 2011","FQ3 2011","Currency=USD","Period=FQ","BEST_FPERIOD_OVERRIDE=FQ","FILING_STATUS=MR","FA_ADJUSTED=GAAP","Sort=A","Dates=H","DateFormat=P","Fill=—","Direction=H","UseDPDF=Y")</f>
        <v>—</v>
      </c>
      <c r="E30" s="19" t="str">
        <f>_xll.BDH("TSLA US Equity","DVD_PAYOUT_RATIO","FQ4 2011","FQ4 2011","Currency=USD","Period=FQ","BEST_FPERIOD_OVERRIDE=FQ","FILING_STATUS=MR","FA_ADJUSTED=GAAP","Sort=A","Dates=H","DateFormat=P","Fill=—","Direction=H","UseDPDF=Y")</f>
        <v>—</v>
      </c>
      <c r="F30" s="19" t="str">
        <f>_xll.BDH("TSLA US Equity","DVD_PAYOUT_RATIO","FQ1 2012","FQ1 2012","Currency=USD","Period=FQ","BEST_FPERIOD_OVERRIDE=FQ","FILING_STATUS=MR","FA_ADJUSTED=GAAP","Sort=A","Dates=H","DateFormat=P","Fill=—","Direction=H","UseDPDF=Y")</f>
        <v>—</v>
      </c>
      <c r="G30" s="19" t="str">
        <f>_xll.BDH("TSLA US Equity","DVD_PAYOUT_RATIO","FQ2 2012","FQ2 2012","Currency=USD","Period=FQ","BEST_FPERIOD_OVERRIDE=FQ","FILING_STATUS=MR","FA_ADJUSTED=GAAP","Sort=A","Dates=H","DateFormat=P","Fill=—","Direction=H","UseDPDF=Y")</f>
        <v>—</v>
      </c>
      <c r="H30" s="19" t="str">
        <f>_xll.BDH("TSLA US Equity","DVD_PAYOUT_RATIO","FQ3 2012","FQ3 2012","Currency=USD","Period=FQ","BEST_FPERIOD_OVERRIDE=FQ","FILING_STATUS=MR","FA_ADJUSTED=GAAP","Sort=A","Dates=H","DateFormat=P","Fill=—","Direction=H","UseDPDF=Y")</f>
        <v>—</v>
      </c>
      <c r="I30" s="19" t="str">
        <f>_xll.BDH("TSLA US Equity","DVD_PAYOUT_RATIO","FQ4 2012","FQ4 2012","Currency=USD","Period=FQ","BEST_FPERIOD_OVERRIDE=FQ","FILING_STATUS=MR","FA_ADJUSTED=GAAP","Sort=A","Dates=H","DateFormat=P","Fill=—","Direction=H","UseDPDF=Y")</f>
        <v>—</v>
      </c>
      <c r="J30" s="19">
        <f>_xll.BDH("TSLA US Equity","DVD_PAYOUT_RATIO","FQ1 2013","FQ1 2013","Currency=USD","Period=FQ","BEST_FPERIOD_OVERRIDE=FQ","FILING_STATUS=MR","FA_ADJUSTED=GAAP","Sort=A","Dates=H","DateFormat=P","Fill=—","Direction=H","UseDPDF=Y")</f>
        <v>0</v>
      </c>
      <c r="K30" s="19" t="str">
        <f>_xll.BDH("TSLA US Equity","DVD_PAYOUT_RATIO","FQ2 2013","FQ2 2013","Currency=USD","Period=FQ","BEST_FPERIOD_OVERRIDE=FQ","FILING_STATUS=MR","FA_ADJUSTED=GAAP","Sort=A","Dates=H","DateFormat=P","Fill=—","Direction=H","UseDPDF=Y")</f>
        <v>—</v>
      </c>
      <c r="L30" s="19" t="str">
        <f>_xll.BDH("TSLA US Equity","DVD_PAYOUT_RATIO","FQ3 2013","FQ3 2013","Currency=USD","Period=FQ","BEST_FPERIOD_OVERRIDE=FQ","FILING_STATUS=MR","FA_ADJUSTED=GAAP","Sort=A","Dates=H","DateFormat=P","Fill=—","Direction=H","UseDPDF=Y")</f>
        <v>—</v>
      </c>
      <c r="M30" s="19" t="str">
        <f>_xll.BDH("TSLA US Equity","DVD_PAYOUT_RATIO","FQ4 2013","FQ4 2013","Currency=USD","Period=FQ","BEST_FPERIOD_OVERRIDE=FQ","FILING_STATUS=MR","FA_ADJUSTED=GAAP","Sort=A","Dates=H","DateFormat=P","Fill=—","Direction=H","UseDPDF=Y")</f>
        <v>—</v>
      </c>
      <c r="N30" s="19" t="str">
        <f>_xll.BDH("TSLA US Equity","DVD_PAYOUT_RATIO","FQ1 2014","FQ1 2014","Currency=USD","Period=FQ","BEST_FPERIOD_OVERRIDE=FQ","FILING_STATUS=MR","FA_ADJUSTED=GAAP","Sort=A","Dates=H","DateFormat=P","Fill=—","Direction=H","UseDPDF=Y")</f>
        <v>—</v>
      </c>
      <c r="O30" s="19" t="str">
        <f>_xll.BDH("TSLA US Equity","DVD_PAYOUT_RATIO","FQ2 2014","FQ2 2014","Currency=USD","Period=FQ","BEST_FPERIOD_OVERRIDE=FQ","FILING_STATUS=MR","FA_ADJUSTED=GAAP","Sort=A","Dates=H","DateFormat=P","Fill=—","Direction=H","UseDPDF=Y")</f>
        <v>—</v>
      </c>
      <c r="P30" s="19" t="str">
        <f>_xll.BDH("TSLA US Equity","DVD_PAYOUT_RATIO","FQ3 2014","FQ3 2014","Currency=USD","Period=FQ","BEST_FPERIOD_OVERRIDE=FQ","FILING_STATUS=MR","FA_ADJUSTED=GAAP","Sort=A","Dates=H","DateFormat=P","Fill=—","Direction=H","UseDPDF=Y")</f>
        <v>—</v>
      </c>
      <c r="Q30" s="19" t="str">
        <f>_xll.BDH("TSLA US Equity","DVD_PAYOUT_RATIO","FQ4 2014","FQ4 2014","Currency=USD","Period=FQ","BEST_FPERIOD_OVERRIDE=FQ","FILING_STATUS=MR","FA_ADJUSTED=GAAP","Sort=A","Dates=H","DateFormat=P","Fill=—","Direction=H","UseDPDF=Y")</f>
        <v>—</v>
      </c>
      <c r="R30" s="19" t="str">
        <f>_xll.BDH("TSLA US Equity","DVD_PAYOUT_RATIO","FQ1 2015","FQ1 2015","Currency=USD","Period=FQ","BEST_FPERIOD_OVERRIDE=FQ","FILING_STATUS=MR","FA_ADJUSTED=GAAP","Sort=A","Dates=H","DateFormat=P","Fill=—","Direction=H","UseDPDF=Y")</f>
        <v>—</v>
      </c>
      <c r="S30" s="19" t="str">
        <f>_xll.BDH("TSLA US Equity","DVD_PAYOUT_RATIO","FQ2 2015","FQ2 2015","Currency=USD","Period=FQ","BEST_FPERIOD_OVERRIDE=FQ","FILING_STATUS=MR","FA_ADJUSTED=GAAP","Sort=A","Dates=H","DateFormat=P","Fill=—","Direction=H","UseDPDF=Y")</f>
        <v>—</v>
      </c>
      <c r="T30" s="19" t="str">
        <f>_xll.BDH("TSLA US Equity","DVD_PAYOUT_RATIO","FQ3 2015","FQ3 2015","Currency=USD","Period=FQ","BEST_FPERIOD_OVERRIDE=FQ","FILING_STATUS=MR","FA_ADJUSTED=GAAP","Sort=A","Dates=H","DateFormat=P","Fill=—","Direction=H","UseDPDF=Y")</f>
        <v>—</v>
      </c>
      <c r="U30" s="19" t="str">
        <f>_xll.BDH("TSLA US Equity","DVD_PAYOUT_RATIO","FQ4 2015","FQ4 2015","Currency=USD","Period=FQ","BEST_FPERIOD_OVERRIDE=FQ","FILING_STATUS=MR","FA_ADJUSTED=GAAP","Sort=A","Dates=H","DateFormat=P","Fill=—","Direction=H","UseDPDF=Y")</f>
        <v>—</v>
      </c>
      <c r="V30" s="19" t="str">
        <f>_xll.BDH("TSLA US Equity","DVD_PAYOUT_RATIO","FQ1 2016","FQ1 2016","Currency=USD","Period=FQ","BEST_FPERIOD_OVERRIDE=FQ","FILING_STATUS=MR","FA_ADJUSTED=GAAP","Sort=A","Dates=H","DateFormat=P","Fill=—","Direction=H","UseDPDF=Y")</f>
        <v>—</v>
      </c>
      <c r="W30" s="19" t="str">
        <f>_xll.BDH("TSLA US Equity","DVD_PAYOUT_RATIO","FQ2 2016","FQ2 2016","Currency=USD","Period=FQ","BEST_FPERIOD_OVERRIDE=FQ","FILING_STATUS=MR","FA_ADJUSTED=GAAP","Sort=A","Dates=H","DateFormat=P","Fill=—","Direction=H","UseDPDF=Y")</f>
        <v>—</v>
      </c>
      <c r="X30" s="19">
        <f>_xll.BDH("TSLA US Equity","DVD_PAYOUT_RATIO","FQ3 2016","FQ3 2016","Currency=USD","Period=FQ","BEST_FPERIOD_OVERRIDE=FQ","FILING_STATUS=MR","FA_ADJUSTED=GAAP","Sort=A","Dates=H","DateFormat=P","Fill=—","Direction=H","UseDPDF=Y")</f>
        <v>0</v>
      </c>
      <c r="Y30" s="19" t="str">
        <f>_xll.BDH("TSLA US Equity","DVD_PAYOUT_RATIO","FQ4 2016","FQ4 2016","Currency=USD","Period=FQ","BEST_FPERIOD_OVERRIDE=FQ","FILING_STATUS=MR","FA_ADJUSTED=GAAP","Sort=A","Dates=H","DateFormat=P","Fill=—","Direction=H","UseDPDF=Y")</f>
        <v>—</v>
      </c>
      <c r="Z30" s="19" t="str">
        <f>_xll.BDH("TSLA US Equity","DVD_PAYOUT_RATIO","FQ1 2017","FQ1 2017","Currency=USD","Period=FQ","BEST_FPERIOD_OVERRIDE=FQ","FILING_STATUS=MR","FA_ADJUSTED=GAAP","Sort=A","Dates=H","DateFormat=P","Fill=—","Direction=H","UseDPDF=Y")</f>
        <v>—</v>
      </c>
      <c r="AA30" s="19" t="str">
        <f>_xll.BDH("TSLA US Equity","DVD_PAYOUT_RATIO","FQ2 2017","FQ2 2017","Currency=USD","Period=FQ","BEST_FPERIOD_OVERRIDE=FQ","FILING_STATUS=MR","FA_ADJUSTED=GAAP","Sort=A","Dates=H","DateFormat=P","Fill=—","Direction=H","UseDPDF=Y")</f>
        <v>—</v>
      </c>
      <c r="AB30" s="19" t="str">
        <f>_xll.BDH("TSLA US Equity","DVD_PAYOUT_RATIO","FQ3 2017","FQ3 2017","Currency=USD","Period=FQ","BEST_FPERIOD_OVERRIDE=FQ","FILING_STATUS=MR","FA_ADJUSTED=GAAP","Sort=A","Dates=H","DateFormat=P","Fill=—","Direction=H","UseDPDF=Y")</f>
        <v>—</v>
      </c>
      <c r="AC30" s="19" t="str">
        <f>_xll.BDH("TSLA US Equity","DVD_PAYOUT_RATIO","FQ4 2017","FQ4 2017","Currency=USD","Period=FQ","BEST_FPERIOD_OVERRIDE=FQ","FILING_STATUS=MR","FA_ADJUSTED=GAAP","Sort=A","Dates=H","DateFormat=P","Fill=—","Direction=H","UseDPDF=Y")</f>
        <v>—</v>
      </c>
      <c r="AD30" s="19" t="str">
        <f>_xll.BDH("TSLA US Equity","DVD_PAYOUT_RATIO","FQ1 2018","FQ1 2018","Currency=USD","Period=FQ","BEST_FPERIOD_OVERRIDE=FQ","FILING_STATUS=MR","FA_ADJUSTED=GAAP","Sort=A","Dates=H","DateFormat=P","Fill=—","Direction=H","UseDPDF=Y")</f>
        <v>—</v>
      </c>
      <c r="AE30" s="19" t="str">
        <f>_xll.BDH("TSLA US Equity","DVD_PAYOUT_RATIO","FQ2 2018","FQ2 2018","Currency=USD","Period=FQ","BEST_FPERIOD_OVERRIDE=FQ","FILING_STATUS=MR","FA_ADJUSTED=GAAP","Sort=A","Dates=H","DateFormat=P","Fill=—","Direction=H","UseDPDF=Y")</f>
        <v>—</v>
      </c>
      <c r="AF30" s="19">
        <f>_xll.BDH("TSLA US Equity","DVD_PAYOUT_RATIO","FQ3 2018","FQ3 2018","Currency=USD","Period=FQ","BEST_FPERIOD_OVERRIDE=FQ","FILING_STATUS=MR","FA_ADJUSTED=GAAP","Sort=A","Dates=H","DateFormat=P","Fill=—","Direction=H","UseDPDF=Y")</f>
        <v>0</v>
      </c>
      <c r="AG30" s="19">
        <f>_xll.BDH("TSLA US Equity","DVD_PAYOUT_RATIO","FQ4 2018","FQ4 2018","Currency=USD","Period=FQ","BEST_FPERIOD_OVERRIDE=FQ","FILING_STATUS=MR","FA_ADJUSTED=GAAP","Sort=A","Dates=H","DateFormat=P","Fill=—","Direction=H","UseDPDF=Y")</f>
        <v>0</v>
      </c>
      <c r="AH30" s="19" t="str">
        <f>_xll.BDH("TSLA US Equity","DVD_PAYOUT_RATIO","FQ1 2019","FQ1 2019","Currency=USD","Period=FQ","BEST_FPERIOD_OVERRIDE=FQ","FILING_STATUS=MR","FA_ADJUSTED=GAAP","Sort=A","Dates=H","DateFormat=P","Fill=—","Direction=H","UseDPDF=Y")</f>
        <v>—</v>
      </c>
      <c r="AI30" s="19" t="str">
        <f>_xll.BDH("TSLA US Equity","DVD_PAYOUT_RATIO","FQ2 2019","FQ2 2019","Currency=USD","Period=FQ","BEST_FPERIOD_OVERRIDE=FQ","FILING_STATUS=MR","FA_ADJUSTED=GAAP","Sort=A","Dates=H","DateFormat=P","Fill=—","Direction=H","UseDPDF=Y")</f>
        <v>—</v>
      </c>
      <c r="AJ30" s="19">
        <f>_xll.BDH("TSLA US Equity","DVD_PAYOUT_RATIO","FQ3 2019","FQ3 2019","Currency=USD","Period=FQ","BEST_FPERIOD_OVERRIDE=FQ","FILING_STATUS=MR","FA_ADJUSTED=GAAP","Sort=A","Dates=H","DateFormat=P","Fill=—","Direction=H","UseDPDF=Y")</f>
        <v>0</v>
      </c>
      <c r="AK30" s="19">
        <f>_xll.BDH("TSLA US Equity","DVD_PAYOUT_RATIO","FQ4 2019","FQ4 2019","Currency=USD","Period=FQ","BEST_FPERIOD_OVERRIDE=FQ","FILING_STATUS=MR","FA_ADJUSTED=GAAP","Sort=A","Dates=H","DateFormat=P","Fill=—","Direction=H","UseDPDF=Y")</f>
        <v>0</v>
      </c>
      <c r="AL30" s="19">
        <f>_xll.BDH("TSLA US Equity","DVD_PAYOUT_RATIO","FQ1 2020","FQ1 2020","Currency=USD","Period=FQ","BEST_FPERIOD_OVERRIDE=FQ","FILING_STATUS=MR","FA_ADJUSTED=GAAP","Sort=A","Dates=H","DateFormat=P","Fill=—","Direction=H","UseDPDF=Y")</f>
        <v>0</v>
      </c>
      <c r="AM30" s="19">
        <f>_xll.BDH("TSLA US Equity","DVD_PAYOUT_RATIO","FQ2 2020","FQ2 2020","Currency=USD","Period=FQ","BEST_FPERIOD_OVERRIDE=FQ","FILING_STATUS=MR","FA_ADJUSTED=GAAP","Sort=A","Dates=H","DateFormat=P","Fill=—","Direction=H","UseDPDF=Y")</f>
        <v>0</v>
      </c>
      <c r="AN30" s="19">
        <f>_xll.BDH("TSLA US Equity","DVD_PAYOUT_RATIO","FQ3 2020","FQ3 2020","Currency=USD","Period=FQ","BEST_FPERIOD_OVERRIDE=FQ","FILING_STATUS=MR","FA_ADJUSTED=GAAP","Sort=A","Dates=H","DateFormat=P","Fill=—","Direction=H","UseDPDF=Y")</f>
        <v>0</v>
      </c>
      <c r="AO30" s="19">
        <f>_xll.BDH("TSLA US Equity","DVD_PAYOUT_RATIO","FQ4 2020","FQ4 2020","Currency=USD","Period=FQ","BEST_FPERIOD_OVERRIDE=FQ","FILING_STATUS=MR","FA_ADJUSTED=GAAP","Sort=A","Dates=H","DateFormat=P","Fill=—","Direction=H","UseDPDF=Y")</f>
        <v>0</v>
      </c>
      <c r="AP30" s="19">
        <f>_xll.BDH("TSLA US Equity","DVD_PAYOUT_RATIO","FQ1 2021","FQ1 2021","Currency=USD","Period=FQ","BEST_FPERIOD_OVERRIDE=FQ","FILING_STATUS=MR","FA_ADJUSTED=GAAP","Sort=A","Dates=H","DateFormat=P","Fill=—","Direction=H","UseDPDF=Y")</f>
        <v>0</v>
      </c>
    </row>
    <row r="31" spans="1:42" x14ac:dyDescent="0.25">
      <c r="A31" s="16" t="s">
        <v>122</v>
      </c>
      <c r="B31" s="16" t="s">
        <v>123</v>
      </c>
      <c r="C31" s="19" t="str">
        <f>_xll.BDH("TSLA US Equity","SUSTAIN_GROWTH_RT","FQ2 2011","FQ2 2011","Currency=USD","Period=FQ","BEST_FPERIOD_OVERRIDE=FQ","FILING_STATUS=MR","FA_ADJUSTED=GAAP","Sort=A","Dates=H","DateFormat=P","Fill=—","Direction=H","UseDPDF=Y")</f>
        <v>—</v>
      </c>
      <c r="D31" s="19" t="str">
        <f>_xll.BDH("TSLA US Equity","SUSTAIN_GROWTH_RT","FQ3 2011","FQ3 2011","Currency=USD","Period=FQ","BEST_FPERIOD_OVERRIDE=FQ","FILING_STATUS=MR","FA_ADJUSTED=GAAP","Sort=A","Dates=H","DateFormat=P","Fill=—","Direction=H","UseDPDF=Y")</f>
        <v>—</v>
      </c>
      <c r="E31" s="19" t="str">
        <f>_xll.BDH("TSLA US Equity","SUSTAIN_GROWTH_RT","FQ4 2011","FQ4 2011","Currency=USD","Period=FQ","BEST_FPERIOD_OVERRIDE=FQ","FILING_STATUS=MR","FA_ADJUSTED=GAAP","Sort=A","Dates=H","DateFormat=P","Fill=—","Direction=H","UseDPDF=Y")</f>
        <v>—</v>
      </c>
      <c r="F31" s="19" t="str">
        <f>_xll.BDH("TSLA US Equity","SUSTAIN_GROWTH_RT","FQ1 2012","FQ1 2012","Currency=USD","Period=FQ","BEST_FPERIOD_OVERRIDE=FQ","FILING_STATUS=MR","FA_ADJUSTED=GAAP","Sort=A","Dates=H","DateFormat=P","Fill=—","Direction=H","UseDPDF=Y")</f>
        <v>—</v>
      </c>
      <c r="G31" s="19" t="str">
        <f>_xll.BDH("TSLA US Equity","SUSTAIN_GROWTH_RT","FQ2 2012","FQ2 2012","Currency=USD","Period=FQ","BEST_FPERIOD_OVERRIDE=FQ","FILING_STATUS=MR","FA_ADJUSTED=GAAP","Sort=A","Dates=H","DateFormat=P","Fill=—","Direction=H","UseDPDF=Y")</f>
        <v>—</v>
      </c>
      <c r="H31" s="19" t="str">
        <f>_xll.BDH("TSLA US Equity","SUSTAIN_GROWTH_RT","FQ3 2012","FQ3 2012","Currency=USD","Period=FQ","BEST_FPERIOD_OVERRIDE=FQ","FILING_STATUS=MR","FA_ADJUSTED=GAAP","Sort=A","Dates=H","DateFormat=P","Fill=—","Direction=H","UseDPDF=Y")</f>
        <v>—</v>
      </c>
      <c r="I31" s="19" t="str">
        <f>_xll.BDH("TSLA US Equity","SUSTAIN_GROWTH_RT","FQ4 2012","FQ4 2012","Currency=USD","Period=FQ","BEST_FPERIOD_OVERRIDE=FQ","FILING_STATUS=MR","FA_ADJUSTED=GAAP","Sort=A","Dates=H","DateFormat=P","Fill=—","Direction=H","UseDPDF=Y")</f>
        <v>—</v>
      </c>
      <c r="J31" s="19">
        <f>_xll.BDH("TSLA US Equity","SUSTAIN_GROWTH_RT","FQ1 2013","FQ1 2013","Currency=USD","Period=FQ","BEST_FPERIOD_OVERRIDE=FQ","FILING_STATUS=MR","FA_ADJUSTED=GAAP","Sort=A","Dates=H","DateFormat=P","Fill=—","Direction=H","UseDPDF=Y")</f>
        <v>-183.0266</v>
      </c>
      <c r="K31" s="19" t="str">
        <f>_xll.BDH("TSLA US Equity","SUSTAIN_GROWTH_RT","FQ2 2013","FQ2 2013","Currency=USD","Period=FQ","BEST_FPERIOD_OVERRIDE=FQ","FILING_STATUS=MR","FA_ADJUSTED=GAAP","Sort=A","Dates=H","DateFormat=P","Fill=—","Direction=H","UseDPDF=Y")</f>
        <v>—</v>
      </c>
      <c r="L31" s="19" t="str">
        <f>_xll.BDH("TSLA US Equity","SUSTAIN_GROWTH_RT","FQ3 2013","FQ3 2013","Currency=USD","Period=FQ","BEST_FPERIOD_OVERRIDE=FQ","FILING_STATUS=MR","FA_ADJUSTED=GAAP","Sort=A","Dates=H","DateFormat=P","Fill=—","Direction=H","UseDPDF=Y")</f>
        <v>—</v>
      </c>
      <c r="M31" s="19" t="str">
        <f>_xll.BDH("TSLA US Equity","SUSTAIN_GROWTH_RT","FQ4 2013","FQ4 2013","Currency=USD","Period=FQ","BEST_FPERIOD_OVERRIDE=FQ","FILING_STATUS=MR","FA_ADJUSTED=GAAP","Sort=A","Dates=H","DateFormat=P","Fill=—","Direction=H","UseDPDF=Y")</f>
        <v>—</v>
      </c>
      <c r="N31" s="19" t="str">
        <f>_xll.BDH("TSLA US Equity","SUSTAIN_GROWTH_RT","FQ1 2014","FQ1 2014","Currency=USD","Period=FQ","BEST_FPERIOD_OVERRIDE=FQ","FILING_STATUS=MR","FA_ADJUSTED=GAAP","Sort=A","Dates=H","DateFormat=P","Fill=—","Direction=H","UseDPDF=Y")</f>
        <v>—</v>
      </c>
      <c r="O31" s="19" t="str">
        <f>_xll.BDH("TSLA US Equity","SUSTAIN_GROWTH_RT","FQ2 2014","FQ2 2014","Currency=USD","Period=FQ","BEST_FPERIOD_OVERRIDE=FQ","FILING_STATUS=MR","FA_ADJUSTED=GAAP","Sort=A","Dates=H","DateFormat=P","Fill=—","Direction=H","UseDPDF=Y")</f>
        <v>—</v>
      </c>
      <c r="P31" s="19" t="str">
        <f>_xll.BDH("TSLA US Equity","SUSTAIN_GROWTH_RT","FQ3 2014","FQ3 2014","Currency=USD","Period=FQ","BEST_FPERIOD_OVERRIDE=FQ","FILING_STATUS=MR","FA_ADJUSTED=GAAP","Sort=A","Dates=H","DateFormat=P","Fill=—","Direction=H","UseDPDF=Y")</f>
        <v>—</v>
      </c>
      <c r="Q31" s="19" t="str">
        <f>_xll.BDH("TSLA US Equity","SUSTAIN_GROWTH_RT","FQ4 2014","FQ4 2014","Currency=USD","Period=FQ","BEST_FPERIOD_OVERRIDE=FQ","FILING_STATUS=MR","FA_ADJUSTED=GAAP","Sort=A","Dates=H","DateFormat=P","Fill=—","Direction=H","UseDPDF=Y")</f>
        <v>—</v>
      </c>
      <c r="R31" s="19" t="str">
        <f>_xll.BDH("TSLA US Equity","SUSTAIN_GROWTH_RT","FQ1 2015","FQ1 2015","Currency=USD","Period=FQ","BEST_FPERIOD_OVERRIDE=FQ","FILING_STATUS=MR","FA_ADJUSTED=GAAP","Sort=A","Dates=H","DateFormat=P","Fill=—","Direction=H","UseDPDF=Y")</f>
        <v>—</v>
      </c>
      <c r="S31" s="19" t="str">
        <f>_xll.BDH("TSLA US Equity","SUSTAIN_GROWTH_RT","FQ2 2015","FQ2 2015","Currency=USD","Period=FQ","BEST_FPERIOD_OVERRIDE=FQ","FILING_STATUS=MR","FA_ADJUSTED=GAAP","Sort=A","Dates=H","DateFormat=P","Fill=—","Direction=H","UseDPDF=Y")</f>
        <v>—</v>
      </c>
      <c r="T31" s="19" t="str">
        <f>_xll.BDH("TSLA US Equity","SUSTAIN_GROWTH_RT","FQ3 2015","FQ3 2015","Currency=USD","Period=FQ","BEST_FPERIOD_OVERRIDE=FQ","FILING_STATUS=MR","FA_ADJUSTED=GAAP","Sort=A","Dates=H","DateFormat=P","Fill=—","Direction=H","UseDPDF=Y")</f>
        <v>—</v>
      </c>
      <c r="U31" s="19" t="str">
        <f>_xll.BDH("TSLA US Equity","SUSTAIN_GROWTH_RT","FQ4 2015","FQ4 2015","Currency=USD","Period=FQ","BEST_FPERIOD_OVERRIDE=FQ","FILING_STATUS=MR","FA_ADJUSTED=GAAP","Sort=A","Dates=H","DateFormat=P","Fill=—","Direction=H","UseDPDF=Y")</f>
        <v>—</v>
      </c>
      <c r="V31" s="19" t="str">
        <f>_xll.BDH("TSLA US Equity","SUSTAIN_GROWTH_RT","FQ1 2016","FQ1 2016","Currency=USD","Period=FQ","BEST_FPERIOD_OVERRIDE=FQ","FILING_STATUS=MR","FA_ADJUSTED=GAAP","Sort=A","Dates=H","DateFormat=P","Fill=—","Direction=H","UseDPDF=Y")</f>
        <v>—</v>
      </c>
      <c r="W31" s="19" t="str">
        <f>_xll.BDH("TSLA US Equity","SUSTAIN_GROWTH_RT","FQ2 2016","FQ2 2016","Currency=USD","Period=FQ","BEST_FPERIOD_OVERRIDE=FQ","FILING_STATUS=MR","FA_ADJUSTED=GAAP","Sort=A","Dates=H","DateFormat=P","Fill=—","Direction=H","UseDPDF=Y")</f>
        <v>—</v>
      </c>
      <c r="X31" s="19">
        <f>_xll.BDH("TSLA US Equity","SUSTAIN_GROWTH_RT","FQ3 2016","FQ3 2016","Currency=USD","Period=FQ","BEST_FPERIOD_OVERRIDE=FQ","FILING_STATUS=MR","FA_ADJUSTED=GAAP","Sort=A","Dates=H","DateFormat=P","Fill=—","Direction=H","UseDPDF=Y")</f>
        <v>-43.131599999999999</v>
      </c>
      <c r="Y31" s="19" t="str">
        <f>_xll.BDH("TSLA US Equity","SUSTAIN_GROWTH_RT","FQ4 2016","FQ4 2016","Currency=USD","Period=FQ","BEST_FPERIOD_OVERRIDE=FQ","FILING_STATUS=MR","FA_ADJUSTED=GAAP","Sort=A","Dates=H","DateFormat=P","Fill=—","Direction=H","UseDPDF=Y")</f>
        <v>—</v>
      </c>
      <c r="Z31" s="19" t="str">
        <f>_xll.BDH("TSLA US Equity","SUSTAIN_GROWTH_RT","FQ1 2017","FQ1 2017","Currency=USD","Period=FQ","BEST_FPERIOD_OVERRIDE=FQ","FILING_STATUS=MR","FA_ADJUSTED=GAAP","Sort=A","Dates=H","DateFormat=P","Fill=—","Direction=H","UseDPDF=Y")</f>
        <v>—</v>
      </c>
      <c r="AA31" s="19" t="str">
        <f>_xll.BDH("TSLA US Equity","SUSTAIN_GROWTH_RT","FQ2 2017","FQ2 2017","Currency=USD","Period=FQ","BEST_FPERIOD_OVERRIDE=FQ","FILING_STATUS=MR","FA_ADJUSTED=GAAP","Sort=A","Dates=H","DateFormat=P","Fill=—","Direction=H","UseDPDF=Y")</f>
        <v>—</v>
      </c>
      <c r="AB31" s="19" t="str">
        <f>_xll.BDH("TSLA US Equity","SUSTAIN_GROWTH_RT","FQ3 2017","FQ3 2017","Currency=USD","Period=FQ","BEST_FPERIOD_OVERRIDE=FQ","FILING_STATUS=MR","FA_ADJUSTED=GAAP","Sort=A","Dates=H","DateFormat=P","Fill=—","Direction=H","UseDPDF=Y")</f>
        <v>—</v>
      </c>
      <c r="AC31" s="19" t="str">
        <f>_xll.BDH("TSLA US Equity","SUSTAIN_GROWTH_RT","FQ4 2017","FQ4 2017","Currency=USD","Period=FQ","BEST_FPERIOD_OVERRIDE=FQ","FILING_STATUS=MR","FA_ADJUSTED=GAAP","Sort=A","Dates=H","DateFormat=P","Fill=—","Direction=H","UseDPDF=Y")</f>
        <v>—</v>
      </c>
      <c r="AD31" s="19" t="str">
        <f>_xll.BDH("TSLA US Equity","SUSTAIN_GROWTH_RT","FQ1 2018","FQ1 2018","Currency=USD","Period=FQ","BEST_FPERIOD_OVERRIDE=FQ","FILING_STATUS=MR","FA_ADJUSTED=GAAP","Sort=A","Dates=H","DateFormat=P","Fill=—","Direction=H","UseDPDF=Y")</f>
        <v>—</v>
      </c>
      <c r="AE31" s="19" t="str">
        <f>_xll.BDH("TSLA US Equity","SUSTAIN_GROWTH_RT","FQ2 2018","FQ2 2018","Currency=USD","Period=FQ","BEST_FPERIOD_OVERRIDE=FQ","FILING_STATUS=MR","FA_ADJUSTED=GAAP","Sort=A","Dates=H","DateFormat=P","Fill=—","Direction=H","UseDPDF=Y")</f>
        <v>—</v>
      </c>
      <c r="AF31" s="19">
        <f>_xll.BDH("TSLA US Equity","SUSTAIN_GROWTH_RT","FQ3 2018","FQ3 2018","Currency=USD","Period=FQ","BEST_FPERIOD_OVERRIDE=FQ","FILING_STATUS=MR","FA_ADJUSTED=GAAP","Sort=A","Dates=H","DateFormat=P","Fill=—","Direction=H","UseDPDF=Y")</f>
        <v>-38.845799999999997</v>
      </c>
      <c r="AG31" s="19">
        <f>_xll.BDH("TSLA US Equity","SUSTAIN_GROWTH_RT","FQ4 2018","FQ4 2018","Currency=USD","Period=FQ","BEST_FPERIOD_OVERRIDE=FQ","FILING_STATUS=MR","FA_ADJUSTED=GAAP","Sort=A","Dates=H","DateFormat=P","Fill=—","Direction=H","UseDPDF=Y")</f>
        <v>-21.310700000000001</v>
      </c>
      <c r="AH31" s="19" t="str">
        <f>_xll.BDH("TSLA US Equity","SUSTAIN_GROWTH_RT","FQ1 2019","FQ1 2019","Currency=USD","Period=FQ","BEST_FPERIOD_OVERRIDE=FQ","FILING_STATUS=MR","FA_ADJUSTED=GAAP","Sort=A","Dates=H","DateFormat=P","Fill=—","Direction=H","UseDPDF=Y")</f>
        <v>—</v>
      </c>
      <c r="AI31" s="19" t="str">
        <f>_xll.BDH("TSLA US Equity","SUSTAIN_GROWTH_RT","FQ2 2019","FQ2 2019","Currency=USD","Period=FQ","BEST_FPERIOD_OVERRIDE=FQ","FILING_STATUS=MR","FA_ADJUSTED=GAAP","Sort=A","Dates=H","DateFormat=P","Fill=—","Direction=H","UseDPDF=Y")</f>
        <v>—</v>
      </c>
      <c r="AJ31" s="19">
        <f>_xll.BDH("TSLA US Equity","SUSTAIN_GROWTH_RT","FQ3 2019","FQ3 2019","Currency=USD","Period=FQ","BEST_FPERIOD_OVERRIDE=FQ","FILING_STATUS=MR","FA_ADJUSTED=GAAP","Sort=A","Dates=H","DateFormat=P","Fill=—","Direction=H","UseDPDF=Y")</f>
        <v>-15.6981</v>
      </c>
      <c r="AK31" s="19">
        <f>_xll.BDH("TSLA US Equity","SUSTAIN_GROWTH_RT","FQ4 2019","FQ4 2019","Currency=USD","Period=FQ","BEST_FPERIOD_OVERRIDE=FQ","FILING_STATUS=MR","FA_ADJUSTED=GAAP","Sort=A","Dates=H","DateFormat=P","Fill=—","Direction=H","UseDPDF=Y")</f>
        <v>-14.9459</v>
      </c>
      <c r="AL31" s="19">
        <f>_xll.BDH("TSLA US Equity","SUSTAIN_GROWTH_RT","FQ1 2020","FQ1 2020","Currency=USD","Period=FQ","BEST_FPERIOD_OVERRIDE=FQ","FILING_STATUS=MR","FA_ADJUSTED=GAAP","Sort=A","Dates=H","DateFormat=P","Fill=—","Direction=H","UseDPDF=Y")</f>
        <v>-2.0859999999999999</v>
      </c>
      <c r="AM31" s="19">
        <f>_xll.BDH("TSLA US Equity","SUSTAIN_GROWTH_RT","FQ2 2020","FQ2 2020","Currency=USD","Period=FQ","BEST_FPERIOD_OVERRIDE=FQ","FILING_STATUS=MR","FA_ADJUSTED=GAAP","Sort=A","Dates=H","DateFormat=P","Fill=—","Direction=H","UseDPDF=Y")</f>
        <v>4.7135999999999996</v>
      </c>
      <c r="AN31" s="19">
        <f>_xll.BDH("TSLA US Equity","SUSTAIN_GROWTH_RT","FQ3 2020","FQ3 2020","Currency=USD","Period=FQ","BEST_FPERIOD_OVERRIDE=FQ","FILING_STATUS=MR","FA_ADJUSTED=GAAP","Sort=A","Dates=H","DateFormat=P","Fill=—","Direction=H","UseDPDF=Y")</f>
        <v>5.0274000000000001</v>
      </c>
      <c r="AO31" s="19">
        <f>_xll.BDH("TSLA US Equity","SUSTAIN_GROWTH_RT","FQ4 2020","FQ4 2020","Currency=USD","Period=FQ","BEST_FPERIOD_OVERRIDE=FQ","FILING_STATUS=MR","FA_ADJUSTED=GAAP","Sort=A","Dates=H","DateFormat=P","Fill=—","Direction=H","UseDPDF=Y")</f>
        <v>4.9995000000000003</v>
      </c>
      <c r="AP31" s="19">
        <f>_xll.BDH("TSLA US Equity","SUSTAIN_GROWTH_RT","FQ1 2021","FQ1 2021","Currency=USD","Period=FQ","BEST_FPERIOD_OVERRIDE=FQ","FILING_STATUS=MR","FA_ADJUSTED=GAAP","Sort=A","Dates=H","DateFormat=P","Fill=—","Direction=H","UseDPDF=Y")</f>
        <v>7.0884</v>
      </c>
    </row>
    <row r="32" spans="1:42" x14ac:dyDescent="0.25">
      <c r="A32" s="13" t="s">
        <v>124</v>
      </c>
      <c r="B32" s="13"/>
      <c r="C32" s="13" t="s"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ht="20.25" x14ac:dyDescent="0.25">
      <c r="A2" s="14" t="s">
        <v>161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x14ac:dyDescent="0.25">
      <c r="A4" s="1" t="s">
        <v>2</v>
      </c>
      <c r="B4" s="1"/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 t="s">
        <v>35</v>
      </c>
      <c r="AJ4" s="2" t="s">
        <v>36</v>
      </c>
      <c r="AK4" s="2" t="s">
        <v>37</v>
      </c>
      <c r="AL4" s="2" t="s">
        <v>38</v>
      </c>
      <c r="AM4" s="2" t="s">
        <v>39</v>
      </c>
      <c r="AN4" s="2" t="s">
        <v>40</v>
      </c>
      <c r="AO4" s="2" t="s">
        <v>41</v>
      </c>
      <c r="AP4" s="2" t="s">
        <v>42</v>
      </c>
    </row>
    <row r="5" spans="1:42" x14ac:dyDescent="0.25">
      <c r="A5" s="3" t="s">
        <v>43</v>
      </c>
      <c r="B5" s="3"/>
      <c r="C5" s="4" t="s">
        <v>44</v>
      </c>
      <c r="D5" s="4" t="s">
        <v>45</v>
      </c>
      <c r="E5" s="4" t="s">
        <v>46</v>
      </c>
      <c r="F5" s="4" t="s">
        <v>47</v>
      </c>
      <c r="G5" s="4" t="s">
        <v>48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53</v>
      </c>
      <c r="M5" s="4" t="s">
        <v>54</v>
      </c>
      <c r="N5" s="4" t="s">
        <v>55</v>
      </c>
      <c r="O5" s="4" t="s">
        <v>56</v>
      </c>
      <c r="P5" s="4" t="s">
        <v>57</v>
      </c>
      <c r="Q5" s="4" t="s">
        <v>58</v>
      </c>
      <c r="R5" s="4" t="s">
        <v>59</v>
      </c>
      <c r="S5" s="4" t="s">
        <v>60</v>
      </c>
      <c r="T5" s="4" t="s">
        <v>61</v>
      </c>
      <c r="U5" s="4" t="s">
        <v>62</v>
      </c>
      <c r="V5" s="4" t="s">
        <v>63</v>
      </c>
      <c r="W5" s="4" t="s">
        <v>64</v>
      </c>
      <c r="X5" s="4" t="s">
        <v>65</v>
      </c>
      <c r="Y5" s="4" t="s">
        <v>66</v>
      </c>
      <c r="Z5" s="4" t="s">
        <v>67</v>
      </c>
      <c r="AA5" s="4" t="s">
        <v>68</v>
      </c>
      <c r="AB5" s="4" t="s">
        <v>69</v>
      </c>
      <c r="AC5" s="4" t="s">
        <v>70</v>
      </c>
      <c r="AD5" s="4" t="s">
        <v>71</v>
      </c>
      <c r="AE5" s="4" t="s">
        <v>72</v>
      </c>
      <c r="AF5" s="4" t="s">
        <v>73</v>
      </c>
      <c r="AG5" s="4" t="s">
        <v>74</v>
      </c>
      <c r="AH5" s="4" t="s">
        <v>75</v>
      </c>
      <c r="AI5" s="4" t="s">
        <v>76</v>
      </c>
      <c r="AJ5" s="4" t="s">
        <v>77</v>
      </c>
      <c r="AK5" s="4" t="s">
        <v>78</v>
      </c>
      <c r="AL5" s="4" t="s">
        <v>79</v>
      </c>
      <c r="AM5" s="4" t="s">
        <v>80</v>
      </c>
      <c r="AN5" s="4" t="s">
        <v>81</v>
      </c>
      <c r="AO5" s="4" t="s">
        <v>82</v>
      </c>
      <c r="AP5" s="4" t="s">
        <v>83</v>
      </c>
    </row>
    <row r="6" spans="1:42" x14ac:dyDescent="0.25">
      <c r="A6" s="5" t="s">
        <v>160</v>
      </c>
      <c r="B6" s="5" t="s">
        <v>159</v>
      </c>
      <c r="C6" s="19">
        <f>_xll.BDH("TSLA US Equity","CASH_RATIO","FQ2 2011","FQ2 2011","Currency=USD","Period=FQ","BEST_FPERIOD_OVERRIDE=FQ","FILING_STATUS=MR","Sort=A","Dates=H","DateFormat=P","Fill=—","Direction=H","UseDPDF=Y")</f>
        <v>2.3020999999999998</v>
      </c>
      <c r="D6" s="19">
        <f>_xll.BDH("TSLA US Equity","CASH_RATIO","FQ3 2011","FQ3 2011","Currency=USD","Period=FQ","BEST_FPERIOD_OVERRIDE=FQ","FILING_STATUS=MR","Sort=A","Dates=H","DateFormat=P","Fill=—","Direction=H","UseDPDF=Y")</f>
        <v>1.8056000000000001</v>
      </c>
      <c r="E6" s="19">
        <f>_xll.BDH("TSLA US Equity","CASH_RATIO","FQ4 2011","FQ4 2011","Currency=USD","Period=FQ","BEST_FPERIOD_OVERRIDE=FQ","FILING_STATUS=MR","Sort=A","Dates=H","DateFormat=P","Fill=—","Direction=H","UseDPDF=Y")</f>
        <v>1.4651000000000001</v>
      </c>
      <c r="F6" s="19">
        <f>_xll.BDH("TSLA US Equity","CASH_RATIO","FQ1 2012","FQ1 2012","Currency=USD","Period=FQ","BEST_FPERIOD_OVERRIDE=FQ","FILING_STATUS=MR","Sort=A","Dates=H","DateFormat=P","Fill=—","Direction=H","UseDPDF=Y")</f>
        <v>1.0333000000000001</v>
      </c>
      <c r="G6" s="19">
        <f>_xll.BDH("TSLA US Equity","CASH_RATIO","FQ2 2012","FQ2 2012","Currency=USD","Period=FQ","BEST_FPERIOD_OVERRIDE=FQ","FILING_STATUS=MR","Sort=A","Dates=H","DateFormat=P","Fill=—","Direction=H","UseDPDF=Y")</f>
        <v>0.7349</v>
      </c>
      <c r="H6" s="19">
        <f>_xll.BDH("TSLA US Equity","CASH_RATIO","FQ3 2012","FQ3 2012","Currency=USD","Period=FQ","BEST_FPERIOD_OVERRIDE=FQ","FILING_STATUS=MR","Sort=A","Dates=H","DateFormat=P","Fill=—","Direction=H","UseDPDF=Y")</f>
        <v>0.22209999999999999</v>
      </c>
      <c r="I6" s="19">
        <f>_xll.BDH("TSLA US Equity","CASH_RATIO","FQ4 2012","FQ4 2012","Currency=USD","Period=FQ","BEST_FPERIOD_OVERRIDE=FQ","FILING_STATUS=MR","Sort=A","Dates=H","DateFormat=P","Fill=—","Direction=H","UseDPDF=Y")</f>
        <v>0.3745</v>
      </c>
      <c r="J6" s="19">
        <f>_xll.BDH("TSLA US Equity","CASH_RATIO","FQ1 2013","FQ1 2013","Currency=USD","Period=FQ","BEST_FPERIOD_OVERRIDE=FQ","FILING_STATUS=MR","Sort=A","Dates=H","DateFormat=P","Fill=—","Direction=H","UseDPDF=Y")</f>
        <v>0.40029999999999999</v>
      </c>
      <c r="K6" s="19">
        <f>_xll.BDH("TSLA US Equity","CASH_RATIO","FQ2 2013","FQ2 2013","Currency=USD","Period=FQ","BEST_FPERIOD_OVERRIDE=FQ","FILING_STATUS=MR","Sort=A","Dates=H","DateFormat=P","Fill=—","Direction=H","UseDPDF=Y")</f>
        <v>1.5333999999999999</v>
      </c>
      <c r="L6" s="19">
        <f>_xll.BDH("TSLA US Equity","CASH_RATIO","FQ3 2013","FQ3 2013","Currency=USD","Period=FQ","BEST_FPERIOD_OVERRIDE=FQ","FILING_STATUS=MR","Sort=A","Dates=H","DateFormat=P","Fill=—","Direction=H","UseDPDF=Y")</f>
        <v>0.67989999999999995</v>
      </c>
      <c r="M6" s="19">
        <f>_xll.BDH("TSLA US Equity","CASH_RATIO","FQ4 2013","FQ4 2013","Currency=USD","Period=FQ","BEST_FPERIOD_OVERRIDE=FQ","FILING_STATUS=MR","Sort=A","Dates=H","DateFormat=P","Fill=—","Direction=H","UseDPDF=Y")</f>
        <v>1.2528999999999999</v>
      </c>
      <c r="N6" s="19">
        <f>_xll.BDH("TSLA US Equity","CASH_RATIO","FQ1 2014","FQ1 2014","Currency=USD","Period=FQ","BEST_FPERIOD_OVERRIDE=FQ","FILING_STATUS=MR","Sort=A","Dates=H","DateFormat=P","Fill=—","Direction=H","UseDPDF=Y")</f>
        <v>1.8273999999999999</v>
      </c>
      <c r="O6" s="19">
        <f>_xll.BDH("TSLA US Equity","CASH_RATIO","FQ2 2014","FQ2 2014","Currency=USD","Period=FQ","BEST_FPERIOD_OVERRIDE=FQ","FILING_STATUS=MR","Sort=A","Dates=H","DateFormat=P","Fill=—","Direction=H","UseDPDF=Y")</f>
        <v>1.6974</v>
      </c>
      <c r="P6" s="19">
        <f>_xll.BDH("TSLA US Equity","CASH_RATIO","FQ3 2014","FQ3 2014","Currency=USD","Period=FQ","BEST_FPERIOD_OVERRIDE=FQ","FILING_STATUS=MR","Sort=A","Dates=H","DateFormat=P","Fill=—","Direction=H","UseDPDF=Y")</f>
        <v>1.2886</v>
      </c>
      <c r="Q6" s="19">
        <f>_xll.BDH("TSLA US Equity","CASH_RATIO","FQ4 2014","FQ4 2014","Currency=USD","Period=FQ","BEST_FPERIOD_OVERRIDE=FQ","FILING_STATUS=MR","Sort=A","Dates=H","DateFormat=P","Fill=—","Direction=H","UseDPDF=Y")</f>
        <v>0.88009999999999999</v>
      </c>
      <c r="R6" s="19">
        <f>_xll.BDH("TSLA US Equity","CASH_RATIO","FQ1 2015","FQ1 2015","Currency=USD","Period=FQ","BEST_FPERIOD_OVERRIDE=FQ","FILING_STATUS=MR","Sort=A","Dates=H","DateFormat=P","Fill=—","Direction=H","UseDPDF=Y")</f>
        <v>0.68879999999999997</v>
      </c>
      <c r="S6" s="19">
        <f>_xll.BDH("TSLA US Equity","CASH_RATIO","FQ2 2015","FQ2 2015","Currency=USD","Period=FQ","BEST_FPERIOD_OVERRIDE=FQ","FILING_STATUS=MR","Sort=A","Dates=H","DateFormat=P","Fill=—","Direction=H","UseDPDF=Y")</f>
        <v>0.48259999999999997</v>
      </c>
      <c r="T6" s="19">
        <f>_xll.BDH("TSLA US Equity","CASH_RATIO","FQ3 2015","FQ3 2015","Currency=USD","Period=FQ","BEST_FPERIOD_OVERRIDE=FQ","FILING_STATUS=MR","Sort=A","Dates=H","DateFormat=P","Fill=—","Direction=H","UseDPDF=Y")</f>
        <v>0.55840000000000001</v>
      </c>
      <c r="U6" s="19">
        <f>_xll.BDH("TSLA US Equity","CASH_RATIO","FQ4 2015","FQ4 2015","Currency=USD","Period=FQ","BEST_FPERIOD_OVERRIDE=FQ","FILING_STATUS=MR","Sort=A","Dates=H","DateFormat=P","Fill=—","Direction=H","UseDPDF=Y")</f>
        <v>0.42580000000000001</v>
      </c>
      <c r="V6" s="19">
        <f>_xll.BDH("TSLA US Equity","CASH_RATIO","FQ1 2016","FQ1 2016","Currency=USD","Period=FQ","BEST_FPERIOD_OVERRIDE=FQ","FILING_STATUS=MR","Sort=A","Dates=H","DateFormat=P","Fill=—","Direction=H","UseDPDF=Y")</f>
        <v>0.44629999999999997</v>
      </c>
      <c r="W6" s="19">
        <f>_xll.BDH("TSLA US Equity","CASH_RATIO","FQ2 2016","FQ2 2016","Currency=USD","Period=FQ","BEST_FPERIOD_OVERRIDE=FQ","FILING_STATUS=MR","Sort=A","Dates=H","DateFormat=P","Fill=—","Direction=H","UseDPDF=Y")</f>
        <v>0.8619</v>
      </c>
      <c r="X6" s="19">
        <f>_xll.BDH("TSLA US Equity","CASH_RATIO","FQ3 2016","FQ3 2016","Currency=USD","Period=FQ","BEST_FPERIOD_OVERRIDE=FQ","FILING_STATUS=MR","Sort=A","Dates=H","DateFormat=P","Fill=—","Direction=H","UseDPDF=Y")</f>
        <v>0.75549999999999995</v>
      </c>
      <c r="Y6" s="19">
        <f>_xll.BDH("TSLA US Equity","CASH_RATIO","FQ4 2016","FQ4 2016","Currency=USD","Period=FQ","BEST_FPERIOD_OVERRIDE=FQ","FILING_STATUS=MR","Sort=A","Dates=H","DateFormat=P","Fill=—","Direction=H","UseDPDF=Y")</f>
        <v>0.58230000000000004</v>
      </c>
      <c r="Z6" s="19">
        <f>_xll.BDH("TSLA US Equity","CASH_RATIO","FQ1 2017","FQ1 2017","Currency=USD","Period=FQ","BEST_FPERIOD_OVERRIDE=FQ","FILING_STATUS=MR","Sort=A","Dates=H","DateFormat=P","Fill=—","Direction=H","UseDPDF=Y")</f>
        <v>0.64149999999999996</v>
      </c>
      <c r="AA6" s="19">
        <f>_xll.BDH("TSLA US Equity","CASH_RATIO","FQ2 2017","FQ2 2017","Currency=USD","Period=FQ","BEST_FPERIOD_OVERRIDE=FQ","FILING_STATUS=MR","Sort=A","Dates=H","DateFormat=P","Fill=—","Direction=H","UseDPDF=Y")</f>
        <v>0.46379999999999999</v>
      </c>
      <c r="AB6" s="19">
        <f>_xll.BDH("TSLA US Equity","CASH_RATIO","FQ3 2017","FQ3 2017","Currency=USD","Period=FQ","BEST_FPERIOD_OVERRIDE=FQ","FILING_STATUS=MR","Sort=A","Dates=H","DateFormat=P","Fill=—","Direction=H","UseDPDF=Y")</f>
        <v>0.54569999999999996</v>
      </c>
      <c r="AC6" s="19" t="str">
        <f>_xll.BDH("TSLA US Equity","CASH_RATIO","FQ4 2017","FQ4 2017","Currency=USD","Period=FQ","BEST_FPERIOD_OVERRIDE=FQ","FILING_STATUS=MR","Sort=A","Dates=H","DateFormat=P","Fill=—","Direction=H","UseDPDF=Y")</f>
        <v>#N/A Requesting Data...</v>
      </c>
      <c r="AD6" s="19">
        <f>_xll.BDH("TSLA US Equity","CASH_RATIO","FQ1 2018","FQ1 2018","Currency=USD","Period=FQ","BEST_FPERIOD_OVERRIDE=FQ","FILING_STATUS=MR","Sort=A","Dates=H","DateFormat=P","Fill=—","Direction=H","UseDPDF=Y")</f>
        <v>0.30819999999999997</v>
      </c>
      <c r="AE6" s="19">
        <f>_xll.BDH("TSLA US Equity","CASH_RATIO","FQ2 2018","FQ2 2018","Currency=USD","Period=FQ","BEST_FPERIOD_OVERRIDE=FQ","FILING_STATUS=MR","Sort=A","Dates=H","DateFormat=P","Fill=—","Direction=H","UseDPDF=Y")</f>
        <v>0.24460000000000001</v>
      </c>
      <c r="AF6" s="19">
        <f>_xll.BDH("TSLA US Equity","CASH_RATIO","FQ3 2018","FQ3 2018","Currency=USD","Period=FQ","BEST_FPERIOD_OVERRIDE=FQ","FILING_STATUS=MR","Sort=A","Dates=H","DateFormat=P","Fill=—","Direction=H","UseDPDF=Y")</f>
        <v>0.30359999999999998</v>
      </c>
      <c r="AG6" s="19">
        <f>_xll.BDH("TSLA US Equity","CASH_RATIO","FQ4 2018","FQ4 2018","Currency=USD","Period=FQ","BEST_FPERIOD_OVERRIDE=FQ","FILING_STATUS=MR","Sort=A","Dates=H","DateFormat=P","Fill=—","Direction=H","UseDPDF=Y")</f>
        <v>0.36890000000000001</v>
      </c>
      <c r="AH6" s="19">
        <f>_xll.BDH("TSLA US Equity","CASH_RATIO","FQ1 2019","FQ1 2019","Currency=USD","Period=FQ","BEST_FPERIOD_OVERRIDE=FQ","FILING_STATUS=MR","Sort=A","Dates=H","DateFormat=P","Fill=—","Direction=H","UseDPDF=Y")</f>
        <v>0.23780000000000001</v>
      </c>
      <c r="AI6" s="19">
        <f>_xll.BDH("TSLA US Equity","CASH_RATIO","FQ2 2019","FQ2 2019","Currency=USD","Period=FQ","BEST_FPERIOD_OVERRIDE=FQ","FILING_STATUS=MR","Sort=A","Dates=H","DateFormat=P","Fill=—","Direction=H","UseDPDF=Y")</f>
        <v>0.51670000000000005</v>
      </c>
      <c r="AJ6" s="19">
        <f>_xll.BDH("TSLA US Equity","CASH_RATIO","FQ3 2019","FQ3 2019","Currency=USD","Period=FQ","BEST_FPERIOD_OVERRIDE=FQ","FILING_STATUS=MR","Sort=A","Dates=H","DateFormat=P","Fill=—","Direction=H","UseDPDF=Y")</f>
        <v>0.52610000000000001</v>
      </c>
      <c r="AK6" s="19">
        <f>_xll.BDH("TSLA US Equity","CASH_RATIO","FQ4 2019","FQ4 2019","Currency=USD","Period=FQ","BEST_FPERIOD_OVERRIDE=FQ","FILING_STATUS=MR","Sort=A","Dates=H","DateFormat=P","Fill=—","Direction=H","UseDPDF=Y")</f>
        <v>0.58760000000000001</v>
      </c>
      <c r="AL6" s="19">
        <f>_xll.BDH("TSLA US Equity","CASH_RATIO","FQ1 2020","FQ1 2020","Currency=USD","Period=FQ","BEST_FPERIOD_OVERRIDE=FQ","FILING_STATUS=MR","Sort=A","Dates=H","DateFormat=P","Fill=—","Direction=H","UseDPDF=Y")</f>
        <v>0.67410000000000003</v>
      </c>
      <c r="AM6" s="19">
        <f>_xll.BDH("TSLA US Equity","CASH_RATIO","FQ2 2020","FQ2 2020","Currency=USD","Period=FQ","BEST_FPERIOD_OVERRIDE=FQ","FILING_STATUS=MR","Sort=A","Dates=H","DateFormat=P","Fill=—","Direction=H","UseDPDF=Y")</f>
        <v>0.70209999999999995</v>
      </c>
      <c r="AN6" s="19">
        <f>_xll.BDH("TSLA US Equity","CASH_RATIO","FQ3 2020","FQ3 2020","Currency=USD","Period=FQ","BEST_FPERIOD_OVERRIDE=FQ","FILING_STATUS=MR","Sort=A","Dates=H","DateFormat=P","Fill=—","Direction=H","UseDPDF=Y")</f>
        <v>1.0924</v>
      </c>
      <c r="AO6" s="19">
        <f>_xll.BDH("TSLA US Equity","CASH_RATIO","FQ4 2020","FQ4 2020","Currency=USD","Period=FQ","BEST_FPERIOD_OVERRIDE=FQ","FILING_STATUS=MR","Sort=A","Dates=H","DateFormat=P","Fill=—","Direction=H","UseDPDF=Y")</f>
        <v>1.3605</v>
      </c>
      <c r="AP6" s="19">
        <f>_xll.BDH("TSLA US Equity","CASH_RATIO","FQ1 2021","FQ1 2021","Currency=USD","Period=FQ","BEST_FPERIOD_OVERRIDE=FQ","FILING_STATUS=MR","Sort=A","Dates=H","DateFormat=P","Fill=—","Direction=H","UseDPDF=Y")</f>
        <v>1.1522000000000001</v>
      </c>
    </row>
    <row r="7" spans="1:42" x14ac:dyDescent="0.25">
      <c r="A7" s="5" t="s">
        <v>158</v>
      </c>
      <c r="B7" s="5" t="s">
        <v>157</v>
      </c>
      <c r="C7" s="19">
        <f>_xll.BDH("TSLA US Equity","CUR_RATIO","FQ2 2011","FQ2 2011","Currency=USD","Period=FQ","BEST_FPERIOD_OVERRIDE=FQ","FILING_STATUS=MR","Sort=A","Dates=H","DateFormat=P","Fill=—","Direction=H","UseDPDF=Y")</f>
        <v>3.0112000000000001</v>
      </c>
      <c r="D7" s="19">
        <f>_xll.BDH("TSLA US Equity","CUR_RATIO","FQ3 2011","FQ3 2011","Currency=USD","Period=FQ","BEST_FPERIOD_OVERRIDE=FQ","FILING_STATUS=MR","Sort=A","Dates=H","DateFormat=P","Fill=—","Direction=H","UseDPDF=Y")</f>
        <v>2.673</v>
      </c>
      <c r="E7" s="19">
        <f>_xll.BDH("TSLA US Equity","CUR_RATIO","FQ4 2011","FQ4 2011","Currency=USD","Period=FQ","BEST_FPERIOD_OVERRIDE=FQ","FILING_STATUS=MR","Sort=A","Dates=H","DateFormat=P","Fill=—","Direction=H","UseDPDF=Y")</f>
        <v>1.9485999999999999</v>
      </c>
      <c r="F7" s="19">
        <f>_xll.BDH("TSLA US Equity","CUR_RATIO","FQ1 2012","FQ1 2012","Currency=USD","Period=FQ","BEST_FPERIOD_OVERRIDE=FQ","FILING_STATUS=MR","Sort=A","Dates=H","DateFormat=P","Fill=—","Direction=H","UseDPDF=Y")</f>
        <v>1.5225</v>
      </c>
      <c r="G7" s="19">
        <f>_xll.BDH("TSLA US Equity","CUR_RATIO","FQ2 2012","FQ2 2012","Currency=USD","Period=FQ","BEST_FPERIOD_OVERRIDE=FQ","FILING_STATUS=MR","Sort=A","Dates=H","DateFormat=P","Fill=—","Direction=H","UseDPDF=Y")</f>
        <v>1.1068</v>
      </c>
      <c r="H7" s="19">
        <f>_xll.BDH("TSLA US Equity","CUR_RATIO","FQ3 2012","FQ3 2012","Currency=USD","Period=FQ","BEST_FPERIOD_OVERRIDE=FQ","FILING_STATUS=MR","Sort=A","Dates=H","DateFormat=P","Fill=—","Direction=H","UseDPDF=Y")</f>
        <v>0.73750000000000004</v>
      </c>
      <c r="I7" s="19">
        <f>_xll.BDH("TSLA US Equity","CUR_RATIO","FQ4 2012","FQ4 2012","Currency=USD","Period=FQ","BEST_FPERIOD_OVERRIDE=FQ","FILING_STATUS=MR","Sort=A","Dates=H","DateFormat=P","Fill=—","Direction=H","UseDPDF=Y")</f>
        <v>0.97340000000000004</v>
      </c>
      <c r="J7" s="19">
        <f>_xll.BDH("TSLA US Equity","CUR_RATIO","FQ1 2013","FQ1 2013","Currency=USD","Period=FQ","BEST_FPERIOD_OVERRIDE=FQ","FILING_STATUS=MR","Sort=A","Dates=H","DateFormat=P","Fill=—","Direction=H","UseDPDF=Y")</f>
        <v>0.98199999999999998</v>
      </c>
      <c r="K7" s="19">
        <f>_xll.BDH("TSLA US Equity","CUR_RATIO","FQ2 2013","FQ2 2013","Currency=USD","Period=FQ","BEST_FPERIOD_OVERRIDE=FQ","FILING_STATUS=MR","Sort=A","Dates=H","DateFormat=P","Fill=—","Direction=H","UseDPDF=Y")</f>
        <v>2.3216000000000001</v>
      </c>
      <c r="L7" s="19">
        <f>_xll.BDH("TSLA US Equity","CUR_RATIO","FQ3 2013","FQ3 2013","Currency=USD","Period=FQ","BEST_FPERIOD_OVERRIDE=FQ","FILING_STATUS=MR","Sort=A","Dates=H","DateFormat=P","Fill=—","Direction=H","UseDPDF=Y")</f>
        <v>1.0422</v>
      </c>
      <c r="M7" s="19">
        <f>_xll.BDH("TSLA US Equity","CUR_RATIO","FQ4 2013","FQ4 2013","Currency=USD","Period=FQ","BEST_FPERIOD_OVERRIDE=FQ","FILING_STATUS=MR","Sort=A","Dates=H","DateFormat=P","Fill=—","Direction=H","UseDPDF=Y")</f>
        <v>1.875</v>
      </c>
      <c r="N7" s="19">
        <f>_xll.BDH("TSLA US Equity","CUR_RATIO","FQ1 2014","FQ1 2014","Currency=USD","Period=FQ","BEST_FPERIOD_OVERRIDE=FQ","FILING_STATUS=MR","Sort=A","Dates=H","DateFormat=P","Fill=—","Direction=H","UseDPDF=Y")</f>
        <v>2.2328000000000001</v>
      </c>
      <c r="O7" s="19">
        <f>_xll.BDH("TSLA US Equity","CUR_RATIO","FQ2 2014","FQ2 2014","Currency=USD","Period=FQ","BEST_FPERIOD_OVERRIDE=FQ","FILING_STATUS=MR","Sort=A","Dates=H","DateFormat=P","Fill=—","Direction=H","UseDPDF=Y")</f>
        <v>2.1840000000000002</v>
      </c>
      <c r="P7" s="19">
        <f>_xll.BDH("TSLA US Equity","CUR_RATIO","FQ3 2014","FQ3 2014","Currency=USD","Period=FQ","BEST_FPERIOD_OVERRIDE=FQ","FILING_STATUS=MR","Sort=A","Dates=H","DateFormat=P","Fill=—","Direction=H","UseDPDF=Y")</f>
        <v>1.8279000000000001</v>
      </c>
      <c r="Q7" s="19">
        <f>_xll.BDH("TSLA US Equity","CUR_RATIO","FQ4 2014","FQ4 2014","Currency=USD","Period=FQ","BEST_FPERIOD_OVERRIDE=FQ","FILING_STATUS=MR","Sort=A","Dates=H","DateFormat=P","Fill=—","Direction=H","UseDPDF=Y")</f>
        <v>1.4685999999999999</v>
      </c>
      <c r="R7" s="19">
        <f>_xll.BDH("TSLA US Equity","CUR_RATIO","FQ1 2015","FQ1 2015","Currency=USD","Period=FQ","BEST_FPERIOD_OVERRIDE=FQ","FILING_STATUS=MR","Sort=A","Dates=H","DateFormat=P","Fill=—","Direction=H","UseDPDF=Y")</f>
        <v>1.3325</v>
      </c>
      <c r="S7" s="19">
        <f>_xll.BDH("TSLA US Equity","CUR_RATIO","FQ2 2015","FQ2 2015","Currency=USD","Period=FQ","BEST_FPERIOD_OVERRIDE=FQ","FILING_STATUS=MR","Sort=A","Dates=H","DateFormat=P","Fill=—","Direction=H","UseDPDF=Y")</f>
        <v>1.1024</v>
      </c>
      <c r="T7" s="19">
        <f>_xll.BDH("TSLA US Equity","CUR_RATIO","FQ3 2015","FQ3 2015","Currency=USD","Period=FQ","BEST_FPERIOD_OVERRIDE=FQ","FILING_STATUS=MR","Sort=A","Dates=H","DateFormat=P","Fill=—","Direction=H","UseDPDF=Y")</f>
        <v>1.1743000000000001</v>
      </c>
      <c r="U7" s="19">
        <f>_xll.BDH("TSLA US Equity","CUR_RATIO","FQ4 2015","FQ4 2015","Currency=USD","Period=FQ","BEST_FPERIOD_OVERRIDE=FQ","FILING_STATUS=MR","Sort=A","Dates=H","DateFormat=P","Fill=—","Direction=H","UseDPDF=Y")</f>
        <v>0.98970000000000002</v>
      </c>
      <c r="V7" s="19">
        <f>_xll.BDH("TSLA US Equity","CUR_RATIO","FQ1 2016","FQ1 2016","Currency=USD","Period=FQ","BEST_FPERIOD_OVERRIDE=FQ","FILING_STATUS=MR","Sort=A","Dates=H","DateFormat=P","Fill=—","Direction=H","UseDPDF=Y")</f>
        <v>1.0028999999999999</v>
      </c>
      <c r="W7" s="19">
        <f>_xll.BDH("TSLA US Equity","CUR_RATIO","FQ2 2016","FQ2 2016","Currency=USD","Period=FQ","BEST_FPERIOD_OVERRIDE=FQ","FILING_STATUS=MR","Sort=A","Dates=H","DateFormat=P","Fill=—","Direction=H","UseDPDF=Y")</f>
        <v>1.3815999999999999</v>
      </c>
      <c r="X7" s="19">
        <f>_xll.BDH("TSLA US Equity","CUR_RATIO","FQ3 2016","FQ3 2016","Currency=USD","Period=FQ","BEST_FPERIOD_OVERRIDE=FQ","FILING_STATUS=MR","Sort=A","Dates=H","DateFormat=P","Fill=—","Direction=H","UseDPDF=Y")</f>
        <v>1.2669999999999999</v>
      </c>
      <c r="Y7" s="19">
        <f>_xll.BDH("TSLA US Equity","CUR_RATIO","FQ4 2016","FQ4 2016","Currency=USD","Period=FQ","BEST_FPERIOD_OVERRIDE=FQ","FILING_STATUS=MR","Sort=A","Dates=H","DateFormat=P","Fill=—","Direction=H","UseDPDF=Y")</f>
        <v>1.0743</v>
      </c>
      <c r="Z7" s="19">
        <f>_xll.BDH("TSLA US Equity","CUR_RATIO","FQ1 2017","FQ1 2017","Currency=USD","Period=FQ","BEST_FPERIOD_OVERRIDE=FQ","FILING_STATUS=MR","Sort=A","Dates=H","DateFormat=P","Fill=—","Direction=H","UseDPDF=Y")</f>
        <v>1.1253</v>
      </c>
      <c r="AA7" s="19">
        <f>_xll.BDH("TSLA US Equity","CUR_RATIO","FQ2 2017","FQ2 2017","Currency=USD","Period=FQ","BEST_FPERIOD_OVERRIDE=FQ","FILING_STATUS=MR","Sort=A","Dates=H","DateFormat=P","Fill=—","Direction=H","UseDPDF=Y")</f>
        <v>0.97140000000000004</v>
      </c>
      <c r="AB7" s="19">
        <f>_xll.BDH("TSLA US Equity","CUR_RATIO","FQ3 2017","FQ3 2017","Currency=USD","Period=FQ","BEST_FPERIOD_OVERRIDE=FQ","FILING_STATUS=MR","Sort=A","Dates=H","DateFormat=P","Fill=—","Direction=H","UseDPDF=Y")</f>
        <v>1.0927</v>
      </c>
      <c r="AC7" s="19">
        <f>_xll.BDH("TSLA US Equity","CUR_RATIO","FQ4 2017","FQ4 2017","Currency=USD","Period=FQ","BEST_FPERIOD_OVERRIDE=FQ","FILING_STATUS=MR","Sort=A","Dates=H","DateFormat=P","Fill=—","Direction=H","UseDPDF=Y")</f>
        <v>0.85609999999999997</v>
      </c>
      <c r="AD7" s="19">
        <f>_xll.BDH("TSLA US Equity","CUR_RATIO","FQ1 2018","FQ1 2018","Currency=USD","Period=FQ","BEST_FPERIOD_OVERRIDE=FQ","FILING_STATUS=MR","Sort=A","Dates=H","DateFormat=P","Fill=—","Direction=H","UseDPDF=Y")</f>
        <v>0.73799999999999999</v>
      </c>
      <c r="AE7" s="19">
        <f>_xll.BDH("TSLA US Equity","CUR_RATIO","FQ2 2018","FQ2 2018","Currency=USD","Period=FQ","BEST_FPERIOD_OVERRIDE=FQ","FILING_STATUS=MR","Sort=A","Dates=H","DateFormat=P","Fill=—","Direction=H","UseDPDF=Y")</f>
        <v>0.7329</v>
      </c>
      <c r="AF7" s="19">
        <f>_xll.BDH("TSLA US Equity","CUR_RATIO","FQ3 2018","FQ3 2018","Currency=USD","Period=FQ","BEST_FPERIOD_OVERRIDE=FQ","FILING_STATUS=MR","Sort=A","Dates=H","DateFormat=P","Fill=—","Direction=H","UseDPDF=Y")</f>
        <v>0.81030000000000002</v>
      </c>
      <c r="AG7" s="19">
        <f>_xll.BDH("TSLA US Equity","CUR_RATIO","FQ4 2018","FQ4 2018","Currency=USD","Period=FQ","BEST_FPERIOD_OVERRIDE=FQ","FILING_STATUS=MR","Sort=A","Dates=H","DateFormat=P","Fill=—","Direction=H","UseDPDF=Y")</f>
        <v>0.83130000000000004</v>
      </c>
      <c r="AH7" s="19">
        <f>_xll.BDH("TSLA US Equity","CUR_RATIO","FQ1 2019","FQ1 2019","Currency=USD","Period=FQ","BEST_FPERIOD_OVERRIDE=FQ","FILING_STATUS=MR","Sort=A","Dates=H","DateFormat=P","Fill=—","Direction=H","UseDPDF=Y")</f>
        <v>0.83069999999999999</v>
      </c>
      <c r="AI7" s="19">
        <f>_xll.BDH("TSLA US Equity","CUR_RATIO","FQ2 2019","FQ2 2019","Currency=USD","Period=FQ","BEST_FPERIOD_OVERRIDE=FQ","FILING_STATUS=MR","Sort=A","Dates=H","DateFormat=P","Fill=—","Direction=H","UseDPDF=Y")</f>
        <v>1.0619000000000001</v>
      </c>
      <c r="AJ7" s="19">
        <f>_xll.BDH("TSLA US Equity","CUR_RATIO","FQ3 2019","FQ3 2019","Currency=USD","Period=FQ","BEST_FPERIOD_OVERRIDE=FQ","FILING_STATUS=MR","Sort=A","Dates=H","DateFormat=P","Fill=—","Direction=H","UseDPDF=Y")</f>
        <v>1.0783</v>
      </c>
      <c r="AK7" s="19">
        <f>_xll.BDH("TSLA US Equity","CUR_RATIO","FQ4 2019","FQ4 2019","Currency=USD","Period=FQ","BEST_FPERIOD_OVERRIDE=FQ","FILING_STATUS=MR","Sort=A","Dates=H","DateFormat=P","Fill=—","Direction=H","UseDPDF=Y")</f>
        <v>1.1346000000000001</v>
      </c>
      <c r="AL7" s="19">
        <f>_xll.BDH("TSLA US Equity","CUR_RATIO","FQ1 2020","FQ1 2020","Currency=USD","Period=FQ","BEST_FPERIOD_OVERRIDE=FQ","FILING_STATUS=MR","Sort=A","Dates=H","DateFormat=P","Fill=—","Direction=H","UseDPDF=Y")</f>
        <v>1.2424999999999999</v>
      </c>
      <c r="AM7" s="19">
        <f>_xll.BDH("TSLA US Equity","CUR_RATIO","FQ2 2020","FQ2 2020","Currency=USD","Period=FQ","BEST_FPERIOD_OVERRIDE=FQ","FILING_STATUS=MR","Sort=A","Dates=H","DateFormat=P","Fill=—","Direction=H","UseDPDF=Y")</f>
        <v>1.2499</v>
      </c>
      <c r="AN7" s="19">
        <f>_xll.BDH("TSLA US Equity","CUR_RATIO","FQ3 2020","FQ3 2020","Currency=USD","Period=FQ","BEST_FPERIOD_OVERRIDE=FQ","FILING_STATUS=MR","Sort=A","Dates=H","DateFormat=P","Fill=—","Direction=H","UseDPDF=Y")</f>
        <v>1.6346000000000001</v>
      </c>
      <c r="AO7" s="19">
        <f>_xll.BDH("TSLA US Equity","CUR_RATIO","FQ4 2020","FQ4 2020","Currency=USD","Period=FQ","BEST_FPERIOD_OVERRIDE=FQ","FILING_STATUS=MR","Sort=A","Dates=H","DateFormat=P","Fill=—","Direction=H","UseDPDF=Y")</f>
        <v>1.8751</v>
      </c>
      <c r="AP7" s="19">
        <f>_xll.BDH("TSLA US Equity","CUR_RATIO","FQ1 2021","FQ1 2021","Currency=USD","Period=FQ","BEST_FPERIOD_OVERRIDE=FQ","FILING_STATUS=MR","Sort=A","Dates=H","DateFormat=P","Fill=—","Direction=H","UseDPDF=Y")</f>
        <v>1.6606000000000001</v>
      </c>
    </row>
    <row r="8" spans="1:42" x14ac:dyDescent="0.25">
      <c r="A8" s="5" t="s">
        <v>156</v>
      </c>
      <c r="B8" s="5" t="s">
        <v>155</v>
      </c>
      <c r="C8" s="19">
        <f>_xll.BDH("TSLA US Equity","QUICK_RATIO","FQ2 2011","FQ2 2011","Currency=USD","Period=FQ","BEST_FPERIOD_OVERRIDE=FQ","FILING_STATUS=MR","Sort=A","Dates=H","DateFormat=P","Fill=—","Direction=H","UseDPDF=Y")</f>
        <v>2.4701</v>
      </c>
      <c r="D8" s="19">
        <f>_xll.BDH("TSLA US Equity","QUICK_RATIO","FQ3 2011","FQ3 2011","Currency=USD","Period=FQ","BEST_FPERIOD_OVERRIDE=FQ","FILING_STATUS=MR","Sort=A","Dates=H","DateFormat=P","Fill=—","Direction=H","UseDPDF=Y")</f>
        <v>1.9239999999999999</v>
      </c>
      <c r="E8" s="19">
        <f>_xll.BDH("TSLA US Equity","QUICK_RATIO","FQ4 2011","FQ4 2011","Currency=USD","Period=FQ","BEST_FPERIOD_OVERRIDE=FQ","FILING_STATUS=MR","Sort=A","Dates=H","DateFormat=P","Fill=—","Direction=H","UseDPDF=Y")</f>
        <v>1.5148999999999999</v>
      </c>
      <c r="F8" s="19">
        <f>_xll.BDH("TSLA US Equity","QUICK_RATIO","FQ1 2012","FQ1 2012","Currency=USD","Period=FQ","BEST_FPERIOD_OVERRIDE=FQ","FILING_STATUS=MR","Sort=A","Dates=H","DateFormat=P","Fill=—","Direction=H","UseDPDF=Y")</f>
        <v>1.091</v>
      </c>
      <c r="G8" s="19">
        <f>_xll.BDH("TSLA US Equity","QUICK_RATIO","FQ2 2012","FQ2 2012","Currency=USD","Period=FQ","BEST_FPERIOD_OVERRIDE=FQ","FILING_STATUS=MR","Sort=A","Dates=H","DateFormat=P","Fill=—","Direction=H","UseDPDF=Y")</f>
        <v>0.77329999999999999</v>
      </c>
      <c r="H8" s="19">
        <f>_xll.BDH("TSLA US Equity","QUICK_RATIO","FQ3 2012","FQ3 2012","Currency=USD","Period=FQ","BEST_FPERIOD_OVERRIDE=FQ","FILING_STATUS=MR","Sort=A","Dates=H","DateFormat=P","Fill=—","Direction=H","UseDPDF=Y")</f>
        <v>0.24590000000000001</v>
      </c>
      <c r="I8" s="19">
        <f>_xll.BDH("TSLA US Equity","QUICK_RATIO","FQ4 2012","FQ4 2012","Currency=USD","Period=FQ","BEST_FPERIOD_OVERRIDE=FQ","FILING_STATUS=MR","Sort=A","Dates=H","DateFormat=P","Fill=—","Direction=H","UseDPDF=Y")</f>
        <v>0.42430000000000001</v>
      </c>
      <c r="J8" s="19">
        <f>_xll.BDH("TSLA US Equity","QUICK_RATIO","FQ1 2013","FQ1 2013","Currency=USD","Period=FQ","BEST_FPERIOD_OVERRIDE=FQ","FILING_STATUS=MR","Sort=A","Dates=H","DateFormat=P","Fill=—","Direction=H","UseDPDF=Y")</f>
        <v>0.48649999999999999</v>
      </c>
      <c r="K8" s="19">
        <f>_xll.BDH("TSLA US Equity","QUICK_RATIO","FQ2 2013","FQ2 2013","Currency=USD","Period=FQ","BEST_FPERIOD_OVERRIDE=FQ","FILING_STATUS=MR","Sort=A","Dates=H","DateFormat=P","Fill=—","Direction=H","UseDPDF=Y")</f>
        <v>1.7667000000000002</v>
      </c>
      <c r="L8" s="19">
        <f>_xll.BDH("TSLA US Equity","QUICK_RATIO","FQ3 2013","FQ3 2013","Currency=USD","Period=FQ","BEST_FPERIOD_OVERRIDE=FQ","FILING_STATUS=MR","Sort=A","Dates=H","DateFormat=P","Fill=—","Direction=H","UseDPDF=Y")</f>
        <v>0.72060000000000002</v>
      </c>
      <c r="M8" s="19">
        <f>_xll.BDH("TSLA US Equity","QUICK_RATIO","FQ4 2013","FQ4 2013","Currency=USD","Period=FQ","BEST_FPERIOD_OVERRIDE=FQ","FILING_STATUS=MR","Sort=A","Dates=H","DateFormat=P","Fill=—","Direction=H","UseDPDF=Y")</f>
        <v>1.3256000000000001</v>
      </c>
      <c r="N8" s="19">
        <f>_xll.BDH("TSLA US Equity","QUICK_RATIO","FQ1 2014","FQ1 2014","Currency=USD","Period=FQ","BEST_FPERIOD_OVERRIDE=FQ","FILING_STATUS=MR","Sort=A","Dates=H","DateFormat=P","Fill=—","Direction=H","UseDPDF=Y")</f>
        <v>1.8786</v>
      </c>
      <c r="O8" s="19">
        <f>_xll.BDH("TSLA US Equity","QUICK_RATIO","FQ2 2014","FQ2 2014","Currency=USD","Period=FQ","BEST_FPERIOD_OVERRIDE=FQ","FILING_STATUS=MR","Sort=A","Dates=H","DateFormat=P","Fill=—","Direction=H","UseDPDF=Y")</f>
        <v>1.7587000000000002</v>
      </c>
      <c r="P8" s="19">
        <f>_xll.BDH("TSLA US Equity","QUICK_RATIO","FQ3 2014","FQ3 2014","Currency=USD","Period=FQ","BEST_FPERIOD_OVERRIDE=FQ","FILING_STATUS=MR","Sort=A","Dates=H","DateFormat=P","Fill=—","Direction=H","UseDPDF=Y")</f>
        <v>1.3738999999999999</v>
      </c>
      <c r="Q8" s="19">
        <f>_xll.BDH("TSLA US Equity","QUICK_RATIO","FQ4 2014","FQ4 2014","Currency=USD","Period=FQ","BEST_FPERIOD_OVERRIDE=FQ","FILING_STATUS=MR","Sort=A","Dates=H","DateFormat=P","Fill=—","Direction=H","UseDPDF=Y")</f>
        <v>0.98470000000000002</v>
      </c>
      <c r="R8" s="19">
        <f>_xll.BDH("TSLA US Equity","QUICK_RATIO","FQ1 2015","FQ1 2015","Currency=USD","Period=FQ","BEST_FPERIOD_OVERRIDE=FQ","FILING_STATUS=MR","Sort=A","Dates=H","DateFormat=P","Fill=—","Direction=H","UseDPDF=Y")</f>
        <v>0.78</v>
      </c>
      <c r="S8" s="19">
        <f>_xll.BDH("TSLA US Equity","QUICK_RATIO","FQ2 2015","FQ2 2015","Currency=USD","Period=FQ","BEST_FPERIOD_OVERRIDE=FQ","FILING_STATUS=MR","Sort=A","Dates=H","DateFormat=P","Fill=—","Direction=H","UseDPDF=Y")</f>
        <v>0.54069999999999996</v>
      </c>
      <c r="T8" s="19">
        <f>_xll.BDH("TSLA US Equity","QUICK_RATIO","FQ3 2015","FQ3 2015","Currency=USD","Period=FQ","BEST_FPERIOD_OVERRIDE=FQ","FILING_STATUS=MR","Sort=A","Dates=H","DateFormat=P","Fill=—","Direction=H","UseDPDF=Y")</f>
        <v>0.60540000000000005</v>
      </c>
      <c r="U8" s="19">
        <f>_xll.BDH("TSLA US Equity","QUICK_RATIO","FQ4 2015","FQ4 2015","Currency=USD","Period=FQ","BEST_FPERIOD_OVERRIDE=FQ","FILING_STATUS=MR","Sort=A","Dates=H","DateFormat=P","Fill=—","Direction=H","UseDPDF=Y")</f>
        <v>0.4859</v>
      </c>
      <c r="V8" s="19">
        <f>_xll.BDH("TSLA US Equity","QUICK_RATIO","FQ1 2016","FQ1 2016","Currency=USD","Period=FQ","BEST_FPERIOD_OVERRIDE=FQ","FILING_STATUS=MR","Sort=A","Dates=H","DateFormat=P","Fill=—","Direction=H","UseDPDF=Y")</f>
        <v>0.54479999999999995</v>
      </c>
      <c r="W8" s="19">
        <f>_xll.BDH("TSLA US Equity","QUICK_RATIO","FQ2 2016","FQ2 2016","Currency=USD","Period=FQ","BEST_FPERIOD_OVERRIDE=FQ","FILING_STATUS=MR","Sort=A","Dates=H","DateFormat=P","Fill=—","Direction=H","UseDPDF=Y")</f>
        <v>0.9093</v>
      </c>
      <c r="X8" s="19">
        <f>_xll.BDH("TSLA US Equity","QUICK_RATIO","FQ3 2016","FQ3 2016","Currency=USD","Period=FQ","BEST_FPERIOD_OVERRIDE=FQ","FILING_STATUS=MR","Sort=A","Dates=H","DateFormat=P","Fill=—","Direction=H","UseDPDF=Y")</f>
        <v>0.83560000000000001</v>
      </c>
      <c r="Y8" s="19">
        <f>_xll.BDH("TSLA US Equity","QUICK_RATIO","FQ4 2016","FQ4 2016","Currency=USD","Period=FQ","BEST_FPERIOD_OVERRIDE=FQ","FILING_STATUS=MR","Sort=A","Dates=H","DateFormat=P","Fill=—","Direction=H","UseDPDF=Y")</f>
        <v>0.66800000000000004</v>
      </c>
      <c r="Z8" s="19">
        <f>_xll.BDH("TSLA US Equity","QUICK_RATIO","FQ1 2017","FQ1 2017","Currency=USD","Period=FQ","BEST_FPERIOD_OVERRIDE=FQ","FILING_STATUS=MR","Sort=A","Dates=H","DateFormat=P","Fill=—","Direction=H","UseDPDF=Y")</f>
        <v>0.71199999999999997</v>
      </c>
      <c r="AA8" s="19">
        <f>_xll.BDH("TSLA US Equity","QUICK_RATIO","FQ2 2017","FQ2 2017","Currency=USD","Period=FQ","BEST_FPERIOD_OVERRIDE=FQ","FILING_STATUS=MR","Sort=A","Dates=H","DateFormat=P","Fill=—","Direction=H","UseDPDF=Y")</f>
        <v>0.53300000000000003</v>
      </c>
      <c r="AB8" s="19">
        <f>_xll.BDH("TSLA US Equity","QUICK_RATIO","FQ3 2017","FQ3 2017","Currency=USD","Period=FQ","BEST_FPERIOD_OVERRIDE=FQ","FILING_STATUS=MR","Sort=A","Dates=H","DateFormat=P","Fill=—","Direction=H","UseDPDF=Y")</f>
        <v>0.63959999999999995</v>
      </c>
      <c r="AC8" s="19">
        <f>_xll.BDH("TSLA US Equity","QUICK_RATIO","FQ4 2017","FQ4 2017","Currency=USD","Period=FQ","BEST_FPERIOD_OVERRIDE=FQ","FILING_STATUS=MR","Sort=A","Dates=H","DateFormat=P","Fill=—","Direction=H","UseDPDF=Y")</f>
        <v>0.50600000000000001</v>
      </c>
      <c r="AD8" s="19">
        <f>_xll.BDH("TSLA US Equity","QUICK_RATIO","FQ1 2018","FQ1 2018","Currency=USD","Period=FQ","BEST_FPERIOD_OVERRIDE=FQ","FILING_STATUS=MR","Sort=A","Dates=H","DateFormat=P","Fill=—","Direction=H","UseDPDF=Y")</f>
        <v>0.3836</v>
      </c>
      <c r="AE8" s="19">
        <f>_xll.BDH("TSLA US Equity","QUICK_RATIO","FQ2 2018","FQ2 2018","Currency=USD","Period=FQ","BEST_FPERIOD_OVERRIDE=FQ","FILING_STATUS=MR","Sort=A","Dates=H","DateFormat=P","Fill=—","Direction=H","UseDPDF=Y")</f>
        <v>0.307</v>
      </c>
      <c r="AF8" s="19">
        <f>_xll.BDH("TSLA US Equity","QUICK_RATIO","FQ3 2018","FQ3 2018","Currency=USD","Period=FQ","BEST_FPERIOD_OVERRIDE=FQ","FILING_STATUS=MR","Sort=A","Dates=H","DateFormat=P","Fill=—","Direction=H","UseDPDF=Y")</f>
        <v>0.42170000000000002</v>
      </c>
      <c r="AG8" s="19">
        <f>_xll.BDH("TSLA US Equity","QUICK_RATIO","FQ4 2018","FQ4 2018","Currency=USD","Period=FQ","BEST_FPERIOD_OVERRIDE=FQ","FILING_STATUS=MR","Sort=A","Dates=H","DateFormat=P","Fill=—","Direction=H","UseDPDF=Y")</f>
        <v>0.46379999999999999</v>
      </c>
      <c r="AH8" s="19">
        <f>_xll.BDH("TSLA US Equity","QUICK_RATIO","FQ1 2019","FQ1 2019","Currency=USD","Period=FQ","BEST_FPERIOD_OVERRIDE=FQ","FILING_STATUS=MR","Sort=A","Dates=H","DateFormat=P","Fill=—","Direction=H","UseDPDF=Y")</f>
        <v>0.35110000000000002</v>
      </c>
      <c r="AI8" s="19">
        <f>_xll.BDH("TSLA US Equity","QUICK_RATIO","FQ2 2019","FQ2 2019","Currency=USD","Period=FQ","BEST_FPERIOD_OVERRIDE=FQ","FILING_STATUS=MR","Sort=A","Dates=H","DateFormat=P","Fill=—","Direction=H","UseDPDF=Y")</f>
        <v>0.63639999999999997</v>
      </c>
      <c r="AJ8" s="19">
        <f>_xll.BDH("TSLA US Equity","QUICK_RATIO","FQ3 2019","FQ3 2019","Currency=USD","Period=FQ","BEST_FPERIOD_OVERRIDE=FQ","FILING_STATUS=MR","Sort=A","Dates=H","DateFormat=P","Fill=—","Direction=H","UseDPDF=Y")</f>
        <v>0.63729999999999998</v>
      </c>
      <c r="AK8" s="19">
        <f>_xll.BDH("TSLA US Equity","QUICK_RATIO","FQ4 2019","FQ4 2019","Currency=USD","Period=FQ","BEST_FPERIOD_OVERRIDE=FQ","FILING_STATUS=MR","Sort=A","Dates=H","DateFormat=P","Fill=—","Direction=H","UseDPDF=Y")</f>
        <v>0.7117</v>
      </c>
      <c r="AL8" s="19">
        <f>_xll.BDH("TSLA US Equity","QUICK_RATIO","FQ1 2020","FQ1 2020","Currency=USD","Period=FQ","BEST_FPERIOD_OVERRIDE=FQ","FILING_STATUS=MR","Sort=A","Dates=H","DateFormat=P","Fill=—","Direction=H","UseDPDF=Y")</f>
        <v>0.78039999999999998</v>
      </c>
      <c r="AM8" s="19">
        <f>_xll.BDH("TSLA US Equity","QUICK_RATIO","FQ2 2020","FQ2 2020","Currency=USD","Period=FQ","BEST_FPERIOD_OVERRIDE=FQ","FILING_STATUS=MR","Sort=A","Dates=H","DateFormat=P","Fill=—","Direction=H","UseDPDF=Y")</f>
        <v>0.82310000000000005</v>
      </c>
      <c r="AN8" s="19">
        <f>_xll.BDH("TSLA US Equity","QUICK_RATIO","FQ3 2020","FQ3 2020","Currency=USD","Period=FQ","BEST_FPERIOD_OVERRIDE=FQ","FILING_STATUS=MR","Sort=A","Dates=H","DateFormat=P","Fill=—","Direction=H","UseDPDF=Y")</f>
        <v>1.2244999999999999</v>
      </c>
      <c r="AO8" s="19">
        <f>_xll.BDH("TSLA US Equity","QUICK_RATIO","FQ4 2020","FQ4 2020","Currency=USD","Period=FQ","BEST_FPERIOD_OVERRIDE=FQ","FILING_STATUS=MR","Sort=A","Dates=H","DateFormat=P","Fill=—","Direction=H","UseDPDF=Y")</f>
        <v>1.4927999999999999</v>
      </c>
      <c r="AP8" s="19">
        <f>_xll.BDH("TSLA US Equity","QUICK_RATIO","FQ1 2021","FQ1 2021","Currency=USD","Period=FQ","BEST_FPERIOD_OVERRIDE=FQ","FILING_STATUS=MR","Sort=A","Dates=H","DateFormat=P","Fill=—","Direction=H","UseDPDF=Y")</f>
        <v>1.2791999999999999</v>
      </c>
    </row>
    <row r="9" spans="1:42" x14ac:dyDescent="0.25">
      <c r="A9" s="5" t="s">
        <v>154</v>
      </c>
      <c r="B9" s="5" t="s">
        <v>153</v>
      </c>
      <c r="C9" s="19">
        <f>_xll.BDH("TSLA US Equity","CFO_TO_AVG_CURRENT_LIABILITIES","FQ2 2011","FQ2 2011","Currency=USD","Period=FQ","BEST_FPERIOD_OVERRIDE=FQ","FILING_STATUS=MR","Sort=A","Dates=H","DateFormat=P","Fill=—","Direction=H","UseDPDF=Y")</f>
        <v>-1.3652</v>
      </c>
      <c r="D9" s="19">
        <f>_xll.BDH("TSLA US Equity","CFO_TO_AVG_CURRENT_LIABILITIES","FQ3 2011","FQ3 2011","Currency=USD","Period=FQ","BEST_FPERIOD_OVERRIDE=FQ","FILING_STATUS=MR","Sort=A","Dates=H","DateFormat=P","Fill=—","Direction=H","UseDPDF=Y")</f>
        <v>-1.0876999999999999</v>
      </c>
      <c r="E9" s="19">
        <f>_xll.BDH("TSLA US Equity","CFO_TO_AVG_CURRENT_LIABILITIES","FQ4 2011","FQ4 2011","Currency=USD","Period=FQ","BEST_FPERIOD_OVERRIDE=FQ","FILING_STATUS=MR","Sort=A","Dates=H","DateFormat=P","Fill=—","Direction=H","UseDPDF=Y")</f>
        <v>-0.82599999999999996</v>
      </c>
      <c r="F9" s="19">
        <f>_xll.BDH("TSLA US Equity","CFO_TO_AVG_CURRENT_LIABILITIES","FQ1 2012","FQ1 2012","Currency=USD","Period=FQ","BEST_FPERIOD_OVERRIDE=FQ","FILING_STATUS=MR","Sort=A","Dates=H","DateFormat=P","Fill=—","Direction=H","UseDPDF=Y")</f>
        <v>-0.69489999999999996</v>
      </c>
      <c r="G9" s="19">
        <f>_xll.BDH("TSLA US Equity","CFO_TO_AVG_CURRENT_LIABILITIES","FQ2 2012","FQ2 2012","Currency=USD","Period=FQ","BEST_FPERIOD_OVERRIDE=FQ","FILING_STATUS=MR","Sort=A","Dates=H","DateFormat=P","Fill=—","Direction=H","UseDPDF=Y")</f>
        <v>-0.82840000000000003</v>
      </c>
      <c r="H9" s="19">
        <f>_xll.BDH("TSLA US Equity","CFO_TO_AVG_CURRENT_LIABILITIES","FQ3 2012","FQ3 2012","Currency=USD","Period=FQ","BEST_FPERIOD_OVERRIDE=FQ","FILING_STATUS=MR","Sort=A","Dates=H","DateFormat=P","Fill=—","Direction=H","UseDPDF=Y")</f>
        <v>-0.94699999999999995</v>
      </c>
      <c r="I9" s="19">
        <f>_xll.BDH("TSLA US Equity","CFO_TO_AVG_CURRENT_LIABILITIES","FQ4 2012","FQ4 2012","Currency=USD","Period=FQ","BEST_FPERIOD_OVERRIDE=FQ","FILING_STATUS=MR","Sort=A","Dates=H","DateFormat=P","Fill=—","Direction=H","UseDPDF=Y")</f>
        <v>-0.7903</v>
      </c>
      <c r="J9" s="19">
        <f>_xll.BDH("TSLA US Equity","CFO_TO_AVG_CURRENT_LIABILITIES","FQ1 2013","FQ1 2013","Currency=USD","Period=FQ","BEST_FPERIOD_OVERRIDE=FQ","FILING_STATUS=MR","Sort=A","Dates=H","DateFormat=P","Fill=—","Direction=H","UseDPDF=Y")</f>
        <v>-0.45240000000000002</v>
      </c>
      <c r="K9" s="19">
        <f>_xll.BDH("TSLA US Equity","CFO_TO_AVG_CURRENT_LIABILITIES","FQ2 2013","FQ2 2013","Currency=USD","Period=FQ","BEST_FPERIOD_OVERRIDE=FQ","FILING_STATUS=MR","Sort=A","Dates=H","DateFormat=P","Fill=—","Direction=H","UseDPDF=Y")</f>
        <v>-0.184</v>
      </c>
      <c r="L9" s="19">
        <f>_xll.BDH("TSLA US Equity","CFO_TO_AVG_CURRENT_LIABILITIES","FQ3 2013","FQ3 2013","Currency=USD","Period=FQ","BEST_FPERIOD_OVERRIDE=FQ","FILING_STATUS=MR","Sort=A","Dates=H","DateFormat=P","Fill=—","Direction=H","UseDPDF=Y")</f>
        <v>0.1734</v>
      </c>
      <c r="M9" s="19">
        <f>_xll.BDH("TSLA US Equity","CFO_TO_AVG_CURRENT_LIABILITIES","FQ4 2013","FQ4 2013","Currency=USD","Period=FQ","BEST_FPERIOD_OVERRIDE=FQ","FILING_STATUS=MR","Sort=A","Dates=H","DateFormat=P","Fill=—","Direction=H","UseDPDF=Y")</f>
        <v>0.54169999999999996</v>
      </c>
      <c r="N9" s="19">
        <f>_xll.BDH("TSLA US Equity","CFO_TO_AVG_CURRENT_LIABILITIES","FQ1 2014","FQ1 2014","Currency=USD","Period=FQ","BEST_FPERIOD_OVERRIDE=FQ","FILING_STATUS=MR","Sort=A","Dates=H","DateFormat=P","Fill=—","Direction=H","UseDPDF=Y")</f>
        <v>0.33389999999999997</v>
      </c>
      <c r="O9" s="19">
        <f>_xll.BDH("TSLA US Equity","CFO_TO_AVG_CURRENT_LIABILITIES","FQ2 2014","FQ2 2014","Currency=USD","Period=FQ","BEST_FPERIOD_OVERRIDE=FQ","FILING_STATUS=MR","Sort=A","Dates=H","DateFormat=P","Fill=—","Direction=H","UseDPDF=Y")</f>
        <v>0.28699999999999998</v>
      </c>
      <c r="P9" s="19">
        <f>_xll.BDH("TSLA US Equity","CFO_TO_AVG_CURRENT_LIABILITIES","FQ3 2014","FQ3 2014","Currency=USD","Period=FQ","BEST_FPERIOD_OVERRIDE=FQ","FILING_STATUS=MR","Sort=A","Dates=H","DateFormat=P","Fill=—","Direction=H","UseDPDF=Y")</f>
        <v>0.1084</v>
      </c>
      <c r="Q9" s="19">
        <f>_xll.BDH("TSLA US Equity","CFO_TO_AVG_CURRENT_LIABILITIES","FQ4 2014","FQ4 2014","Currency=USD","Period=FQ","BEST_FPERIOD_OVERRIDE=FQ","FILING_STATUS=MR","Sort=A","Dates=H","DateFormat=P","Fill=—","Direction=H","UseDPDF=Y")</f>
        <v>-4.0399999999999998E-2</v>
      </c>
      <c r="R9" s="19">
        <f>_xll.BDH("TSLA US Equity","CFO_TO_AVG_CURRENT_LIABILITIES","FQ1 2015","FQ1 2015","Currency=USD","Period=FQ","BEST_FPERIOD_OVERRIDE=FQ","FILING_STATUS=MR","Sort=A","Dates=H","DateFormat=P","Fill=—","Direction=H","UseDPDF=Y")</f>
        <v>-0.13850000000000001</v>
      </c>
      <c r="S9" s="19">
        <f>_xll.BDH("TSLA US Equity","CFO_TO_AVG_CURRENT_LIABILITIES","FQ2 2015","FQ2 2015","Currency=USD","Period=FQ","BEST_FPERIOD_OVERRIDE=FQ","FILING_STATUS=MR","Sort=A","Dates=H","DateFormat=P","Fill=—","Direction=H","UseDPDF=Y")</f>
        <v>-0.2049</v>
      </c>
      <c r="T9" s="19">
        <f>_xll.BDH("TSLA US Equity","CFO_TO_AVG_CURRENT_LIABILITIES","FQ3 2015","FQ3 2015","Currency=USD","Period=FQ","BEST_FPERIOD_OVERRIDE=FQ","FILING_STATUS=MR","Sort=A","Dates=H","DateFormat=P","Fill=—","Direction=H","UseDPDF=Y")</f>
        <v>-0.26450000000000001</v>
      </c>
      <c r="U9" s="19">
        <f>_xll.BDH("TSLA US Equity","CFO_TO_AVG_CURRENT_LIABILITIES","FQ4 2015","FQ4 2015","Currency=USD","Period=FQ","BEST_FPERIOD_OVERRIDE=FQ","FILING_STATUS=MR","Sort=A","Dates=H","DateFormat=P","Fill=—","Direction=H","UseDPDF=Y")</f>
        <v>-0.21079999999999999</v>
      </c>
      <c r="V9" s="19">
        <f>_xll.BDH("TSLA US Equity","CFO_TO_AVG_CURRENT_LIABILITIES","FQ1 2016","FQ1 2016","Currency=USD","Period=FQ","BEST_FPERIOD_OVERRIDE=FQ","FILING_STATUS=MR","Sort=A","Dates=H","DateFormat=P","Fill=—","Direction=H","UseDPDF=Y")</f>
        <v>-0.2369</v>
      </c>
      <c r="W9" s="19">
        <f>_xll.BDH("TSLA US Equity","CFO_TO_AVG_CURRENT_LIABILITIES","FQ2 2016","FQ2 2016","Currency=USD","Period=FQ","BEST_FPERIOD_OVERRIDE=FQ","FILING_STATUS=MR","Sort=A","Dates=H","DateFormat=P","Fill=—","Direction=H","UseDPDF=Y")</f>
        <v>-0.1081</v>
      </c>
      <c r="X9" s="19">
        <f>_xll.BDH("TSLA US Equity","CFO_TO_AVG_CURRENT_LIABILITIES","FQ3 2016","FQ3 2016","Currency=USD","Period=FQ","BEST_FPERIOD_OVERRIDE=FQ","FILING_STATUS=MR","Sort=A","Dates=H","DateFormat=P","Fill=—","Direction=H","UseDPDF=Y")</f>
        <v>8.8800000000000004E-2</v>
      </c>
      <c r="Y9" s="19">
        <f>_xll.BDH("TSLA US Equity","CFO_TO_AVG_CURRENT_LIABILITIES","FQ4 2016","FQ4 2016","Currency=USD","Period=FQ","BEST_FPERIOD_OVERRIDE=FQ","FILING_STATUS=MR","Sort=A","Dates=H","DateFormat=P","Fill=—","Direction=H","UseDPDF=Y")</f>
        <v>-2.87E-2</v>
      </c>
      <c r="Z9" s="19">
        <f>_xll.BDH("TSLA US Equity","CFO_TO_AVG_CURRENT_LIABILITIES","FQ1 2017","FQ1 2017","Currency=USD","Period=FQ","BEST_FPERIOD_OVERRIDE=FQ","FILING_STATUS=MR","Sort=A","Dates=H","DateFormat=P","Fill=—","Direction=H","UseDPDF=Y")</f>
        <v>1.18E-2</v>
      </c>
      <c r="AA9" s="19">
        <f>_xll.BDH("TSLA US Equity","CFO_TO_AVG_CURRENT_LIABILITIES","FQ2 2017","FQ2 2017","Currency=USD","Period=FQ","BEST_FPERIOD_OVERRIDE=FQ","FILING_STATUS=MR","Sort=A","Dates=H","DateFormat=P","Fill=—","Direction=H","UseDPDF=Y")</f>
        <v>-5.7099999999999998E-2</v>
      </c>
      <c r="AB9" s="19">
        <f>_xll.BDH("TSLA US Equity","CFO_TO_AVG_CURRENT_LIABILITIES","FQ3 2017","FQ3 2017","Currency=USD","Period=FQ","BEST_FPERIOD_OVERRIDE=FQ","FILING_STATUS=MR","Sort=A","Dates=H","DateFormat=P","Fill=—","Direction=H","UseDPDF=Y")</f>
        <v>-0.19309999999999999</v>
      </c>
      <c r="AC9" s="19">
        <f>_xll.BDH("TSLA US Equity","CFO_TO_AVG_CURRENT_LIABILITIES","FQ4 2017","FQ4 2017","Currency=USD","Period=FQ","BEST_FPERIOD_OVERRIDE=FQ","FILING_STATUS=MR","Sort=A","Dates=H","DateFormat=P","Fill=—","Direction=H","UseDPDF=Y")</f>
        <v>-8.9999999999999993E-3</v>
      </c>
      <c r="AD9" s="19">
        <f>_xll.BDH("TSLA US Equity","CFO_TO_AVG_CURRENT_LIABILITIES","FQ1 2018","FQ1 2018","Currency=USD","Period=FQ","BEST_FPERIOD_OVERRIDE=FQ","FILING_STATUS=MR","Sort=A","Dates=H","DateFormat=P","Fill=—","Direction=H","UseDPDF=Y")</f>
        <v>-5.2299999999999999E-2</v>
      </c>
      <c r="AE9" s="19">
        <f>_xll.BDH("TSLA US Equity","CFO_TO_AVG_CURRENT_LIABILITIES","FQ2 2018","FQ2 2018","Currency=USD","Period=FQ","BEST_FPERIOD_OVERRIDE=FQ","FILING_STATUS=MR","Sort=A","Dates=H","DateFormat=P","Fill=—","Direction=H","UseDPDF=Y")</f>
        <v>-4.0599999999999997E-2</v>
      </c>
      <c r="AF9" s="19">
        <f>_xll.BDH("TSLA US Equity","CFO_TO_AVG_CURRENT_LIABILITIES","FQ3 2018","FQ3 2018","Currency=USD","Period=FQ","BEST_FPERIOD_OVERRIDE=FQ","FILING_STATUS=MR","Sort=A","Dates=H","DateFormat=P","Fill=—","Direction=H","UseDPDF=Y")</f>
        <v>0.1691</v>
      </c>
      <c r="AG9" s="19">
        <f>_xll.BDH("TSLA US Equity","CFO_TO_AVG_CURRENT_LIABILITIES","FQ4 2018","FQ4 2018","Currency=USD","Period=FQ","BEST_FPERIOD_OVERRIDE=FQ","FILING_STATUS=MR","Sort=A","Dates=H","DateFormat=P","Fill=—","Direction=H","UseDPDF=Y")</f>
        <v>0.23749999999999999</v>
      </c>
      <c r="AH9" s="19">
        <f>_xll.BDH("TSLA US Equity","CFO_TO_AVG_CURRENT_LIABILITIES","FQ1 2019","FQ1 2019","Currency=USD","Period=FQ","BEST_FPERIOD_OVERRIDE=FQ","FILING_STATUS=MR","Sort=A","Dates=H","DateFormat=P","Fill=—","Direction=H","UseDPDF=Y")</f>
        <v>0.20749999999999999</v>
      </c>
      <c r="AI9" s="19">
        <f>_xll.BDH("TSLA US Equity","CFO_TO_AVG_CURRENT_LIABILITIES","FQ2 2019","FQ2 2019","Currency=USD","Period=FQ","BEST_FPERIOD_OVERRIDE=FQ","FILING_STATUS=MR","Sort=A","Dates=H","DateFormat=P","Fill=—","Direction=H","UseDPDF=Y")</f>
        <v>0.30430000000000001</v>
      </c>
      <c r="AJ9" s="19">
        <f>_xll.BDH("TSLA US Equity","CFO_TO_AVG_CURRENT_LIABILITIES","FQ3 2019","FQ3 2019","Currency=USD","Period=FQ","BEST_FPERIOD_OVERRIDE=FQ","FILING_STATUS=MR","Sort=A","Dates=H","DateFormat=P","Fill=—","Direction=H","UseDPDF=Y")</f>
        <v>0.2223</v>
      </c>
      <c r="AK9" s="19">
        <f>_xll.BDH("TSLA US Equity","CFO_TO_AVG_CURRENT_LIABILITIES","FQ4 2019","FQ4 2019","Currency=USD","Period=FQ","BEST_FPERIOD_OVERRIDE=FQ","FILING_STATUS=MR","Sort=A","Dates=H","DateFormat=P","Fill=—","Direction=H","UseDPDF=Y")</f>
        <v>0.23280000000000001</v>
      </c>
      <c r="AL9" s="19">
        <f>_xll.BDH("TSLA US Equity","CFO_TO_AVG_CURRENT_LIABILITIES","FQ1 2020","FQ1 2020","Currency=USD","Period=FQ","BEST_FPERIOD_OVERRIDE=FQ","FILING_STATUS=MR","Sort=A","Dates=H","DateFormat=P","Fill=—","Direction=H","UseDPDF=Y")</f>
        <v>0.24540000000000001</v>
      </c>
      <c r="AM9" s="19">
        <f>_xll.BDH("TSLA US Equity","CFO_TO_AVG_CURRENT_LIABILITIES","FQ2 2020","FQ2 2020","Currency=USD","Period=FQ","BEST_FPERIOD_OVERRIDE=FQ","FILING_STATUS=MR","Sort=A","Dates=H","DateFormat=P","Fill=—","Direction=H","UseDPDF=Y")</f>
        <v>0.2475</v>
      </c>
      <c r="AN9" s="19">
        <f>_xll.BDH("TSLA US Equity","CFO_TO_AVG_CURRENT_LIABILITIES","FQ3 2020","FQ3 2020","Currency=USD","Period=FQ","BEST_FPERIOD_OVERRIDE=FQ","FILING_STATUS=MR","Sort=A","Dates=H","DateFormat=P","Fill=—","Direction=H","UseDPDF=Y")</f>
        <v>0.37090000000000001</v>
      </c>
      <c r="AO9" s="19">
        <f>_xll.BDH("TSLA US Equity","CFO_TO_AVG_CURRENT_LIABILITIES","FQ4 2020","FQ4 2020","Currency=USD","Period=FQ","BEST_FPERIOD_OVERRIDE=FQ","FILING_STATUS=MR","Sort=A","Dates=H","DateFormat=P","Fill=—","Direction=H","UseDPDF=Y")</f>
        <v>0.47710000000000002</v>
      </c>
      <c r="AP9" s="19">
        <f>_xll.BDH("TSLA US Equity","CFO_TO_AVG_CURRENT_LIABILITIES","FQ1 2021","FQ1 2021","Currency=USD","Period=FQ","BEST_FPERIOD_OVERRIDE=FQ","FILING_STATUS=MR","Sort=A","Dates=H","DateFormat=P","Fill=—","Direction=H","UseDPDF=Y")</f>
        <v>0.59740000000000004</v>
      </c>
    </row>
    <row r="10" spans="1:42" x14ac:dyDescent="0.25">
      <c r="A10" s="5" t="s">
        <v>152</v>
      </c>
      <c r="B10" s="5" t="s">
        <v>151</v>
      </c>
      <c r="C10" s="19">
        <f>_xll.BDH("TSLA US Equity","COM_EQY_TO_TOT_ASSET","FQ2 2011","FQ2 2011","Currency=USD","Period=FQ","BEST_FPERIOD_OVERRIDE=FQ","FILING_STATUS=MR","Sort=A","Dates=H","DateFormat=P","Fill=—","Direction=H","UseDPDF=Y")</f>
        <v>53.927</v>
      </c>
      <c r="D10" s="19">
        <f>_xll.BDH("TSLA US Equity","COM_EQY_TO_TOT_ASSET","FQ3 2011","FQ3 2011","Currency=USD","Period=FQ","BEST_FPERIOD_OVERRIDE=FQ","FILING_STATUS=MR","Sort=A","Dates=H","DateFormat=P","Fill=—","Direction=H","UseDPDF=Y")</f>
        <v>42.001899999999999</v>
      </c>
      <c r="E10" s="19">
        <f>_xll.BDH("TSLA US Equity","COM_EQY_TO_TOT_ASSET","FQ4 2011","FQ4 2011","Currency=USD","Period=FQ","BEST_FPERIOD_OVERRIDE=FQ","FILING_STATUS=MR","Sort=A","Dates=H","DateFormat=P","Fill=—","Direction=H","UseDPDF=Y")</f>
        <v>31.403099999999998</v>
      </c>
      <c r="F10" s="19">
        <f>_xll.BDH("TSLA US Equity","COM_EQY_TO_TOT_ASSET","FQ1 2012","FQ1 2012","Currency=USD","Period=FQ","BEST_FPERIOD_OVERRIDE=FQ","FILING_STATUS=MR","Sort=A","Dates=H","DateFormat=P","Fill=—","Direction=H","UseDPDF=Y")</f>
        <v>20.217300000000002</v>
      </c>
      <c r="G10" s="19">
        <f>_xll.BDH("TSLA US Equity","COM_EQY_TO_TOT_ASSET","FQ2 2012","FQ2 2012","Currency=USD","Period=FQ","BEST_FPERIOD_OVERRIDE=FQ","FILING_STATUS=MR","Sort=A","Dates=H","DateFormat=P","Fill=—","Direction=H","UseDPDF=Y")</f>
        <v>8.0084</v>
      </c>
      <c r="H10" s="19">
        <f>_xll.BDH("TSLA US Equity","COM_EQY_TO_TOT_ASSET","FQ3 2012","FQ3 2012","Currency=USD","Period=FQ","BEST_FPERIOD_OVERRIDE=FQ","FILING_STATUS=MR","Sort=A","Dates=H","DateFormat=P","Fill=—","Direction=H","UseDPDF=Y")</f>
        <v>-3.4449000000000001</v>
      </c>
      <c r="I10" s="19">
        <f>_xll.BDH("TSLA US Equity","COM_EQY_TO_TOT_ASSET","FQ4 2012","FQ4 2012","Currency=USD","Period=FQ","BEST_FPERIOD_OVERRIDE=FQ","FILING_STATUS=MR","Sort=A","Dates=H","DateFormat=P","Fill=—","Direction=H","UseDPDF=Y")</f>
        <v>11.192</v>
      </c>
      <c r="J10" s="19">
        <f>_xll.BDH("TSLA US Equity","COM_EQY_TO_TOT_ASSET","FQ1 2013","FQ1 2013","Currency=USD","Period=FQ","BEST_FPERIOD_OVERRIDE=FQ","FILING_STATUS=MR","Sort=A","Dates=H","DateFormat=P","Fill=—","Direction=H","UseDPDF=Y")</f>
        <v>14.739100000000001</v>
      </c>
      <c r="K10" s="19">
        <f>_xll.BDH("TSLA US Equity","COM_EQY_TO_TOT_ASSET","FQ2 2013","FQ2 2013","Currency=USD","Period=FQ","BEST_FPERIOD_OVERRIDE=FQ","FILING_STATUS=MR","Sort=A","Dates=H","DateFormat=P","Fill=—","Direction=H","UseDPDF=Y")</f>
        <v>33.341000000000001</v>
      </c>
      <c r="L10" s="19">
        <f>_xll.BDH("TSLA US Equity","COM_EQY_TO_TOT_ASSET","FQ3 2013","FQ3 2013","Currency=USD","Period=FQ","BEST_FPERIOD_OVERRIDE=FQ","FILING_STATUS=MR","Sort=A","Dates=H","DateFormat=P","Fill=—","Direction=H","UseDPDF=Y")</f>
        <v>29.621500000000001</v>
      </c>
      <c r="M10" s="19">
        <f>_xll.BDH("TSLA US Equity","COM_EQY_TO_TOT_ASSET","FQ4 2013","FQ4 2013","Currency=USD","Period=FQ","BEST_FPERIOD_OVERRIDE=FQ","FILING_STATUS=MR","Sort=A","Dates=H","DateFormat=P","Fill=—","Direction=H","UseDPDF=Y")</f>
        <v>27.602</v>
      </c>
      <c r="N10" s="19">
        <f>_xll.BDH("TSLA US Equity","COM_EQY_TO_TOT_ASSET","FQ1 2014","FQ1 2014","Currency=USD","Period=FQ","BEST_FPERIOD_OVERRIDE=FQ","FILING_STATUS=MR","Sort=A","Dates=H","DateFormat=P","Fill=—","Direction=H","UseDPDF=Y")</f>
        <v>21.8202</v>
      </c>
      <c r="O10" s="19">
        <f>_xll.BDH("TSLA US Equity","COM_EQY_TO_TOT_ASSET","FQ2 2014","FQ2 2014","Currency=USD","Period=FQ","BEST_FPERIOD_OVERRIDE=FQ","FILING_STATUS=MR","Sort=A","Dates=H","DateFormat=P","Fill=—","Direction=H","UseDPDF=Y")</f>
        <v>18.8414</v>
      </c>
      <c r="P10" s="19">
        <f>_xll.BDH("TSLA US Equity","COM_EQY_TO_TOT_ASSET","FQ3 2014","FQ3 2014","Currency=USD","Period=FQ","BEST_FPERIOD_OVERRIDE=FQ","FILING_STATUS=MR","Sort=A","Dates=H","DateFormat=P","Fill=—","Direction=H","UseDPDF=Y")</f>
        <v>18.763200000000001</v>
      </c>
      <c r="Q10" s="19">
        <f>_xll.BDH("TSLA US Equity","COM_EQY_TO_TOT_ASSET","FQ4 2014","FQ4 2014","Currency=USD","Period=FQ","BEST_FPERIOD_OVERRIDE=FQ","FILING_STATUS=MR","Sort=A","Dates=H","DateFormat=P","Fill=—","Direction=H","UseDPDF=Y")</f>
        <v>15.6365</v>
      </c>
      <c r="R10" s="19">
        <f>_xll.BDH("TSLA US Equity","COM_EQY_TO_TOT_ASSET","FQ1 2015","FQ1 2015","Currency=USD","Period=FQ","BEST_FPERIOD_OVERRIDE=FQ","FILING_STATUS=MR","Sort=A","Dates=H","DateFormat=P","Fill=—","Direction=H","UseDPDF=Y")</f>
        <v>14.3835</v>
      </c>
      <c r="S10" s="19">
        <f>_xll.BDH("TSLA US Equity","COM_EQY_TO_TOT_ASSET","FQ2 2015","FQ2 2015","Currency=USD","Period=FQ","BEST_FPERIOD_OVERRIDE=FQ","FILING_STATUS=MR","Sort=A","Dates=H","DateFormat=P","Fill=—","Direction=H","UseDPDF=Y")</f>
        <v>11.0685</v>
      </c>
      <c r="T10" s="19">
        <f>_xll.BDH("TSLA US Equity","COM_EQY_TO_TOT_ASSET","FQ3 2015","FQ3 2015","Currency=USD","Period=FQ","BEST_FPERIOD_OVERRIDE=FQ","FILING_STATUS=MR","Sort=A","Dates=H","DateFormat=P","Fill=—","Direction=H","UseDPDF=Y")</f>
        <v>18.0303</v>
      </c>
      <c r="U10" s="19">
        <f>_xll.BDH("TSLA US Equity","COM_EQY_TO_TOT_ASSET","FQ4 2015","FQ4 2015","Currency=USD","Period=FQ","BEST_FPERIOD_OVERRIDE=FQ","FILING_STATUS=MR","Sort=A","Dates=H","DateFormat=P","Fill=—","Direction=H","UseDPDF=Y")</f>
        <v>14.0183</v>
      </c>
      <c r="V10" s="19">
        <f>_xll.BDH("TSLA US Equity","COM_EQY_TO_TOT_ASSET","FQ1 2016","FQ1 2016","Currency=USD","Period=FQ","BEST_FPERIOD_OVERRIDE=FQ","FILING_STATUS=MR","Sort=A","Dates=H","DateFormat=P","Fill=—","Direction=H","UseDPDF=Y")</f>
        <v>10.557</v>
      </c>
      <c r="W10" s="19">
        <f>_xll.BDH("TSLA US Equity","COM_EQY_TO_TOT_ASSET","FQ2 2016","FQ2 2016","Currency=USD","Period=FQ","BEST_FPERIOD_OVERRIDE=FQ","FILING_STATUS=MR","Sort=A","Dates=H","DateFormat=P","Fill=—","Direction=H","UseDPDF=Y")</f>
        <v>21.5473</v>
      </c>
      <c r="X10" s="19">
        <f>_xll.BDH("TSLA US Equity","COM_EQY_TO_TOT_ASSET","FQ3 2016","FQ3 2016","Currency=USD","Period=FQ","BEST_FPERIOD_OVERRIDE=FQ","FILING_STATUS=MR","Sort=A","Dates=H","DateFormat=P","Fill=—","Direction=H","UseDPDF=Y")</f>
        <v>21.376100000000001</v>
      </c>
      <c r="Y10" s="19">
        <f>_xll.BDH("TSLA US Equity","COM_EQY_TO_TOT_ASSET","FQ4 2016","FQ4 2016","Currency=USD","Period=FQ","BEST_FPERIOD_OVERRIDE=FQ","FILING_STATUS=MR","Sort=A","Dates=H","DateFormat=P","Fill=—","Direction=H","UseDPDF=Y")</f>
        <v>21.009899999999998</v>
      </c>
      <c r="Z10" s="19">
        <f>_xll.BDH("TSLA US Equity","COM_EQY_TO_TOT_ASSET","FQ1 2017","FQ1 2017","Currency=USD","Period=FQ","BEST_FPERIOD_OVERRIDE=FQ","FILING_STATUS=MR","Sort=A","Dates=H","DateFormat=P","Fill=—","Direction=H","UseDPDF=Y")</f>
        <v>19.937200000000001</v>
      </c>
      <c r="AA10" s="19">
        <f>_xll.BDH("TSLA US Equity","COM_EQY_TO_TOT_ASSET","FQ2 2017","FQ2 2017","Currency=USD","Period=FQ","BEST_FPERIOD_OVERRIDE=FQ","FILING_STATUS=MR","Sort=A","Dates=H","DateFormat=P","Fill=—","Direction=H","UseDPDF=Y")</f>
        <v>19.611000000000001</v>
      </c>
      <c r="AB10" s="19">
        <f>_xll.BDH("TSLA US Equity","COM_EQY_TO_TOT_ASSET","FQ3 2017","FQ3 2017","Currency=USD","Period=FQ","BEST_FPERIOD_OVERRIDE=FQ","FILING_STATUS=MR","Sort=A","Dates=H","DateFormat=P","Fill=—","Direction=H","UseDPDF=Y")</f>
        <v>16.7639</v>
      </c>
      <c r="AC10" s="19">
        <f>_xll.BDH("TSLA US Equity","COM_EQY_TO_TOT_ASSET","FQ4 2017","FQ4 2017","Currency=USD","Period=FQ","BEST_FPERIOD_OVERRIDE=FQ","FILING_STATUS=MR","Sort=A","Dates=H","DateFormat=P","Fill=—","Direction=H","UseDPDF=Y")</f>
        <v>14.787100000000001</v>
      </c>
      <c r="AD10" s="19">
        <f>_xll.BDH("TSLA US Equity","COM_EQY_TO_TOT_ASSET","FQ1 2018","FQ1 2018","Currency=USD","Period=FQ","BEST_FPERIOD_OVERRIDE=FQ","FILING_STATUS=MR","Sort=A","Dates=H","DateFormat=P","Fill=—","Direction=H","UseDPDF=Y")</f>
        <v>16.32</v>
      </c>
      <c r="AE10" s="19">
        <f>_xll.BDH("TSLA US Equity","COM_EQY_TO_TOT_ASSET","FQ2 2018","FQ2 2018","Currency=USD","Period=FQ","BEST_FPERIOD_OVERRIDE=FQ","FILING_STATUS=MR","Sort=A","Dates=H","DateFormat=P","Fill=—","Direction=H","UseDPDF=Y")</f>
        <v>13.996499999999999</v>
      </c>
      <c r="AF10" s="19">
        <f>_xll.BDH("TSLA US Equity","COM_EQY_TO_TOT_ASSET","FQ3 2018","FQ3 2018","Currency=USD","Period=FQ","BEST_FPERIOD_OVERRIDE=FQ","FILING_STATUS=MR","Sort=A","Dates=H","DateFormat=P","Fill=—","Direction=H","UseDPDF=Y")</f>
        <v>15.408099999999999</v>
      </c>
      <c r="AG10" s="19">
        <f>_xll.BDH("TSLA US Equity","COM_EQY_TO_TOT_ASSET","FQ4 2018","FQ4 2018","Currency=USD","Period=FQ","BEST_FPERIOD_OVERRIDE=FQ","FILING_STATUS=MR","Sort=A","Dates=H","DateFormat=P","Fill=—","Direction=H","UseDPDF=Y")</f>
        <v>16.554500000000001</v>
      </c>
      <c r="AH10" s="19">
        <f>_xll.BDH("TSLA US Equity","COM_EQY_TO_TOT_ASSET","FQ1 2019","FQ1 2019","Currency=USD","Period=FQ","BEST_FPERIOD_OVERRIDE=FQ","FILING_STATUS=MR","Sort=A","Dates=H","DateFormat=P","Fill=—","Direction=H","UseDPDF=Y")</f>
        <v>15.929399999999999</v>
      </c>
      <c r="AI10" s="19">
        <f>_xll.BDH("TSLA US Equity","COM_EQY_TO_TOT_ASSET","FQ2 2019","FQ2 2019","Currency=USD","Period=FQ","BEST_FPERIOD_OVERRIDE=FQ","FILING_STATUS=MR","Sort=A","Dates=H","DateFormat=P","Fill=—","Direction=H","UseDPDF=Y")</f>
        <v>17.931999999999999</v>
      </c>
      <c r="AJ10" s="19">
        <f>_xll.BDH("TSLA US Equity","COM_EQY_TO_TOT_ASSET","FQ3 2019","FQ3 2019","Currency=USD","Period=FQ","BEST_FPERIOD_OVERRIDE=FQ","FILING_STATUS=MR","Sort=A","Dates=H","DateFormat=P","Fill=—","Direction=H","UseDPDF=Y")</f>
        <v>18.417400000000001</v>
      </c>
      <c r="AK10" s="19">
        <f>_xll.BDH("TSLA US Equity","COM_EQY_TO_TOT_ASSET","FQ4 2019","FQ4 2019","Currency=USD","Period=FQ","BEST_FPERIOD_OVERRIDE=FQ","FILING_STATUS=MR","Sort=A","Dates=H","DateFormat=P","Fill=—","Direction=H","UseDPDF=Y")</f>
        <v>19.289400000000001</v>
      </c>
      <c r="AL10" s="19">
        <f>_xll.BDH("TSLA US Equity","COM_EQY_TO_TOT_ASSET","FQ1 2020","FQ1 2020","Currency=USD","Period=FQ","BEST_FPERIOD_OVERRIDE=FQ","FILING_STATUS=MR","Sort=A","Dates=H","DateFormat=P","Fill=—","Direction=H","UseDPDF=Y")</f>
        <v>24.7866</v>
      </c>
      <c r="AM10" s="19">
        <f>_xll.BDH("TSLA US Equity","COM_EQY_TO_TOT_ASSET","FQ2 2020","FQ2 2020","Currency=USD","Period=FQ","BEST_FPERIOD_OVERRIDE=FQ","FILING_STATUS=MR","Sort=A","Dates=H","DateFormat=P","Fill=—","Direction=H","UseDPDF=Y")</f>
        <v>25.957799999999999</v>
      </c>
      <c r="AN10" s="19">
        <f>_xll.BDH("TSLA US Equity","COM_EQY_TO_TOT_ASSET","FQ3 2020","FQ3 2020","Currency=USD","Period=FQ","BEST_FPERIOD_OVERRIDE=FQ","FILING_STATUS=MR","Sort=A","Dates=H","DateFormat=P","Fill=—","Direction=H","UseDPDF=Y")</f>
        <v>35.1907</v>
      </c>
      <c r="AO10" s="19">
        <f>_xll.BDH("TSLA US Equity","COM_EQY_TO_TOT_ASSET","FQ4 2020","FQ4 2020","Currency=USD","Period=FQ","BEST_FPERIOD_OVERRIDE=FQ","FILING_STATUS=MR","Sort=A","Dates=H","DateFormat=P","Fill=—","Direction=H","UseDPDF=Y")</f>
        <v>42.619100000000003</v>
      </c>
      <c r="AP10" s="19">
        <f>_xll.BDH("TSLA US Equity","COM_EQY_TO_TOT_ASSET","FQ1 2021","FQ1 2021","Currency=USD","Period=FQ","BEST_FPERIOD_OVERRIDE=FQ","FILING_STATUS=MR","Sort=A","Dates=H","DateFormat=P","Fill=—","Direction=H","UseDPDF=Y")</f>
        <v>43.451300000000003</v>
      </c>
    </row>
    <row r="11" spans="1:42" x14ac:dyDescent="0.25">
      <c r="A11" s="5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pans="1:42" x14ac:dyDescent="0.25">
      <c r="A12" s="5" t="s">
        <v>150</v>
      </c>
      <c r="B12" s="5" t="s">
        <v>149</v>
      </c>
      <c r="C12" s="19">
        <f>_xll.BDH("TSLA US Equity","LT_DEBT_TO_TOT_EQY","FQ2 2011","FQ2 2011","Currency=USD","Period=FQ","BEST_FPERIOD_OVERRIDE=FQ","FILING_STATUS=MR","Sort=A","Dates=H","DateFormat=P","Fill=—","Direction=H","UseDPDF=Y")</f>
        <v>38.6096</v>
      </c>
      <c r="D12" s="19">
        <f>_xll.BDH("TSLA US Equity","LT_DEBT_TO_TOT_EQY","FQ3 2011","FQ3 2011","Currency=USD","Period=FQ","BEST_FPERIOD_OVERRIDE=FQ","FILING_STATUS=MR","Sort=A","Dates=H","DateFormat=P","Fill=—","Direction=H","UseDPDF=Y")</f>
        <v>76.724599999999995</v>
      </c>
      <c r="E12" s="19">
        <f>_xll.BDH("TSLA US Equity","LT_DEBT_TO_TOT_EQY","FQ4 2011","FQ4 2011","Currency=USD","Period=FQ","BEST_FPERIOD_OVERRIDE=FQ","FILING_STATUS=MR","Sort=A","Dates=H","DateFormat=P","Fill=—","Direction=H","UseDPDF=Y")</f>
        <v>121.03149999999999</v>
      </c>
      <c r="F12" s="19">
        <f>_xll.BDH("TSLA US Equity","LT_DEBT_TO_TOT_EQY","FQ1 2012","FQ1 2012","Currency=USD","Period=FQ","BEST_FPERIOD_OVERRIDE=FQ","FILING_STATUS=MR","Sort=A","Dates=H","DateFormat=P","Fill=—","Direction=H","UseDPDF=Y")</f>
        <v>223.5881</v>
      </c>
      <c r="G12" s="19">
        <f>_xll.BDH("TSLA US Equity","LT_DEBT_TO_TOT_EQY","FQ2 2012","FQ2 2012","Currency=USD","Period=FQ","BEST_FPERIOD_OVERRIDE=FQ","FILING_STATUS=MR","Sort=A","Dates=H","DateFormat=P","Fill=—","Direction=H","UseDPDF=Y")</f>
        <v>644.33820000000003</v>
      </c>
      <c r="H12" s="19" t="str">
        <f>_xll.BDH("TSLA US Equity","LT_DEBT_TO_TOT_EQY","FQ3 2012","FQ3 2012","Currency=USD","Period=FQ","BEST_FPERIOD_OVERRIDE=FQ","FILING_STATUS=MR","Sort=A","Dates=H","DateFormat=P","Fill=—","Direction=H","UseDPDF=Y")</f>
        <v>—</v>
      </c>
      <c r="I12" s="19">
        <f>_xll.BDH("TSLA US Equity","LT_DEBT_TO_TOT_EQY","FQ4 2012","FQ4 2012","Currency=USD","Period=FQ","BEST_FPERIOD_OVERRIDE=FQ","FILING_STATUS=MR","Sort=A","Dates=H","DateFormat=P","Fill=—","Direction=H","UseDPDF=Y")</f>
        <v>329.9599</v>
      </c>
      <c r="J12" s="19">
        <f>_xll.BDH("TSLA US Equity","LT_DEBT_TO_TOT_EQY","FQ1 2013","FQ1 2013","Currency=USD","Period=FQ","BEST_FPERIOD_OVERRIDE=FQ","FILING_STATUS=MR","Sort=A","Dates=H","DateFormat=P","Fill=—","Direction=H","UseDPDF=Y")</f>
        <v>236.82400000000001</v>
      </c>
      <c r="K12" s="19">
        <f>_xll.BDH("TSLA US Equity","LT_DEBT_TO_TOT_EQY","FQ2 2013","FQ2 2013","Currency=USD","Period=FQ","BEST_FPERIOD_OVERRIDE=FQ","FILING_STATUS=MR","Sort=A","Dates=H","DateFormat=P","Fill=—","Direction=H","UseDPDF=Y")</f>
        <v>93.416700000000006</v>
      </c>
      <c r="L12" s="19">
        <f>_xll.BDH("TSLA US Equity","LT_DEBT_TO_TOT_EQY","FQ3 2013","FQ3 2013","Currency=USD","Period=FQ","BEST_FPERIOD_OVERRIDE=FQ","FILING_STATUS=MR","Sort=A","Dates=H","DateFormat=P","Fill=—","Direction=H","UseDPDF=Y")</f>
        <v>1.7035</v>
      </c>
      <c r="M12" s="19">
        <f>_xll.BDH("TSLA US Equity","LT_DEBT_TO_TOT_EQY","FQ4 2013","FQ4 2013","Currency=USD","Period=FQ","BEST_FPERIOD_OVERRIDE=FQ","FILING_STATUS=MR","Sort=A","Dates=H","DateFormat=P","Fill=—","Direction=H","UseDPDF=Y")</f>
        <v>89.784999999999997</v>
      </c>
      <c r="N12" s="19">
        <f>_xll.BDH("TSLA US Equity","LT_DEBT_TO_TOT_EQY","FQ1 2014","FQ1 2014","Currency=USD","Period=FQ","BEST_FPERIOD_OVERRIDE=FQ","FILING_STATUS=MR","Sort=A","Dates=H","DateFormat=P","Fill=—","Direction=H","UseDPDF=Y")</f>
        <v>156.0634</v>
      </c>
      <c r="O12" s="19">
        <f>_xll.BDH("TSLA US Equity","LT_DEBT_TO_TOT_EQY","FQ2 2014","FQ2 2014","Currency=USD","Period=FQ","BEST_FPERIOD_OVERRIDE=FQ","FILING_STATUS=MR","Sort=A","Dates=H","DateFormat=P","Fill=—","Direction=H","UseDPDF=Y")</f>
        <v>193.96639999999999</v>
      </c>
      <c r="P12" s="19">
        <f>_xll.BDH("TSLA US Equity","LT_DEBT_TO_TOT_EQY","FQ3 2014","FQ3 2014","Currency=USD","Period=FQ","BEST_FPERIOD_OVERRIDE=FQ","FILING_STATUS=MR","Sort=A","Dates=H","DateFormat=P","Fill=—","Direction=H","UseDPDF=Y")</f>
        <v>176.3717</v>
      </c>
      <c r="Q12" s="19">
        <f>_xll.BDH("TSLA US Equity","LT_DEBT_TO_TOT_EQY","FQ4 2014","FQ4 2014","Currency=USD","Period=FQ","BEST_FPERIOD_OVERRIDE=FQ","FILING_STATUS=MR","Sort=A","Dates=H","DateFormat=P","Fill=—","Direction=H","UseDPDF=Y")</f>
        <v>199.49160000000001</v>
      </c>
      <c r="R12" s="19">
        <f>_xll.BDH("TSLA US Equity","LT_DEBT_TO_TOT_EQY","FQ1 2015","FQ1 2015","Currency=USD","Period=FQ","BEST_FPERIOD_OVERRIDE=FQ","FILING_STATUS=MR","Sort=A","Dates=H","DateFormat=P","Fill=—","Direction=H","UseDPDF=Y")</f>
        <v>215.8347</v>
      </c>
      <c r="S12" s="19">
        <f>_xll.BDH("TSLA US Equity","LT_DEBT_TO_TOT_EQY","FQ2 2015","FQ2 2015","Currency=USD","Period=FQ","BEST_FPERIOD_OVERRIDE=FQ","FILING_STATUS=MR","Sort=A","Dates=H","DateFormat=P","Fill=—","Direction=H","UseDPDF=Y")</f>
        <v>286.28559999999999</v>
      </c>
      <c r="T12" s="19">
        <f>_xll.BDH("TSLA US Equity","LT_DEBT_TO_TOT_EQY","FQ3 2015","FQ3 2015","Currency=USD","Period=FQ","BEST_FPERIOD_OVERRIDE=FQ","FILING_STATUS=MR","Sort=A","Dates=H","DateFormat=P","Fill=—","Direction=H","UseDPDF=Y")</f>
        <v>145.6011</v>
      </c>
      <c r="U12" s="19">
        <f>_xll.BDH("TSLA US Equity","LT_DEBT_TO_TOT_EQY","FQ4 2015","FQ4 2015","Currency=USD","Period=FQ","BEST_FPERIOD_OVERRIDE=FQ","FILING_STATUS=MR","Sort=A","Dates=H","DateFormat=P","Fill=—","Direction=H","UseDPDF=Y")</f>
        <v>178.70140000000001</v>
      </c>
      <c r="V12" s="19">
        <f>_xll.BDH("TSLA US Equity","LT_DEBT_TO_TOT_EQY","FQ1 2016","FQ1 2016","Currency=USD","Period=FQ","BEST_FPERIOD_OVERRIDE=FQ","FILING_STATUS=MR","Sort=A","Dates=H","DateFormat=P","Fill=—","Direction=H","UseDPDF=Y")</f>
        <v>256.02010000000001</v>
      </c>
      <c r="W12" s="19">
        <f>_xll.BDH("TSLA US Equity","LT_DEBT_TO_TOT_EQY","FQ2 2016","FQ2 2016","Currency=USD","Period=FQ","BEST_FPERIOD_OVERRIDE=FQ","FILING_STATUS=MR","Sort=A","Dates=H","DateFormat=P","Fill=—","Direction=H","UseDPDF=Y")</f>
        <v>102.44629999999999</v>
      </c>
      <c r="X12" s="19">
        <f>_xll.BDH("TSLA US Equity","LT_DEBT_TO_TOT_EQY","FQ3 2016","FQ3 2016","Currency=USD","Period=FQ","BEST_FPERIOD_OVERRIDE=FQ","FILING_STATUS=MR","Sort=A","Dates=H","DateFormat=P","Fill=—","Direction=H","UseDPDF=Y")</f>
        <v>90.774100000000004</v>
      </c>
      <c r="Y12" s="19">
        <f>_xll.BDH("TSLA US Equity","LT_DEBT_TO_TOT_EQY","FQ4 2016","FQ4 2016","Currency=USD","Period=FQ","BEST_FPERIOD_OVERRIDE=FQ","FILING_STATUS=MR","Sort=A","Dates=H","DateFormat=P","Fill=—","Direction=H","UseDPDF=Y")</f>
        <v>99.263199999999998</v>
      </c>
      <c r="Z12" s="19">
        <f>_xll.BDH("TSLA US Equity","LT_DEBT_TO_TOT_EQY","FQ1 2017","FQ1 2017","Currency=USD","Period=FQ","BEST_FPERIOD_OVERRIDE=FQ","FILING_STATUS=MR","Sort=A","Dates=H","DateFormat=P","Fill=—","Direction=H","UseDPDF=Y")</f>
        <v>116.0591</v>
      </c>
      <c r="AA12" s="19">
        <f>_xll.BDH("TSLA US Equity","LT_DEBT_TO_TOT_EQY","FQ2 2017","FQ2 2017","Currency=USD","Period=FQ","BEST_FPERIOD_OVERRIDE=FQ","FILING_STATUS=MR","Sort=A","Dates=H","DateFormat=P","Fill=—","Direction=H","UseDPDF=Y")</f>
        <v>108.22629999999999</v>
      </c>
      <c r="AB12" s="19">
        <f>_xll.BDH("TSLA US Equity","LT_DEBT_TO_TOT_EQY","FQ3 2017","FQ3 2017","Currency=USD","Period=FQ","BEST_FPERIOD_OVERRIDE=FQ","FILING_STATUS=MR","Sort=A","Dates=H","DateFormat=P","Fill=—","Direction=H","UseDPDF=Y")</f>
        <v>155.13390000000001</v>
      </c>
      <c r="AC12" s="19">
        <f>_xll.BDH("TSLA US Equity","LT_DEBT_TO_TOT_EQY","FQ4 2017","FQ4 2017","Currency=USD","Period=FQ","BEST_FPERIOD_OVERRIDE=FQ","FILING_STATUS=MR","Sort=A","Dates=H","DateFormat=P","Fill=—","Direction=H","UseDPDF=Y")</f>
        <v>167.21700000000001</v>
      </c>
      <c r="AD12" s="19">
        <f>_xll.BDH("TSLA US Equity","LT_DEBT_TO_TOT_EQY","FQ1 2018","FQ1 2018","Currency=USD","Period=FQ","BEST_FPERIOD_OVERRIDE=FQ","FILING_STATUS=MR","Sort=A","Dates=H","DateFormat=P","Fill=—","Direction=H","UseDPDF=Y")</f>
        <v>153.2011</v>
      </c>
      <c r="AE12" s="19">
        <f>_xll.BDH("TSLA US Equity","LT_DEBT_TO_TOT_EQY","FQ2 2018","FQ2 2018","Currency=USD","Period=FQ","BEST_FPERIOD_OVERRIDE=FQ","FILING_STATUS=MR","Sort=A","Dates=H","DateFormat=P","Fill=—","Direction=H","UseDPDF=Y")</f>
        <v>180.61869999999999</v>
      </c>
      <c r="AF12" s="19">
        <f>_xll.BDH("TSLA US Equity","LT_DEBT_TO_TOT_EQY","FQ3 2018","FQ3 2018","Currency=USD","Period=FQ","BEST_FPERIOD_OVERRIDE=FQ","FILING_STATUS=MR","Sort=A","Dates=H","DateFormat=P","Fill=—","Direction=H","UseDPDF=Y")</f>
        <v>165.24299999999999</v>
      </c>
      <c r="AG12" s="19">
        <f>_xll.BDH("TSLA US Equity","LT_DEBT_TO_TOT_EQY","FQ4 2018","FQ4 2018","Currency=USD","Period=FQ","BEST_FPERIOD_OVERRIDE=FQ","FILING_STATUS=MR","Sort=A","Dates=H","DateFormat=P","Fill=—","Direction=H","UseDPDF=Y")</f>
        <v>148.94300000000001</v>
      </c>
      <c r="AH12" s="19">
        <f>_xll.BDH("TSLA US Equity","LT_DEBT_TO_TOT_EQY","FQ1 2019","FQ1 2019","Currency=USD","Period=FQ","BEST_FPERIOD_OVERRIDE=FQ","FILING_STATUS=MR","Sort=A","Dates=H","DateFormat=P","Fill=—","Direction=H","UseDPDF=Y")</f>
        <v>182.136</v>
      </c>
      <c r="AI12" s="19">
        <f>_xll.BDH("TSLA US Equity","LT_DEBT_TO_TOT_EQY","FQ2 2019","FQ2 2019","Currency=USD","Period=FQ","BEST_FPERIOD_OVERRIDE=FQ","FILING_STATUS=MR","Sort=A","Dates=H","DateFormat=P","Fill=—","Direction=H","UseDPDF=Y")</f>
        <v>171.53020000000001</v>
      </c>
      <c r="AJ12" s="19">
        <f>_xll.BDH("TSLA US Equity","LT_DEBT_TO_TOT_EQY","FQ3 2019","FQ3 2019","Currency=USD","Period=FQ","BEST_FPERIOD_OVERRIDE=FQ","FILING_STATUS=MR","Sort=A","Dates=H","DateFormat=P","Fill=—","Direction=H","UseDPDF=Y")</f>
        <v>164.9425</v>
      </c>
      <c r="AK12" s="19">
        <f>_xll.BDH("TSLA US Equity","LT_DEBT_TO_TOT_EQY","FQ4 2019","FQ4 2019","Currency=USD","Period=FQ","BEST_FPERIOD_OVERRIDE=FQ","FILING_STATUS=MR","Sort=A","Dates=H","DateFormat=P","Fill=—","Direction=H","UseDPDF=Y")</f>
        <v>155.24039999999999</v>
      </c>
      <c r="AL12" s="19">
        <f>_xll.BDH("TSLA US Equity","LT_DEBT_TO_TOT_EQY","FQ1 2020","FQ1 2020","Currency=USD","Period=FQ","BEST_FPERIOD_OVERRIDE=FQ","FILING_STATUS=MR","Sort=A","Dates=H","DateFormat=P","Fill=—","Direction=H","UseDPDF=Y")</f>
        <v>108.1532</v>
      </c>
      <c r="AM12" s="19">
        <f>_xll.BDH("TSLA US Equity","LT_DEBT_TO_TOT_EQY","FQ2 2020","FQ2 2020","Currency=USD","Period=FQ","BEST_FPERIOD_OVERRIDE=FQ","FILING_STATUS=MR","Sort=A","Dates=H","DateFormat=P","Fill=—","Direction=H","UseDPDF=Y")</f>
        <v>100.4481</v>
      </c>
      <c r="AN12" s="19">
        <f>_xll.BDH("TSLA US Equity","LT_DEBT_TO_TOT_EQY","FQ3 2020","FQ3 2020","Currency=USD","Period=FQ","BEST_FPERIOD_OVERRIDE=FQ","FILING_STATUS=MR","Sort=A","Dates=H","DateFormat=P","Fill=—","Direction=H","UseDPDF=Y")</f>
        <v>66.446299999999994</v>
      </c>
      <c r="AO12" s="19">
        <f>_xll.BDH("TSLA US Equity","LT_DEBT_TO_TOT_EQY","FQ4 2020","FQ4 2020","Currency=USD","Period=FQ","BEST_FPERIOD_OVERRIDE=FQ","FILING_STATUS=MR","Sort=A","Dates=H","DateFormat=P","Fill=—","Direction=H","UseDPDF=Y")</f>
        <v>45.554200000000002</v>
      </c>
      <c r="AP12" s="19">
        <f>_xll.BDH("TSLA US Equity","LT_DEBT_TO_TOT_EQY","FQ1 2021","FQ1 2021","Currency=USD","Period=FQ","BEST_FPERIOD_OVERRIDE=FQ","FILING_STATUS=MR","Sort=A","Dates=H","DateFormat=P","Fill=—","Direction=H","UseDPDF=Y")</f>
        <v>42.440199999999997</v>
      </c>
    </row>
    <row r="13" spans="1:42" x14ac:dyDescent="0.25">
      <c r="A13" s="5" t="s">
        <v>148</v>
      </c>
      <c r="B13" s="5" t="s">
        <v>147</v>
      </c>
      <c r="C13" s="19">
        <f>_xll.BDH("TSLA US Equity","LT_DEBT_TO_TOT_CAP","FQ2 2011","FQ2 2011","Currency=USD","Period=FQ","BEST_FPERIOD_OVERRIDE=FQ","FILING_STATUS=MR","Sort=A","Dates=H","DateFormat=P","Fill=—","Direction=H","UseDPDF=Y")</f>
        <v>27.8384</v>
      </c>
      <c r="D13" s="19">
        <f>_xll.BDH("TSLA US Equity","LT_DEBT_TO_TOT_CAP","FQ3 2011","FQ3 2011","Currency=USD","Period=FQ","BEST_FPERIOD_OVERRIDE=FQ","FILING_STATUS=MR","Sort=A","Dates=H","DateFormat=P","Fill=—","Direction=H","UseDPDF=Y")</f>
        <v>43.382399999999997</v>
      </c>
      <c r="E13" s="19">
        <f>_xll.BDH("TSLA US Equity","LT_DEBT_TO_TOT_CAP","FQ4 2011","FQ4 2011","Currency=USD","Period=FQ","BEST_FPERIOD_OVERRIDE=FQ","FILING_STATUS=MR","Sort=A","Dates=H","DateFormat=P","Fill=—","Direction=H","UseDPDF=Y")</f>
        <v>53.781999999999996</v>
      </c>
      <c r="F13" s="19">
        <f>_xll.BDH("TSLA US Equity","LT_DEBT_TO_TOT_CAP","FQ1 2012","FQ1 2012","Currency=USD","Period=FQ","BEST_FPERIOD_OVERRIDE=FQ","FILING_STATUS=MR","Sort=A","Dates=H","DateFormat=P","Fill=—","Direction=H","UseDPDF=Y")</f>
        <v>66.190100000000001</v>
      </c>
      <c r="G13" s="19">
        <f>_xll.BDH("TSLA US Equity","LT_DEBT_TO_TOT_CAP","FQ2 2012","FQ2 2012","Currency=USD","Period=FQ","BEST_FPERIOD_OVERRIDE=FQ","FILING_STATUS=MR","Sort=A","Dates=H","DateFormat=P","Fill=—","Direction=H","UseDPDF=Y")</f>
        <v>79.984999999999999</v>
      </c>
      <c r="H13" s="19">
        <f>_xll.BDH("TSLA US Equity","LT_DEBT_TO_TOT_CAP","FQ3 2012","FQ3 2012","Currency=USD","Period=FQ","BEST_FPERIOD_OVERRIDE=FQ","FILING_STATUS=MR","Sort=A","Dates=H","DateFormat=P","Fill=—","Direction=H","UseDPDF=Y")</f>
        <v>94.144300000000001</v>
      </c>
      <c r="I13" s="19">
        <f>_xll.BDH("TSLA US Equity","LT_DEBT_TO_TOT_CAP","FQ4 2012","FQ4 2012","Currency=USD","Period=FQ","BEST_FPERIOD_OVERRIDE=FQ","FILING_STATUS=MR","Sort=A","Dates=H","DateFormat=P","Fill=—","Direction=H","UseDPDF=Y")</f>
        <v>69.5779</v>
      </c>
      <c r="J13" s="19">
        <f>_xll.BDH("TSLA US Equity","LT_DEBT_TO_TOT_CAP","FQ1 2013","FQ1 2013","Currency=USD","Period=FQ","BEST_FPERIOD_OVERRIDE=FQ","FILING_STATUS=MR","Sort=A","Dates=H","DateFormat=P","Fill=—","Direction=H","UseDPDF=Y")</f>
        <v>63.969200000000001</v>
      </c>
      <c r="K13" s="19">
        <f>_xll.BDH("TSLA US Equity","LT_DEBT_TO_TOT_CAP","FQ2 2013","FQ2 2013","Currency=USD","Period=FQ","BEST_FPERIOD_OVERRIDE=FQ","FILING_STATUS=MR","Sort=A","Dates=H","DateFormat=P","Fill=—","Direction=H","UseDPDF=Y")</f>
        <v>48.073300000000003</v>
      </c>
      <c r="L13" s="19">
        <f>_xll.BDH("TSLA US Equity","LT_DEBT_TO_TOT_CAP","FQ3 2013","FQ3 2013","Currency=USD","Period=FQ","BEST_FPERIOD_OVERRIDE=FQ","FILING_STATUS=MR","Sort=A","Dates=H","DateFormat=P","Fill=—","Direction=H","UseDPDF=Y")</f>
        <v>0.88080000000000003</v>
      </c>
      <c r="M13" s="19">
        <f>_xll.BDH("TSLA US Equity","LT_DEBT_TO_TOT_CAP","FQ4 2013","FQ4 2013","Currency=USD","Period=FQ","BEST_FPERIOD_OVERRIDE=FQ","FILING_STATUS=MR","Sort=A","Dates=H","DateFormat=P","Fill=—","Direction=H","UseDPDF=Y")</f>
        <v>47.015300000000003</v>
      </c>
      <c r="N13" s="19">
        <f>_xll.BDH("TSLA US Equity","LT_DEBT_TO_TOT_CAP","FQ1 2014","FQ1 2014","Currency=USD","Period=FQ","BEST_FPERIOD_OVERRIDE=FQ","FILING_STATUS=MR","Sort=A","Dates=H","DateFormat=P","Fill=—","Direction=H","UseDPDF=Y")</f>
        <v>49.2333</v>
      </c>
      <c r="O13" s="19">
        <f>_xll.BDH("TSLA US Equity","LT_DEBT_TO_TOT_CAP","FQ2 2014","FQ2 2014","Currency=USD","Period=FQ","BEST_FPERIOD_OVERRIDE=FQ","FILING_STATUS=MR","Sort=A","Dates=H","DateFormat=P","Fill=—","Direction=H","UseDPDF=Y")</f>
        <v>54.282499999999999</v>
      </c>
      <c r="P13" s="19">
        <f>_xll.BDH("TSLA US Equity","LT_DEBT_TO_TOT_CAP","FQ3 2014","FQ3 2014","Currency=USD","Period=FQ","BEST_FPERIOD_OVERRIDE=FQ","FILING_STATUS=MR","Sort=A","Dates=H","DateFormat=P","Fill=—","Direction=H","UseDPDF=Y")</f>
        <v>52.509099999999997</v>
      </c>
      <c r="Q13" s="19">
        <f>_xll.BDH("TSLA US Equity","LT_DEBT_TO_TOT_CAP","FQ4 2014","FQ4 2014","Currency=USD","Period=FQ","BEST_FPERIOD_OVERRIDE=FQ","FILING_STATUS=MR","Sort=A","Dates=H","DateFormat=P","Fill=—","Direction=H","UseDPDF=Y")</f>
        <v>53.497</v>
      </c>
      <c r="R13" s="19">
        <f>_xll.BDH("TSLA US Equity","LT_DEBT_TO_TOT_CAP","FQ1 2015","FQ1 2015","Currency=USD","Period=FQ","BEST_FPERIOD_OVERRIDE=FQ","FILING_STATUS=MR","Sort=A","Dates=H","DateFormat=P","Fill=—","Direction=H","UseDPDF=Y")</f>
        <v>55.707799999999999</v>
      </c>
      <c r="S13" s="19">
        <f>_xll.BDH("TSLA US Equity","LT_DEBT_TO_TOT_CAP","FQ2 2015","FQ2 2015","Currency=USD","Period=FQ","BEST_FPERIOD_OVERRIDE=FQ","FILING_STATUS=MR","Sort=A","Dates=H","DateFormat=P","Fill=—","Direction=H","UseDPDF=Y")</f>
        <v>60.2151</v>
      </c>
      <c r="T13" s="19">
        <f>_xll.BDH("TSLA US Equity","LT_DEBT_TO_TOT_CAP","FQ3 2015","FQ3 2015","Currency=USD","Period=FQ","BEST_FPERIOD_OVERRIDE=FQ","FILING_STATUS=MR","Sort=A","Dates=H","DateFormat=P","Fill=—","Direction=H","UseDPDF=Y")</f>
        <v>49.608800000000002</v>
      </c>
      <c r="U13" s="19">
        <f>_xll.BDH("TSLA US Equity","LT_DEBT_TO_TOT_CAP","FQ4 2015","FQ4 2015","Currency=USD","Period=FQ","BEST_FPERIOD_OVERRIDE=FQ","FILING_STATUS=MR","Sort=A","Dates=H","DateFormat=P","Fill=—","Direction=H","UseDPDF=Y")</f>
        <v>53.4679</v>
      </c>
      <c r="V13" s="19">
        <f>_xll.BDH("TSLA US Equity","LT_DEBT_TO_TOT_CAP","FQ1 2016","FQ1 2016","Currency=USD","Period=FQ","BEST_FPERIOD_OVERRIDE=FQ","FILING_STATUS=MR","Sort=A","Dates=H","DateFormat=P","Fill=—","Direction=H","UseDPDF=Y")</f>
        <v>60.115299999999998</v>
      </c>
      <c r="W13" s="19">
        <f>_xll.BDH("TSLA US Equity","LT_DEBT_TO_TOT_CAP","FQ2 2016","FQ2 2016","Currency=USD","Period=FQ","BEST_FPERIOD_OVERRIDE=FQ","FILING_STATUS=MR","Sort=A","Dates=H","DateFormat=P","Fill=—","Direction=H","UseDPDF=Y")</f>
        <v>45.139200000000002</v>
      </c>
      <c r="X13" s="19">
        <f>_xll.BDH("TSLA US Equity","LT_DEBT_TO_TOT_CAP","FQ3 2016","FQ3 2016","Currency=USD","Period=FQ","BEST_FPERIOD_OVERRIDE=FQ","FILING_STATUS=MR","Sort=A","Dates=H","DateFormat=P","Fill=—","Direction=H","UseDPDF=Y")</f>
        <v>45.282499999999999</v>
      </c>
      <c r="Y13" s="19">
        <f>_xll.BDH("TSLA US Equity","LT_DEBT_TO_TOT_CAP","FQ4 2016","FQ4 2016","Currency=USD","Period=FQ","BEST_FPERIOD_OVERRIDE=FQ","FILING_STATUS=MR","Sort=A","Dates=H","DateFormat=P","Fill=—","Direction=H","UseDPDF=Y")</f>
        <v>45.3855</v>
      </c>
      <c r="Z13" s="19">
        <f>_xll.BDH("TSLA US Equity","LT_DEBT_TO_TOT_CAP","FQ1 2017","FQ1 2017","Currency=USD","Period=FQ","BEST_FPERIOD_OVERRIDE=FQ","FILING_STATUS=MR","Sort=A","Dates=H","DateFormat=P","Fill=—","Direction=H","UseDPDF=Y")</f>
        <v>49.955599999999997</v>
      </c>
      <c r="AA13" s="19">
        <f>_xll.BDH("TSLA US Equity","LT_DEBT_TO_TOT_CAP","FQ2 2017","FQ2 2017","Currency=USD","Period=FQ","BEST_FPERIOD_OVERRIDE=FQ","FILING_STATUS=MR","Sort=A","Dates=H","DateFormat=P","Fill=—","Direction=H","UseDPDF=Y")</f>
        <v>49.053600000000003</v>
      </c>
      <c r="AB13" s="19">
        <f>_xll.BDH("TSLA US Equity","LT_DEBT_TO_TOT_CAP","FQ3 2017","FQ3 2017","Currency=USD","Period=FQ","BEST_FPERIOD_OVERRIDE=FQ","FILING_STATUS=MR","Sort=A","Dates=H","DateFormat=P","Fill=—","Direction=H","UseDPDF=Y")</f>
        <v>59.211300000000001</v>
      </c>
      <c r="AC13" s="19">
        <f>_xll.BDH("TSLA US Equity","LT_DEBT_TO_TOT_CAP","FQ4 2017","FQ4 2017","Currency=USD","Period=FQ","BEST_FPERIOD_OVERRIDE=FQ","FILING_STATUS=MR","Sort=A","Dates=H","DateFormat=P","Fill=—","Direction=H","UseDPDF=Y")</f>
        <v>59.059199999999997</v>
      </c>
      <c r="AD13" s="19">
        <f>_xll.BDH("TSLA US Equity","LT_DEBT_TO_TOT_CAP","FQ1 2018","FQ1 2018","Currency=USD","Period=FQ","BEST_FPERIOD_OVERRIDE=FQ","FILING_STATUS=MR","Sort=A","Dates=H","DateFormat=P","Fill=—","Direction=H","UseDPDF=Y")</f>
        <v>53.170999999999999</v>
      </c>
      <c r="AE13" s="19">
        <f>_xll.BDH("TSLA US Equity","LT_DEBT_TO_TOT_CAP","FQ2 2018","FQ2 2018","Currency=USD","Period=FQ","BEST_FPERIOD_OVERRIDE=FQ","FILING_STATUS=MR","Sort=A","Dates=H","DateFormat=P","Fill=—","Direction=H","UseDPDF=Y")</f>
        <v>56.346600000000002</v>
      </c>
      <c r="AF13" s="19">
        <f>_xll.BDH("TSLA US Equity","LT_DEBT_TO_TOT_CAP","FQ3 2018","FQ3 2018","Currency=USD","Period=FQ","BEST_FPERIOD_OVERRIDE=FQ","FILING_STATUS=MR","Sort=A","Dates=H","DateFormat=P","Fill=—","Direction=H","UseDPDF=Y")</f>
        <v>54.856000000000002</v>
      </c>
      <c r="AG13" s="19">
        <f>_xll.BDH("TSLA US Equity","LT_DEBT_TO_TOT_CAP","FQ4 2018","FQ4 2018","Currency=USD","Period=FQ","BEST_FPERIOD_OVERRIDE=FQ","FILING_STATUS=MR","Sort=A","Dates=H","DateFormat=P","Fill=—","Direction=H","UseDPDF=Y")</f>
        <v>51.428400000000003</v>
      </c>
      <c r="AH13" s="19">
        <f>_xll.BDH("TSLA US Equity","LT_DEBT_TO_TOT_CAP","FQ1 2019","FQ1 2019","Currency=USD","Period=FQ","BEST_FPERIOD_OVERRIDE=FQ","FILING_STATUS=MR","Sort=A","Dates=H","DateFormat=P","Fill=—","Direction=H","UseDPDF=Y")</f>
        <v>58.680500000000002</v>
      </c>
      <c r="AI13" s="19">
        <f>_xll.BDH("TSLA US Equity","LT_DEBT_TO_TOT_CAP","FQ2 2019","FQ2 2019","Currency=USD","Period=FQ","BEST_FPERIOD_OVERRIDE=FQ","FILING_STATUS=MR","Sort=A","Dates=H","DateFormat=P","Fill=—","Direction=H","UseDPDF=Y")</f>
        <v>57.242199999999997</v>
      </c>
      <c r="AJ13" s="19">
        <f>_xll.BDH("TSLA US Equity","LT_DEBT_TO_TOT_CAP","FQ3 2019","FQ3 2019","Currency=USD","Period=FQ","BEST_FPERIOD_OVERRIDE=FQ","FILING_STATUS=MR","Sort=A","Dates=H","DateFormat=P","Fill=—","Direction=H","UseDPDF=Y")</f>
        <v>55.902299999999997</v>
      </c>
      <c r="AK13" s="19">
        <f>_xll.BDH("TSLA US Equity","LT_DEBT_TO_TOT_CAP","FQ4 2019","FQ4 2019","Currency=USD","Period=FQ","BEST_FPERIOD_OVERRIDE=FQ","FILING_STATUS=MR","Sort=A","Dates=H","DateFormat=P","Fill=—","Direction=H","UseDPDF=Y")</f>
        <v>55.430799999999998</v>
      </c>
      <c r="AL13" s="19">
        <f>_xll.BDH("TSLA US Equity","LT_DEBT_TO_TOT_CAP","FQ1 2020","FQ1 2020","Currency=USD","Period=FQ","BEST_FPERIOD_OVERRIDE=FQ","FILING_STATUS=MR","Sort=A","Dates=H","DateFormat=P","Fill=—","Direction=H","UseDPDF=Y")</f>
        <v>45.014499999999998</v>
      </c>
      <c r="AM13" s="19">
        <f>_xll.BDH("TSLA US Equity","LT_DEBT_TO_TOT_CAP","FQ2 2020","FQ2 2020","Currency=USD","Period=FQ","BEST_FPERIOD_OVERRIDE=FQ","FILING_STATUS=MR","Sort=A","Dates=H","DateFormat=P","Fill=—","Direction=H","UseDPDF=Y")</f>
        <v>42.776400000000002</v>
      </c>
      <c r="AN13" s="19">
        <f>_xll.BDH("TSLA US Equity","LT_DEBT_TO_TOT_CAP","FQ3 2020","FQ3 2020","Currency=USD","Period=FQ","BEST_FPERIOD_OVERRIDE=FQ","FILING_STATUS=MR","Sort=A","Dates=H","DateFormat=P","Fill=—","Direction=H","UseDPDF=Y")</f>
        <v>35.783299999999997</v>
      </c>
      <c r="AO13" s="19">
        <f>_xll.BDH("TSLA US Equity","LT_DEBT_TO_TOT_CAP","FQ4 2020","FQ4 2020","Currency=USD","Period=FQ","BEST_FPERIOD_OVERRIDE=FQ","FILING_STATUS=MR","Sort=A","Dates=H","DateFormat=P","Fill=—","Direction=H","UseDPDF=Y")</f>
        <v>29.249400000000001</v>
      </c>
      <c r="AP13" s="19">
        <f>_xll.BDH("TSLA US Equity","LT_DEBT_TO_TOT_CAP","FQ1 2021","FQ1 2021","Currency=USD","Period=FQ","BEST_FPERIOD_OVERRIDE=FQ","FILING_STATUS=MR","Sort=A","Dates=H","DateFormat=P","Fill=—","Direction=H","UseDPDF=Y")</f>
        <v>28.080400000000001</v>
      </c>
    </row>
    <row r="14" spans="1:42" x14ac:dyDescent="0.25">
      <c r="A14" s="5" t="s">
        <v>146</v>
      </c>
      <c r="B14" s="5" t="s">
        <v>145</v>
      </c>
      <c r="C14" s="19">
        <f>_xll.BDH("TSLA US Equity","LT_DEBT_TO_TOT_ASSET","FQ2 2011","FQ2 2011","Currency=USD","Period=FQ","BEST_FPERIOD_OVERRIDE=FQ","FILING_STATUS=MR","Sort=A","Dates=H","DateFormat=P","Fill=—","Direction=H","UseDPDF=Y")</f>
        <v>20.821000000000002</v>
      </c>
      <c r="D14" s="19">
        <f>_xll.BDH("TSLA US Equity","LT_DEBT_TO_TOT_ASSET","FQ3 2011","FQ3 2011","Currency=USD","Period=FQ","BEST_FPERIOD_OVERRIDE=FQ","FILING_STATUS=MR","Sort=A","Dates=H","DateFormat=P","Fill=—","Direction=H","UseDPDF=Y")</f>
        <v>32.2258</v>
      </c>
      <c r="E14" s="19">
        <f>_xll.BDH("TSLA US Equity","LT_DEBT_TO_TOT_ASSET","FQ4 2011","FQ4 2011","Currency=USD","Period=FQ","BEST_FPERIOD_OVERRIDE=FQ","FILING_STATUS=MR","Sort=A","Dates=H","DateFormat=P","Fill=—","Direction=H","UseDPDF=Y")</f>
        <v>38.0077</v>
      </c>
      <c r="F14" s="19">
        <f>_xll.BDH("TSLA US Equity","LT_DEBT_TO_TOT_ASSET","FQ1 2012","FQ1 2012","Currency=USD","Period=FQ","BEST_FPERIOD_OVERRIDE=FQ","FILING_STATUS=MR","Sort=A","Dates=H","DateFormat=P","Fill=—","Direction=H","UseDPDF=Y")</f>
        <v>45.203499999999998</v>
      </c>
      <c r="G14" s="19">
        <f>_xll.BDH("TSLA US Equity","LT_DEBT_TO_TOT_ASSET","FQ2 2012","FQ2 2012","Currency=USD","Period=FQ","BEST_FPERIOD_OVERRIDE=FQ","FILING_STATUS=MR","Sort=A","Dates=H","DateFormat=P","Fill=—","Direction=H","UseDPDF=Y")</f>
        <v>51.601399999999998</v>
      </c>
      <c r="H14" s="19">
        <f>_xll.BDH("TSLA US Equity","LT_DEBT_TO_TOT_ASSET","FQ3 2012","FQ3 2012","Currency=USD","Period=FQ","BEST_FPERIOD_OVERRIDE=FQ","FILING_STATUS=MR","Sort=A","Dates=H","DateFormat=P","Fill=—","Direction=H","UseDPDF=Y")</f>
        <v>51.964500000000001</v>
      </c>
      <c r="I14" s="19">
        <f>_xll.BDH("TSLA US Equity","LT_DEBT_TO_TOT_ASSET","FQ4 2012","FQ4 2012","Currency=USD","Period=FQ","BEST_FPERIOD_OVERRIDE=FQ","FILING_STATUS=MR","Sort=A","Dates=H","DateFormat=P","Fill=—","Direction=H","UseDPDF=Y")</f>
        <v>36.929099999999998</v>
      </c>
      <c r="J14" s="19">
        <f>_xll.BDH("TSLA US Equity","LT_DEBT_TO_TOT_ASSET","FQ1 2013","FQ1 2013","Currency=USD","Period=FQ","BEST_FPERIOD_OVERRIDE=FQ","FILING_STATUS=MR","Sort=A","Dates=H","DateFormat=P","Fill=—","Direction=H","UseDPDF=Y")</f>
        <v>34.905799999999999</v>
      </c>
      <c r="K14" s="19">
        <f>_xll.BDH("TSLA US Equity","LT_DEBT_TO_TOT_ASSET","FQ2 2013","FQ2 2013","Currency=USD","Period=FQ","BEST_FPERIOD_OVERRIDE=FQ","FILING_STATUS=MR","Sort=A","Dates=H","DateFormat=P","Fill=—","Direction=H","UseDPDF=Y")</f>
        <v>31.146100000000001</v>
      </c>
      <c r="L14" s="19">
        <f>_xll.BDH("TSLA US Equity","LT_DEBT_TO_TOT_ASSET","FQ3 2013","FQ3 2013","Currency=USD","Period=FQ","BEST_FPERIOD_OVERRIDE=FQ","FILING_STATUS=MR","Sort=A","Dates=H","DateFormat=P","Fill=—","Direction=H","UseDPDF=Y")</f>
        <v>0.50460000000000005</v>
      </c>
      <c r="M14" s="19">
        <f>_xll.BDH("TSLA US Equity","LT_DEBT_TO_TOT_ASSET","FQ4 2013","FQ4 2013","Currency=USD","Period=FQ","BEST_FPERIOD_OVERRIDE=FQ","FILING_STATUS=MR","Sort=A","Dates=H","DateFormat=P","Fill=—","Direction=H","UseDPDF=Y")</f>
        <v>24.782399999999999</v>
      </c>
      <c r="N14" s="19">
        <f>_xll.BDH("TSLA US Equity","LT_DEBT_TO_TOT_ASSET","FQ1 2014","FQ1 2014","Currency=USD","Period=FQ","BEST_FPERIOD_OVERRIDE=FQ","FILING_STATUS=MR","Sort=A","Dates=H","DateFormat=P","Fill=—","Direction=H","UseDPDF=Y")</f>
        <v>34.0533</v>
      </c>
      <c r="O14" s="19">
        <f>_xll.BDH("TSLA US Equity","LT_DEBT_TO_TOT_ASSET","FQ2 2014","FQ2 2014","Currency=USD","Period=FQ","BEST_FPERIOD_OVERRIDE=FQ","FILING_STATUS=MR","Sort=A","Dates=H","DateFormat=P","Fill=—","Direction=H","UseDPDF=Y")</f>
        <v>36.545999999999999</v>
      </c>
      <c r="P14" s="19">
        <f>_xll.BDH("TSLA US Equity","LT_DEBT_TO_TOT_ASSET","FQ3 2014","FQ3 2014","Currency=USD","Period=FQ","BEST_FPERIOD_OVERRIDE=FQ","FILING_STATUS=MR","Sort=A","Dates=H","DateFormat=P","Fill=—","Direction=H","UseDPDF=Y")</f>
        <v>33.093000000000004</v>
      </c>
      <c r="Q14" s="19">
        <f>_xll.BDH("TSLA US Equity","LT_DEBT_TO_TOT_ASSET","FQ4 2014","FQ4 2014","Currency=USD","Period=FQ","BEST_FPERIOD_OVERRIDE=FQ","FILING_STATUS=MR","Sort=A","Dates=H","DateFormat=P","Fill=—","Direction=H","UseDPDF=Y")</f>
        <v>31.1934</v>
      </c>
      <c r="R14" s="19">
        <f>_xll.BDH("TSLA US Equity","LT_DEBT_TO_TOT_ASSET","FQ1 2015","FQ1 2015","Currency=USD","Period=FQ","BEST_FPERIOD_OVERRIDE=FQ","FILING_STATUS=MR","Sort=A","Dates=H","DateFormat=P","Fill=—","Direction=H","UseDPDF=Y")</f>
        <v>31.044599999999999</v>
      </c>
      <c r="S14" s="19">
        <f>_xll.BDH("TSLA US Equity","LT_DEBT_TO_TOT_ASSET","FQ2 2015","FQ2 2015","Currency=USD","Period=FQ","BEST_FPERIOD_OVERRIDE=FQ","FILING_STATUS=MR","Sort=A","Dates=H","DateFormat=P","Fill=—","Direction=H","UseDPDF=Y")</f>
        <v>31.6877</v>
      </c>
      <c r="T14" s="19">
        <f>_xll.BDH("TSLA US Equity","LT_DEBT_TO_TOT_ASSET","FQ3 2015","FQ3 2015","Currency=USD","Period=FQ","BEST_FPERIOD_OVERRIDE=FQ","FILING_STATUS=MR","Sort=A","Dates=H","DateFormat=P","Fill=—","Direction=H","UseDPDF=Y")</f>
        <v>26.252300000000002</v>
      </c>
      <c r="U14" s="19">
        <f>_xll.BDH("TSLA US Equity","LT_DEBT_TO_TOT_ASSET","FQ4 2015","FQ4 2015","Currency=USD","Period=FQ","BEST_FPERIOD_OVERRIDE=FQ","FILING_STATUS=MR","Sort=A","Dates=H","DateFormat=P","Fill=—","Direction=H","UseDPDF=Y")</f>
        <v>25.050899999999999</v>
      </c>
      <c r="V14" s="19">
        <f>_xll.BDH("TSLA US Equity","LT_DEBT_TO_TOT_ASSET","FQ1 2016","FQ1 2016","Currency=USD","Period=FQ","BEST_FPERIOD_OVERRIDE=FQ","FILING_STATUS=MR","Sort=A","Dates=H","DateFormat=P","Fill=—","Direction=H","UseDPDF=Y")</f>
        <v>27.027999999999999</v>
      </c>
      <c r="W14" s="19">
        <f>_xll.BDH("TSLA US Equity","LT_DEBT_TO_TOT_ASSET","FQ2 2016","FQ2 2016","Currency=USD","Period=FQ","BEST_FPERIOD_OVERRIDE=FQ","FILING_STATUS=MR","Sort=A","Dates=H","DateFormat=P","Fill=—","Direction=H","UseDPDF=Y")</f>
        <v>22.074400000000001</v>
      </c>
      <c r="X14" s="19">
        <f>_xll.BDH("TSLA US Equity","LT_DEBT_TO_TOT_ASSET","FQ3 2016","FQ3 2016","Currency=USD","Period=FQ","BEST_FPERIOD_OVERRIDE=FQ","FILING_STATUS=MR","Sort=A","Dates=H","DateFormat=P","Fill=—","Direction=H","UseDPDF=Y")</f>
        <v>19.4039</v>
      </c>
      <c r="Y14" s="19">
        <f>_xll.BDH("TSLA US Equity","LT_DEBT_TO_TOT_ASSET","FQ4 2016","FQ4 2016","Currency=USD","Period=FQ","BEST_FPERIOD_OVERRIDE=FQ","FILING_STATUS=MR","Sort=A","Dates=H","DateFormat=P","Fill=—","Direction=H","UseDPDF=Y")</f>
        <v>25.901499999999999</v>
      </c>
      <c r="Z14" s="19">
        <f>_xll.BDH("TSLA US Equity","LT_DEBT_TO_TOT_ASSET","FQ1 2017","FQ1 2017","Currency=USD","Period=FQ","BEST_FPERIOD_OVERRIDE=FQ","FILING_STATUS=MR","Sort=A","Dates=H","DateFormat=P","Fill=—","Direction=H","UseDPDF=Y")</f>
        <v>28.574400000000001</v>
      </c>
      <c r="AA14" s="19">
        <f>_xll.BDH("TSLA US Equity","LT_DEBT_TO_TOT_ASSET","FQ2 2017","FQ2 2017","Currency=USD","Period=FQ","BEST_FPERIOD_OVERRIDE=FQ","FILING_STATUS=MR","Sort=A","Dates=H","DateFormat=P","Fill=—","Direction=H","UseDPDF=Y")</f>
        <v>27.359400000000001</v>
      </c>
      <c r="AB14" s="19">
        <f>_xll.BDH("TSLA US Equity","LT_DEBT_TO_TOT_ASSET","FQ3 2017","FQ3 2017","Currency=USD","Period=FQ","BEST_FPERIOD_OVERRIDE=FQ","FILING_STATUS=MR","Sort=A","Dates=H","DateFormat=P","Fill=—","Direction=H","UseDPDF=Y")</f>
        <v>34.0989</v>
      </c>
      <c r="AC14" s="19">
        <f>_xll.BDH("TSLA US Equity","LT_DEBT_TO_TOT_ASSET","FQ4 2017","FQ4 2017","Currency=USD","Period=FQ","BEST_FPERIOD_OVERRIDE=FQ","FILING_STATUS=MR","Sort=A","Dates=H","DateFormat=P","Fill=—","Direction=H","UseDPDF=Y")</f>
        <v>32.867600000000003</v>
      </c>
      <c r="AD14" s="19">
        <f>_xll.BDH("TSLA US Equity","LT_DEBT_TO_TOT_ASSET","FQ1 2018","FQ1 2018","Currency=USD","Period=FQ","BEST_FPERIOD_OVERRIDE=FQ","FILING_STATUS=MR","Sort=A","Dates=H","DateFormat=P","Fill=—","Direction=H","UseDPDF=Y")</f>
        <v>32.135199999999998</v>
      </c>
      <c r="AE14" s="19">
        <f>_xll.BDH("TSLA US Equity","LT_DEBT_TO_TOT_ASSET","FQ2 2018","FQ2 2018","Currency=USD","Period=FQ","BEST_FPERIOD_OVERRIDE=FQ","FILING_STATUS=MR","Sort=A","Dates=H","DateFormat=P","Fill=—","Direction=H","UseDPDF=Y")</f>
        <v>34.085999999999999</v>
      </c>
      <c r="AF14" s="19">
        <f>_xll.BDH("TSLA US Equity","LT_DEBT_TO_TOT_ASSET","FQ3 2018","FQ3 2018","Currency=USD","Period=FQ","BEST_FPERIOD_OVERRIDE=FQ","FILING_STATUS=MR","Sort=A","Dates=H","DateFormat=P","Fill=—","Direction=H","UseDPDF=Y")</f>
        <v>33.054400000000001</v>
      </c>
      <c r="AG14" s="19">
        <f>_xll.BDH("TSLA US Equity","LT_DEBT_TO_TOT_ASSET","FQ4 2018","FQ4 2018","Currency=USD","Period=FQ","BEST_FPERIOD_OVERRIDE=FQ","FILING_STATUS=MR","Sort=A","Dates=H","DateFormat=P","Fill=—","Direction=H","UseDPDF=Y")</f>
        <v>31.62</v>
      </c>
      <c r="AH14" s="19">
        <f>_xll.BDH("TSLA US Equity","LT_DEBT_TO_TOT_ASSET","FQ1 2019","FQ1 2019","Currency=USD","Period=FQ","BEST_FPERIOD_OVERRIDE=FQ","FILING_STATUS=MR","Sort=A","Dates=H","DateFormat=P","Fill=—","Direction=H","UseDPDF=Y")</f>
        <v>38.036099999999998</v>
      </c>
      <c r="AI14" s="19">
        <f>_xll.BDH("TSLA US Equity","LT_DEBT_TO_TOT_ASSET","FQ2 2019","FQ2 2019","Currency=USD","Period=FQ","BEST_FPERIOD_OVERRIDE=FQ","FILING_STATUS=MR","Sort=A","Dates=H","DateFormat=P","Fill=—","Direction=H","UseDPDF=Y")</f>
        <v>38.481999999999999</v>
      </c>
      <c r="AJ14" s="19">
        <f>_xll.BDH("TSLA US Equity","LT_DEBT_TO_TOT_ASSET","FQ3 2019","FQ3 2019","Currency=USD","Period=FQ","BEST_FPERIOD_OVERRIDE=FQ","FILING_STATUS=MR","Sort=A","Dates=H","DateFormat=P","Fill=—","Direction=H","UseDPDF=Y")</f>
        <v>37.630699999999997</v>
      </c>
      <c r="AK14" s="19">
        <f>_xll.BDH("TSLA US Equity","LT_DEBT_TO_TOT_ASSET","FQ4 2019","FQ4 2019","Currency=USD","Period=FQ","BEST_FPERIOD_OVERRIDE=FQ","FILING_STATUS=MR","Sort=A","Dates=H","DateFormat=P","Fill=—","Direction=H","UseDPDF=Y")</f>
        <v>36.695900000000002</v>
      </c>
      <c r="AL14" s="19">
        <f>_xll.BDH("TSLA US Equity","LT_DEBT_TO_TOT_ASSET","FQ1 2020","FQ1 2020","Currency=USD","Period=FQ","BEST_FPERIOD_OVERRIDE=FQ","FILING_STATUS=MR","Sort=A","Dates=H","DateFormat=P","Fill=—","Direction=H","UseDPDF=Y")</f>
        <v>31.159700000000001</v>
      </c>
      <c r="AM14" s="19">
        <f>_xll.BDH("TSLA US Equity","LT_DEBT_TO_TOT_ASSET","FQ2 2020","FQ2 2020","Currency=USD","Period=FQ","BEST_FPERIOD_OVERRIDE=FQ","FILING_STATUS=MR","Sort=A","Dates=H","DateFormat=P","Fill=—","Direction=H","UseDPDF=Y")</f>
        <v>29.977699999999999</v>
      </c>
      <c r="AN14" s="19">
        <f>_xll.BDH("TSLA US Equity","LT_DEBT_TO_TOT_ASSET","FQ3 2020","FQ3 2020","Currency=USD","Period=FQ","BEST_FPERIOD_OVERRIDE=FQ","FILING_STATUS=MR","Sort=A","Dates=H","DateFormat=P","Fill=—","Direction=H","UseDPDF=Y")</f>
        <v>25.519200000000001</v>
      </c>
      <c r="AO14" s="19">
        <f>_xll.BDH("TSLA US Equity","LT_DEBT_TO_TOT_ASSET","FQ4 2020","FQ4 2020","Currency=USD","Period=FQ","BEST_FPERIOD_OVERRIDE=FQ","FILING_STATUS=MR","Sort=A","Dates=H","DateFormat=P","Fill=—","Direction=H","UseDPDF=Y")</f>
        <v>20.729500000000002</v>
      </c>
      <c r="AP14" s="19">
        <f>_xll.BDH("TSLA US Equity","LT_DEBT_TO_TOT_ASSET","FQ1 2021","FQ1 2021","Currency=USD","Period=FQ","BEST_FPERIOD_OVERRIDE=FQ","FILING_STATUS=MR","Sort=A","Dates=H","DateFormat=P","Fill=—","Direction=H","UseDPDF=Y")</f>
        <v>19.600899999999999</v>
      </c>
    </row>
    <row r="15" spans="1:42" x14ac:dyDescent="0.25">
      <c r="A15" s="5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1:42" x14ac:dyDescent="0.25">
      <c r="A16" s="5" t="s">
        <v>144</v>
      </c>
      <c r="B16" s="5" t="s">
        <v>143</v>
      </c>
      <c r="C16" s="19">
        <f>_xll.BDH("TSLA US Equity","TOT_DEBT_TO_TOT_EQY","FQ2 2011","FQ2 2011","Currency=USD","Period=FQ","BEST_FPERIOD_OVERRIDE=FQ","FILING_STATUS=MR","Sort=A","Dates=H","DateFormat=P","Fill=—","Direction=H","UseDPDF=Y")</f>
        <v>38.692</v>
      </c>
      <c r="D16" s="19">
        <f>_xll.BDH("TSLA US Equity","TOT_DEBT_TO_TOT_EQY","FQ3 2011","FQ3 2011","Currency=USD","Period=FQ","BEST_FPERIOD_OVERRIDE=FQ","FILING_STATUS=MR","Sort=A","Dates=H","DateFormat=P","Fill=—","Direction=H","UseDPDF=Y")</f>
        <v>76.8566</v>
      </c>
      <c r="E16" s="19">
        <f>_xll.BDH("TSLA US Equity","TOT_DEBT_TO_TOT_EQY","FQ4 2011","FQ4 2011","Currency=USD","Period=FQ","BEST_FPERIOD_OVERRIDE=FQ","FILING_STATUS=MR","Sort=A","Dates=H","DateFormat=P","Fill=—","Direction=H","UseDPDF=Y")</f>
        <v>125.041</v>
      </c>
      <c r="F16" s="19">
        <f>_xll.BDH("TSLA US Equity","TOT_DEBT_TO_TOT_EQY","FQ1 2012","FQ1 2012","Currency=USD","Period=FQ","BEST_FPERIOD_OVERRIDE=FQ","FILING_STATUS=MR","Sort=A","Dates=H","DateFormat=P","Fill=—","Direction=H","UseDPDF=Y")</f>
        <v>237.7972</v>
      </c>
      <c r="G16" s="19">
        <f>_xll.BDH("TSLA US Equity","TOT_DEBT_TO_TOT_EQY","FQ2 2012","FQ2 2012","Currency=USD","Period=FQ","BEST_FPERIOD_OVERRIDE=FQ","FILING_STATUS=MR","Sort=A","Dates=H","DateFormat=P","Fill=—","Direction=H","UseDPDF=Y")</f>
        <v>705.57420000000002</v>
      </c>
      <c r="H16" s="19" t="str">
        <f>_xll.BDH("TSLA US Equity","TOT_DEBT_TO_TOT_EQY","FQ3 2012","FQ3 2012","Currency=USD","Period=FQ","BEST_FPERIOD_OVERRIDE=FQ","FILING_STATUS=MR","Sort=A","Dates=H","DateFormat=P","Fill=—","Direction=H","UseDPDF=Y")</f>
        <v>—</v>
      </c>
      <c r="I16" s="19">
        <f>_xll.BDH("TSLA US Equity","TOT_DEBT_TO_TOT_EQY","FQ4 2012","FQ4 2012","Currency=USD","Period=FQ","BEST_FPERIOD_OVERRIDE=FQ","FILING_STATUS=MR","Sort=A","Dates=H","DateFormat=P","Fill=—","Direction=H","UseDPDF=Y")</f>
        <v>374.23099999999999</v>
      </c>
      <c r="J16" s="19">
        <f>_xll.BDH("TSLA US Equity","TOT_DEBT_TO_TOT_EQY","FQ1 2013","FQ1 2013","Currency=USD","Period=FQ","BEST_FPERIOD_OVERRIDE=FQ","FILING_STATUS=MR","Sort=A","Dates=H","DateFormat=P","Fill=—","Direction=H","UseDPDF=Y")</f>
        <v>270.21589999999998</v>
      </c>
      <c r="K16" s="19">
        <f>_xll.BDH("TSLA US Equity","TOT_DEBT_TO_TOT_EQY","FQ2 2013","FQ2 2013","Currency=USD","Period=FQ","BEST_FPERIOD_OVERRIDE=FQ","FILING_STATUS=MR","Sort=A","Dates=H","DateFormat=P","Fill=—","Direction=H","UseDPDF=Y")</f>
        <v>94.3215</v>
      </c>
      <c r="L16" s="19">
        <f>_xll.BDH("TSLA US Equity","TOT_DEBT_TO_TOT_EQY","FQ3 2013","FQ3 2013","Currency=USD","Period=FQ","BEST_FPERIOD_OVERRIDE=FQ","FILING_STATUS=MR","Sort=A","Dates=H","DateFormat=P","Fill=—","Direction=H","UseDPDF=Y")</f>
        <v>93.414100000000005</v>
      </c>
      <c r="M16" s="19">
        <f>_xll.BDH("TSLA US Equity","TOT_DEBT_TO_TOT_EQY","FQ4 2013","FQ4 2013","Currency=USD","Period=FQ","BEST_FPERIOD_OVERRIDE=FQ","FILING_STATUS=MR","Sort=A","Dates=H","DateFormat=P","Fill=—","Direction=H","UseDPDF=Y")</f>
        <v>90.969800000000006</v>
      </c>
      <c r="N16" s="19">
        <f>_xll.BDH("TSLA US Equity","TOT_DEBT_TO_TOT_EQY","FQ1 2014","FQ1 2014","Currency=USD","Period=FQ","BEST_FPERIOD_OVERRIDE=FQ","FILING_STATUS=MR","Sort=A","Dates=H","DateFormat=P","Fill=—","Direction=H","UseDPDF=Y")</f>
        <v>216.9873</v>
      </c>
      <c r="O16" s="19">
        <f>_xll.BDH("TSLA US Equity","TOT_DEBT_TO_TOT_EQY","FQ2 2014","FQ2 2014","Currency=USD","Period=FQ","BEST_FPERIOD_OVERRIDE=FQ","FILING_STATUS=MR","Sort=A","Dates=H","DateFormat=P","Fill=—","Direction=H","UseDPDF=Y")</f>
        <v>257.32780000000002</v>
      </c>
      <c r="P16" s="19">
        <f>_xll.BDH("TSLA US Equity","TOT_DEBT_TO_TOT_EQY","FQ3 2014","FQ3 2014","Currency=USD","Period=FQ","BEST_FPERIOD_OVERRIDE=FQ","FILING_STATUS=MR","Sort=A","Dates=H","DateFormat=P","Fill=—","Direction=H","UseDPDF=Y")</f>
        <v>235.88800000000001</v>
      </c>
      <c r="Q16" s="19">
        <f>_xll.BDH("TSLA US Equity","TOT_DEBT_TO_TOT_EQY","FQ4 2014","FQ4 2014","Currency=USD","Period=FQ","BEST_FPERIOD_OVERRIDE=FQ","FILING_STATUS=MR","Sort=A","Dates=H","DateFormat=P","Fill=—","Direction=H","UseDPDF=Y")</f>
        <v>272.90260000000001</v>
      </c>
      <c r="R16" s="19">
        <f>_xll.BDH("TSLA US Equity","TOT_DEBT_TO_TOT_EQY","FQ1 2015","FQ1 2015","Currency=USD","Period=FQ","BEST_FPERIOD_OVERRIDE=FQ","FILING_STATUS=MR","Sort=A","Dates=H","DateFormat=P","Fill=—","Direction=H","UseDPDF=Y")</f>
        <v>287.44110000000001</v>
      </c>
      <c r="S16" s="19">
        <f>_xll.BDH("TSLA US Equity","TOT_DEBT_TO_TOT_EQY","FQ2 2015","FQ2 2015","Currency=USD","Period=FQ","BEST_FPERIOD_OVERRIDE=FQ","FILING_STATUS=MR","Sort=A","Dates=H","DateFormat=P","Fill=—","Direction=H","UseDPDF=Y")</f>
        <v>375.4384</v>
      </c>
      <c r="T16" s="19">
        <f>_xll.BDH("TSLA US Equity","TOT_DEBT_TO_TOT_EQY","FQ3 2015","FQ3 2015","Currency=USD","Period=FQ","BEST_FPERIOD_OVERRIDE=FQ","FILING_STATUS=MR","Sort=A","Dates=H","DateFormat=P","Fill=—","Direction=H","UseDPDF=Y")</f>
        <v>193.49879999999999</v>
      </c>
      <c r="U16" s="19">
        <f>_xll.BDH("TSLA US Equity","TOT_DEBT_TO_TOT_EQY","FQ4 2015","FQ4 2015","Currency=USD","Period=FQ","BEST_FPERIOD_OVERRIDE=FQ","FILING_STATUS=MR","Sort=A","Dates=H","DateFormat=P","Fill=—","Direction=H","UseDPDF=Y")</f>
        <v>234.2216</v>
      </c>
      <c r="V16" s="19">
        <f>_xll.BDH("TSLA US Equity","TOT_DEBT_TO_TOT_EQY","FQ1 2016","FQ1 2016","Currency=USD","Period=FQ","BEST_FPERIOD_OVERRIDE=FQ","FILING_STATUS=MR","Sort=A","Dates=H","DateFormat=P","Fill=—","Direction=H","UseDPDF=Y")</f>
        <v>325.88150000000002</v>
      </c>
      <c r="W16" s="19">
        <f>_xll.BDH("TSLA US Equity","TOT_DEBT_TO_TOT_EQY","FQ2 2016","FQ2 2016","Currency=USD","Period=FQ","BEST_FPERIOD_OVERRIDE=FQ","FILING_STATUS=MR","Sort=A","Dates=H","DateFormat=P","Fill=—","Direction=H","UseDPDF=Y")</f>
        <v>126.9562</v>
      </c>
      <c r="X16" s="19">
        <f>_xll.BDH("TSLA US Equity","TOT_DEBT_TO_TOT_EQY","FQ3 2016","FQ3 2016","Currency=USD","Period=FQ","BEST_FPERIOD_OVERRIDE=FQ","FILING_STATUS=MR","Sort=A","Dates=H","DateFormat=P","Fill=—","Direction=H","UseDPDF=Y")</f>
        <v>100.4619</v>
      </c>
      <c r="Y16" s="19">
        <f>_xll.BDH("TSLA US Equity","TOT_DEBT_TO_TOT_EQY","FQ4 2016","FQ4 2016","Currency=USD","Period=FQ","BEST_FPERIOD_OVERRIDE=FQ","FILING_STATUS=MR","Sort=A","Dates=H","DateFormat=P","Fill=—","Direction=H","UseDPDF=Y")</f>
        <v>118.7114</v>
      </c>
      <c r="Z16" s="19">
        <f>_xll.BDH("TSLA US Equity","TOT_DEBT_TO_TOT_EQY","FQ1 2017","FQ1 2017","Currency=USD","Period=FQ","BEST_FPERIOD_OVERRIDE=FQ","FILING_STATUS=MR","Sort=A","Dates=H","DateFormat=P","Fill=—","Direction=H","UseDPDF=Y")</f>
        <v>132.3245</v>
      </c>
      <c r="AA16" s="19">
        <f>_xll.BDH("TSLA US Equity","TOT_DEBT_TO_TOT_EQY","FQ2 2017","FQ2 2017","Currency=USD","Period=FQ","BEST_FPERIOD_OVERRIDE=FQ","FILING_STATUS=MR","Sort=A","Dates=H","DateFormat=P","Fill=—","Direction=H","UseDPDF=Y")</f>
        <v>120.6284</v>
      </c>
      <c r="AB16" s="19">
        <f>_xll.BDH("TSLA US Equity","TOT_DEBT_TO_TOT_EQY","FQ3 2017","FQ3 2017","Currency=USD","Period=FQ","BEST_FPERIOD_OVERRIDE=FQ","FILING_STATUS=MR","Sort=A","Dates=H","DateFormat=P","Fill=—","Direction=H","UseDPDF=Y")</f>
        <v>162.00049999999999</v>
      </c>
      <c r="AC16" s="19">
        <f>_xll.BDH("TSLA US Equity","TOT_DEBT_TO_TOT_EQY","FQ4 2017","FQ4 2017","Currency=USD","Period=FQ","BEST_FPERIOD_OVERRIDE=FQ","FILING_STATUS=MR","Sort=A","Dates=H","DateFormat=P","Fill=—","Direction=H","UseDPDF=Y")</f>
        <v>183.13480000000001</v>
      </c>
      <c r="AD16" s="19">
        <f>_xll.BDH("TSLA US Equity","TOT_DEBT_TO_TOT_EQY","FQ1 2018","FQ1 2018","Currency=USD","Period=FQ","BEST_FPERIOD_OVERRIDE=FQ","FILING_STATUS=MR","Sort=A","Dates=H","DateFormat=P","Fill=—","Direction=H","UseDPDF=Y")</f>
        <v>188.1292</v>
      </c>
      <c r="AE16" s="19">
        <f>_xll.BDH("TSLA US Equity","TOT_DEBT_TO_TOT_EQY","FQ2 2018","FQ2 2018","Currency=USD","Period=FQ","BEST_FPERIOD_OVERRIDE=FQ","FILING_STATUS=MR","Sort=A","Dates=H","DateFormat=P","Fill=—","Direction=H","UseDPDF=Y")</f>
        <v>220.54920000000001</v>
      </c>
      <c r="AF16" s="19">
        <f>_xll.BDH("TSLA US Equity","TOT_DEBT_TO_TOT_EQY","FQ3 2018","FQ3 2018","Currency=USD","Period=FQ","BEST_FPERIOD_OVERRIDE=FQ","FILING_STATUS=MR","Sort=A","Dates=H","DateFormat=P","Fill=—","Direction=H","UseDPDF=Y")</f>
        <v>201.2302</v>
      </c>
      <c r="AG16" s="19">
        <f>_xll.BDH("TSLA US Equity","TOT_DEBT_TO_TOT_EQY","FQ4 2018","FQ4 2018","Currency=USD","Period=FQ","BEST_FPERIOD_OVERRIDE=FQ","FILING_STATUS=MR","Sort=A","Dates=H","DateFormat=P","Fill=—","Direction=H","UseDPDF=Y")</f>
        <v>189.6123</v>
      </c>
      <c r="AH16" s="19">
        <f>_xll.BDH("TSLA US Equity","TOT_DEBT_TO_TOT_EQY","FQ1 2019","FQ1 2019","Currency=USD","Period=FQ","BEST_FPERIOD_OVERRIDE=FQ","FILING_STATUS=MR","Sort=A","Dates=H","DateFormat=P","Fill=—","Direction=H","UseDPDF=Y")</f>
        <v>210.386</v>
      </c>
      <c r="AI16" s="19">
        <f>_xll.BDH("TSLA US Equity","TOT_DEBT_TO_TOT_EQY","FQ2 2019","FQ2 2019","Currency=USD","Period=FQ","BEST_FPERIOD_OVERRIDE=FQ","FILING_STATUS=MR","Sort=A","Dates=H","DateFormat=P","Fill=—","Direction=H","UseDPDF=Y")</f>
        <v>199.6567</v>
      </c>
      <c r="AJ16" s="19">
        <f>_xll.BDH("TSLA US Equity","TOT_DEBT_TO_TOT_EQY","FQ3 2019","FQ3 2019","Currency=USD","Period=FQ","BEST_FPERIOD_OVERRIDE=FQ","FILING_STATUS=MR","Sort=A","Dates=H","DateFormat=P","Fill=—","Direction=H","UseDPDF=Y")</f>
        <v>195.0548</v>
      </c>
      <c r="AK16" s="19">
        <f>_xll.BDH("TSLA US Equity","TOT_DEBT_TO_TOT_EQY","FQ4 2019","FQ4 2019","Currency=USD","Period=FQ","BEST_FPERIOD_OVERRIDE=FQ","FILING_STATUS=MR","Sort=A","Dates=H","DateFormat=P","Fill=—","Direction=H","UseDPDF=Y")</f>
        <v>180.0617</v>
      </c>
      <c r="AL16" s="19">
        <f>_xll.BDH("TSLA US Equity","TOT_DEBT_TO_TOT_EQY","FQ1 2020","FQ1 2020","Currency=USD","Period=FQ","BEST_FPERIOD_OVERRIDE=FQ","FILING_STATUS=MR","Sort=A","Dates=H","DateFormat=P","Fill=—","Direction=H","UseDPDF=Y")</f>
        <v>140.2628</v>
      </c>
      <c r="AM16" s="19">
        <f>_xll.BDH("TSLA US Equity","TOT_DEBT_TO_TOT_EQY","FQ2 2020","FQ2 2020","Currency=USD","Period=FQ","BEST_FPERIOD_OVERRIDE=FQ","FILING_STATUS=MR","Sort=A","Dates=H","DateFormat=P","Fill=—","Direction=H","UseDPDF=Y")</f>
        <v>134.8212</v>
      </c>
      <c r="AN16" s="19">
        <f>_xll.BDH("TSLA US Equity","TOT_DEBT_TO_TOT_EQY","FQ3 2020","FQ3 2020","Currency=USD","Period=FQ","BEST_FPERIOD_OVERRIDE=FQ","FILING_STATUS=MR","Sort=A","Dates=H","DateFormat=P","Fill=—","Direction=H","UseDPDF=Y")</f>
        <v>85.690700000000007</v>
      </c>
      <c r="AO16" s="19">
        <f>_xll.BDH("TSLA US Equity","TOT_DEBT_TO_TOT_EQY","FQ4 2020","FQ4 2020","Currency=USD","Period=FQ","BEST_FPERIOD_OVERRIDE=FQ","FILING_STATUS=MR","Sort=A","Dates=H","DateFormat=P","Fill=—","Direction=H","UseDPDF=Y")</f>
        <v>55.7438</v>
      </c>
      <c r="AP16" s="19">
        <f>_xll.BDH("TSLA US Equity","TOT_DEBT_TO_TOT_EQY","FQ1 2021","FQ1 2021","Currency=USD","Period=FQ","BEST_FPERIOD_OVERRIDE=FQ","FILING_STATUS=MR","Sort=A","Dates=H","DateFormat=P","Fill=—","Direction=H","UseDPDF=Y")</f>
        <v>51.138399999999997</v>
      </c>
    </row>
    <row r="17" spans="1:42" x14ac:dyDescent="0.25">
      <c r="A17" s="5" t="s">
        <v>142</v>
      </c>
      <c r="B17" s="5" t="s">
        <v>141</v>
      </c>
      <c r="C17" s="19">
        <f>_xll.BDH("TSLA US Equity","TOT_DEBT_TO_TOT_CAP","FQ2 2011","FQ2 2011","Currency=USD","Period=FQ","BEST_FPERIOD_OVERRIDE=FQ","FILING_STATUS=MR","Sort=A","Dates=H","DateFormat=P","Fill=—","Direction=H","UseDPDF=Y")</f>
        <v>27.8978</v>
      </c>
      <c r="D17" s="19">
        <f>_xll.BDH("TSLA US Equity","TOT_DEBT_TO_TOT_CAP","FQ3 2011","FQ3 2011","Currency=USD","Period=FQ","BEST_FPERIOD_OVERRIDE=FQ","FILING_STATUS=MR","Sort=A","Dates=H","DateFormat=P","Fill=—","Direction=H","UseDPDF=Y")</f>
        <v>43.457000000000001</v>
      </c>
      <c r="E17" s="19">
        <f>_xll.BDH("TSLA US Equity","TOT_DEBT_TO_TOT_CAP","FQ4 2011","FQ4 2011","Currency=USD","Period=FQ","BEST_FPERIOD_OVERRIDE=FQ","FILING_STATUS=MR","Sort=A","Dates=H","DateFormat=P","Fill=—","Direction=H","UseDPDF=Y")</f>
        <v>55.563600000000001</v>
      </c>
      <c r="F17" s="19">
        <f>_xll.BDH("TSLA US Equity","TOT_DEBT_TO_TOT_CAP","FQ1 2012","FQ1 2012","Currency=USD","Period=FQ","BEST_FPERIOD_OVERRIDE=FQ","FILING_STATUS=MR","Sort=A","Dates=H","DateFormat=P","Fill=—","Direction=H","UseDPDF=Y")</f>
        <v>70.3964</v>
      </c>
      <c r="G17" s="19">
        <f>_xll.BDH("TSLA US Equity","TOT_DEBT_TO_TOT_CAP","FQ2 2012","FQ2 2012","Currency=USD","Period=FQ","BEST_FPERIOD_OVERRIDE=FQ","FILING_STATUS=MR","Sort=A","Dates=H","DateFormat=P","Fill=—","Direction=H","UseDPDF=Y")</f>
        <v>87.586500000000001</v>
      </c>
      <c r="H17" s="19">
        <f>_xll.BDH("TSLA US Equity","TOT_DEBT_TO_TOT_CAP","FQ3 2012","FQ3 2012","Currency=USD","Period=FQ","BEST_FPERIOD_OVERRIDE=FQ","FILING_STATUS=MR","Sort=A","Dates=H","DateFormat=P","Fill=—","Direction=H","UseDPDF=Y")</f>
        <v>106.2411</v>
      </c>
      <c r="I17" s="19">
        <f>_xll.BDH("TSLA US Equity","TOT_DEBT_TO_TOT_CAP","FQ4 2012","FQ4 2012","Currency=USD","Period=FQ","BEST_FPERIOD_OVERRIDE=FQ","FILING_STATUS=MR","Sort=A","Dates=H","DateFormat=P","Fill=—","Direction=H","UseDPDF=Y")</f>
        <v>78.913200000000003</v>
      </c>
      <c r="J17" s="19">
        <f>_xll.BDH("TSLA US Equity","TOT_DEBT_TO_TOT_CAP","FQ1 2013","FQ1 2013","Currency=USD","Period=FQ","BEST_FPERIOD_OVERRIDE=FQ","FILING_STATUS=MR","Sort=A","Dates=H","DateFormat=P","Fill=—","Direction=H","UseDPDF=Y")</f>
        <v>72.988699999999994</v>
      </c>
      <c r="K17" s="19">
        <f>_xll.BDH("TSLA US Equity","TOT_DEBT_TO_TOT_CAP","FQ2 2013","FQ2 2013","Currency=USD","Period=FQ","BEST_FPERIOD_OVERRIDE=FQ","FILING_STATUS=MR","Sort=A","Dates=H","DateFormat=P","Fill=—","Direction=H","UseDPDF=Y")</f>
        <v>48.538899999999998</v>
      </c>
      <c r="L17" s="19">
        <f>_xll.BDH("TSLA US Equity","TOT_DEBT_TO_TOT_CAP","FQ3 2013","FQ3 2013","Currency=USD","Period=FQ","BEST_FPERIOD_OVERRIDE=FQ","FILING_STATUS=MR","Sort=A","Dates=H","DateFormat=P","Fill=—","Direction=H","UseDPDF=Y")</f>
        <v>48.297499999999999</v>
      </c>
      <c r="M17" s="19">
        <f>_xll.BDH("TSLA US Equity","TOT_DEBT_TO_TOT_CAP","FQ4 2013","FQ4 2013","Currency=USD","Period=FQ","BEST_FPERIOD_OVERRIDE=FQ","FILING_STATUS=MR","Sort=A","Dates=H","DateFormat=P","Fill=—","Direction=H","UseDPDF=Y")</f>
        <v>47.6357</v>
      </c>
      <c r="N17" s="19">
        <f>_xll.BDH("TSLA US Equity","TOT_DEBT_TO_TOT_CAP","FQ1 2014","FQ1 2014","Currency=USD","Period=FQ","BEST_FPERIOD_OVERRIDE=FQ","FILING_STATUS=MR","Sort=A","Dates=H","DateFormat=P","Fill=—","Direction=H","UseDPDF=Y")</f>
        <v>68.453000000000003</v>
      </c>
      <c r="O17" s="19">
        <f>_xll.BDH("TSLA US Equity","TOT_DEBT_TO_TOT_CAP","FQ2 2014","FQ2 2014","Currency=USD","Period=FQ","BEST_FPERIOD_OVERRIDE=FQ","FILING_STATUS=MR","Sort=A","Dates=H","DateFormat=P","Fill=—","Direction=H","UseDPDF=Y")</f>
        <v>72.014499999999998</v>
      </c>
      <c r="P17" s="19">
        <f>_xll.BDH("TSLA US Equity","TOT_DEBT_TO_TOT_CAP","FQ3 2014","FQ3 2014","Currency=USD","Period=FQ","BEST_FPERIOD_OVERRIDE=FQ","FILING_STATUS=MR","Sort=A","Dates=H","DateFormat=P","Fill=—","Direction=H","UseDPDF=Y")</f>
        <v>70.228200000000001</v>
      </c>
      <c r="Q17" s="19">
        <f>_xll.BDH("TSLA US Equity","TOT_DEBT_TO_TOT_CAP","FQ4 2014","FQ4 2014","Currency=USD","Period=FQ","BEST_FPERIOD_OVERRIDE=FQ","FILING_STATUS=MR","Sort=A","Dates=H","DateFormat=P","Fill=—","Direction=H","UseDPDF=Y")</f>
        <v>73.183300000000003</v>
      </c>
      <c r="R17" s="19">
        <f>_xll.BDH("TSLA US Equity","TOT_DEBT_TO_TOT_CAP","FQ1 2015","FQ1 2015","Currency=USD","Period=FQ","BEST_FPERIOD_OVERRIDE=FQ","FILING_STATUS=MR","Sort=A","Dates=H","DateFormat=P","Fill=—","Direction=H","UseDPDF=Y")</f>
        <v>74.189599999999999</v>
      </c>
      <c r="S17" s="19">
        <f>_xll.BDH("TSLA US Equity","TOT_DEBT_TO_TOT_CAP","FQ2 2015","FQ2 2015","Currency=USD","Period=FQ","BEST_FPERIOD_OVERRIDE=FQ","FILING_STATUS=MR","Sort=A","Dates=H","DateFormat=P","Fill=—","Direction=H","UseDPDF=Y")</f>
        <v>78.966800000000006</v>
      </c>
      <c r="T17" s="19">
        <f>_xll.BDH("TSLA US Equity","TOT_DEBT_TO_TOT_CAP","FQ3 2015","FQ3 2015","Currency=USD","Period=FQ","BEST_FPERIOD_OVERRIDE=FQ","FILING_STATUS=MR","Sort=A","Dates=H","DateFormat=P","Fill=—","Direction=H","UseDPDF=Y")</f>
        <v>65.928299999999993</v>
      </c>
      <c r="U17" s="19">
        <f>_xll.BDH("TSLA US Equity","TOT_DEBT_TO_TOT_CAP","FQ4 2015","FQ4 2015","Currency=USD","Period=FQ","BEST_FPERIOD_OVERRIDE=FQ","FILING_STATUS=MR","Sort=A","Dates=H","DateFormat=P","Fill=—","Direction=H","UseDPDF=Y")</f>
        <v>70.079700000000003</v>
      </c>
      <c r="V17" s="19">
        <f>_xll.BDH("TSLA US Equity","TOT_DEBT_TO_TOT_CAP","FQ1 2016","FQ1 2016","Currency=USD","Period=FQ","BEST_FPERIOD_OVERRIDE=FQ","FILING_STATUS=MR","Sort=A","Dates=H","DateFormat=P","Fill=—","Direction=H","UseDPDF=Y")</f>
        <v>76.519300000000001</v>
      </c>
      <c r="W17" s="19">
        <f>_xll.BDH("TSLA US Equity","TOT_DEBT_TO_TOT_CAP","FQ2 2016","FQ2 2016","Currency=USD","Period=FQ","BEST_FPERIOD_OVERRIDE=FQ","FILING_STATUS=MR","Sort=A","Dates=H","DateFormat=P","Fill=—","Direction=H","UseDPDF=Y")</f>
        <v>55.938600000000001</v>
      </c>
      <c r="X17" s="19">
        <f>_xll.BDH("TSLA US Equity","TOT_DEBT_TO_TOT_CAP","FQ3 2016","FQ3 2016","Currency=USD","Period=FQ","BEST_FPERIOD_OVERRIDE=FQ","FILING_STATUS=MR","Sort=A","Dates=H","DateFormat=P","Fill=—","Direction=H","UseDPDF=Y")</f>
        <v>50.115200000000002</v>
      </c>
      <c r="Y17" s="19">
        <f>_xll.BDH("TSLA US Equity","TOT_DEBT_TO_TOT_CAP","FQ4 2016","FQ4 2016","Currency=USD","Period=FQ","BEST_FPERIOD_OVERRIDE=FQ","FILING_STATUS=MR","Sort=A","Dates=H","DateFormat=P","Fill=—","Direction=H","UseDPDF=Y")</f>
        <v>54.2776</v>
      </c>
      <c r="Z17" s="19">
        <f>_xll.BDH("TSLA US Equity","TOT_DEBT_TO_TOT_CAP","FQ1 2017","FQ1 2017","Currency=USD","Period=FQ","BEST_FPERIOD_OVERRIDE=FQ","FILING_STATUS=MR","Sort=A","Dates=H","DateFormat=P","Fill=—","Direction=H","UseDPDF=Y")</f>
        <v>56.956800000000001</v>
      </c>
      <c r="AA17" s="19">
        <f>_xll.BDH("TSLA US Equity","TOT_DEBT_TO_TOT_CAP","FQ2 2017","FQ2 2017","Currency=USD","Period=FQ","BEST_FPERIOD_OVERRIDE=FQ","FILING_STATUS=MR","Sort=A","Dates=H","DateFormat=P","Fill=—","Direction=H","UseDPDF=Y")</f>
        <v>54.674900000000001</v>
      </c>
      <c r="AB17" s="19">
        <f>_xll.BDH("TSLA US Equity","TOT_DEBT_TO_TOT_CAP","FQ3 2017","FQ3 2017","Currency=USD","Period=FQ","BEST_FPERIOD_OVERRIDE=FQ","FILING_STATUS=MR","Sort=A","Dates=H","DateFormat=P","Fill=—","Direction=H","UseDPDF=Y")</f>
        <v>61.832099999999997</v>
      </c>
      <c r="AC17" s="19">
        <f>_xll.BDH("TSLA US Equity","TOT_DEBT_TO_TOT_CAP","FQ4 2017","FQ4 2017","Currency=USD","Period=FQ","BEST_FPERIOD_OVERRIDE=FQ","FILING_STATUS=MR","Sort=A","Dates=H","DateFormat=P","Fill=—","Direction=H","UseDPDF=Y")</f>
        <v>64.681100000000001</v>
      </c>
      <c r="AD17" s="19">
        <f>_xll.BDH("TSLA US Equity","TOT_DEBT_TO_TOT_CAP","FQ1 2018","FQ1 2018","Currency=USD","Period=FQ","BEST_FPERIOD_OVERRIDE=FQ","FILING_STATUS=MR","Sort=A","Dates=H","DateFormat=P","Fill=—","Direction=H","UseDPDF=Y")</f>
        <v>65.293300000000002</v>
      </c>
      <c r="AE17" s="19">
        <f>_xll.BDH("TSLA US Equity","TOT_DEBT_TO_TOT_CAP","FQ2 2018","FQ2 2018","Currency=USD","Period=FQ","BEST_FPERIOD_OVERRIDE=FQ","FILING_STATUS=MR","Sort=A","Dates=H","DateFormat=P","Fill=—","Direction=H","UseDPDF=Y")</f>
        <v>68.8035</v>
      </c>
      <c r="AF17" s="19">
        <f>_xll.BDH("TSLA US Equity","TOT_DEBT_TO_TOT_CAP","FQ3 2018","FQ3 2018","Currency=USD","Period=FQ","BEST_FPERIOD_OVERRIDE=FQ","FILING_STATUS=MR","Sort=A","Dates=H","DateFormat=P","Fill=—","Direction=H","UseDPDF=Y")</f>
        <v>66.802800000000005</v>
      </c>
      <c r="AG17" s="19">
        <f>_xll.BDH("TSLA US Equity","TOT_DEBT_TO_TOT_CAP","FQ4 2018","FQ4 2018","Currency=USD","Period=FQ","BEST_FPERIOD_OVERRIDE=FQ","FILING_STATUS=MR","Sort=A","Dates=H","DateFormat=P","Fill=—","Direction=H","UseDPDF=Y")</f>
        <v>65.471100000000007</v>
      </c>
      <c r="AH17" s="19">
        <f>_xll.BDH("TSLA US Equity","TOT_DEBT_TO_TOT_CAP","FQ1 2019","FQ1 2019","Currency=USD","Period=FQ","BEST_FPERIOD_OVERRIDE=FQ","FILING_STATUS=MR","Sort=A","Dates=H","DateFormat=P","Fill=—","Direction=H","UseDPDF=Y")</f>
        <v>67.7821</v>
      </c>
      <c r="AI17" s="19">
        <f>_xll.BDH("TSLA US Equity","TOT_DEBT_TO_TOT_CAP","FQ2 2019","FQ2 2019","Currency=USD","Period=FQ","BEST_FPERIOD_OVERRIDE=FQ","FILING_STATUS=MR","Sort=A","Dates=H","DateFormat=P","Fill=—","Direction=H","UseDPDF=Y")</f>
        <v>66.628500000000003</v>
      </c>
      <c r="AJ17" s="19">
        <f>_xll.BDH("TSLA US Equity","TOT_DEBT_TO_TOT_CAP","FQ3 2019","FQ3 2019","Currency=USD","Period=FQ","BEST_FPERIOD_OVERRIDE=FQ","FILING_STATUS=MR","Sort=A","Dates=H","DateFormat=P","Fill=—","Direction=H","UseDPDF=Y")</f>
        <v>66.108000000000004</v>
      </c>
      <c r="AK17" s="19">
        <f>_xll.BDH("TSLA US Equity","TOT_DEBT_TO_TOT_CAP","FQ4 2019","FQ4 2019","Currency=USD","Period=FQ","BEST_FPERIOD_OVERRIDE=FQ","FILING_STATUS=MR","Sort=A","Dates=H","DateFormat=P","Fill=—","Direction=H","UseDPDF=Y")</f>
        <v>64.293599999999998</v>
      </c>
      <c r="AL17" s="19">
        <f>_xll.BDH("TSLA US Equity","TOT_DEBT_TO_TOT_CAP","FQ1 2020","FQ1 2020","Currency=USD","Period=FQ","BEST_FPERIOD_OVERRIDE=FQ","FILING_STATUS=MR","Sort=A","Dates=H","DateFormat=P","Fill=—","Direction=H","UseDPDF=Y")</f>
        <v>58.378900000000002</v>
      </c>
      <c r="AM17" s="19">
        <f>_xll.BDH("TSLA US Equity","TOT_DEBT_TO_TOT_CAP","FQ2 2020","FQ2 2020","Currency=USD","Period=FQ","BEST_FPERIOD_OVERRIDE=FQ","FILING_STATUS=MR","Sort=A","Dates=H","DateFormat=P","Fill=—","Direction=H","UseDPDF=Y")</f>
        <v>57.414400000000001</v>
      </c>
      <c r="AN17" s="19">
        <f>_xll.BDH("TSLA US Equity","TOT_DEBT_TO_TOT_CAP","FQ3 2020","FQ3 2020","Currency=USD","Period=FQ","BEST_FPERIOD_OVERRIDE=FQ","FILING_STATUS=MR","Sort=A","Dates=H","DateFormat=P","Fill=—","Direction=H","UseDPDF=Y")</f>
        <v>46.146999999999998</v>
      </c>
      <c r="AO17" s="19">
        <f>_xll.BDH("TSLA US Equity","TOT_DEBT_TO_TOT_CAP","FQ4 2020","FQ4 2020","Currency=USD","Period=FQ","BEST_FPERIOD_OVERRIDE=FQ","FILING_STATUS=MR","Sort=A","Dates=H","DateFormat=P","Fill=—","Direction=H","UseDPDF=Y")</f>
        <v>35.792000000000002</v>
      </c>
      <c r="AP17" s="19">
        <f>_xll.BDH("TSLA US Equity","TOT_DEBT_TO_TOT_CAP","FQ1 2021","FQ1 2021","Currency=USD","Period=FQ","BEST_FPERIOD_OVERRIDE=FQ","FILING_STATUS=MR","Sort=A","Dates=H","DateFormat=P","Fill=—","Direction=H","UseDPDF=Y")</f>
        <v>33.835500000000003</v>
      </c>
    </row>
    <row r="18" spans="1:42" x14ac:dyDescent="0.25">
      <c r="A18" s="5" t="s">
        <v>140</v>
      </c>
      <c r="B18" s="5" t="s">
        <v>139</v>
      </c>
      <c r="C18" s="19">
        <f>_xll.BDH("TSLA US Equity","TOT_DEBT_TO_TOT_ASSET","FQ2 2011","FQ2 2011","Currency=USD","Period=FQ","BEST_FPERIOD_OVERRIDE=FQ","FILING_STATUS=MR","Sort=A","Dates=H","DateFormat=P","Fill=—","Direction=H","UseDPDF=Y")</f>
        <v>20.865400000000001</v>
      </c>
      <c r="D18" s="19">
        <f>_xll.BDH("TSLA US Equity","TOT_DEBT_TO_TOT_ASSET","FQ3 2011","FQ3 2011","Currency=USD","Period=FQ","BEST_FPERIOD_OVERRIDE=FQ","FILING_STATUS=MR","Sort=A","Dates=H","DateFormat=P","Fill=—","Direction=H","UseDPDF=Y")</f>
        <v>32.281199999999998</v>
      </c>
      <c r="E18" s="19">
        <f>_xll.BDH("TSLA US Equity","TOT_DEBT_TO_TOT_ASSET","FQ4 2011","FQ4 2011","Currency=USD","Period=FQ","BEST_FPERIOD_OVERRIDE=FQ","FILING_STATUS=MR","Sort=A","Dates=H","DateFormat=P","Fill=—","Direction=H","UseDPDF=Y")</f>
        <v>39.266800000000003</v>
      </c>
      <c r="F18" s="19">
        <f>_xll.BDH("TSLA US Equity","TOT_DEBT_TO_TOT_ASSET","FQ1 2012","FQ1 2012","Currency=USD","Period=FQ","BEST_FPERIOD_OVERRIDE=FQ","FILING_STATUS=MR","Sort=A","Dates=H","DateFormat=P","Fill=—","Direction=H","UseDPDF=Y")</f>
        <v>48.0762</v>
      </c>
      <c r="G18" s="19">
        <f>_xll.BDH("TSLA US Equity","TOT_DEBT_TO_TOT_ASSET","FQ2 2012","FQ2 2012","Currency=USD","Period=FQ","BEST_FPERIOD_OVERRIDE=FQ","FILING_STATUS=MR","Sort=A","Dates=H","DateFormat=P","Fill=—","Direction=H","UseDPDF=Y")</f>
        <v>56.505400000000002</v>
      </c>
      <c r="H18" s="19">
        <f>_xll.BDH("TSLA US Equity","TOT_DEBT_TO_TOT_ASSET","FQ3 2012","FQ3 2012","Currency=USD","Period=FQ","BEST_FPERIOD_OVERRIDE=FQ","FILING_STATUS=MR","Sort=A","Dates=H","DateFormat=P","Fill=—","Direction=H","UseDPDF=Y")</f>
        <v>58.641599999999997</v>
      </c>
      <c r="I18" s="19">
        <f>_xll.BDH("TSLA US Equity","TOT_DEBT_TO_TOT_ASSET","FQ4 2012","FQ4 2012","Currency=USD","Period=FQ","BEST_FPERIOD_OVERRIDE=FQ","FILING_STATUS=MR","Sort=A","Dates=H","DateFormat=P","Fill=—","Direction=H","UseDPDF=Y")</f>
        <v>41.883899999999997</v>
      </c>
      <c r="J18" s="19">
        <f>_xll.BDH("TSLA US Equity","TOT_DEBT_TO_TOT_ASSET","FQ1 2013","FQ1 2013","Currency=USD","Period=FQ","BEST_FPERIOD_OVERRIDE=FQ","FILING_STATUS=MR","Sort=A","Dates=H","DateFormat=P","Fill=—","Direction=H","UseDPDF=Y")</f>
        <v>39.827500000000001</v>
      </c>
      <c r="K18" s="19">
        <f>_xll.BDH("TSLA US Equity","TOT_DEBT_TO_TOT_ASSET","FQ2 2013","FQ2 2013","Currency=USD","Period=FQ","BEST_FPERIOD_OVERRIDE=FQ","FILING_STATUS=MR","Sort=A","Dates=H","DateFormat=P","Fill=—","Direction=H","UseDPDF=Y")</f>
        <v>31.447700000000001</v>
      </c>
      <c r="L18" s="19">
        <f>_xll.BDH("TSLA US Equity","TOT_DEBT_TO_TOT_ASSET","FQ3 2013","FQ3 2013","Currency=USD","Period=FQ","BEST_FPERIOD_OVERRIDE=FQ","FILING_STATUS=MR","Sort=A","Dates=H","DateFormat=P","Fill=—","Direction=H","UseDPDF=Y")</f>
        <v>27.6706</v>
      </c>
      <c r="M18" s="19">
        <f>_xll.BDH("TSLA US Equity","TOT_DEBT_TO_TOT_ASSET","FQ4 2013","FQ4 2013","Currency=USD","Period=FQ","BEST_FPERIOD_OVERRIDE=FQ","FILING_STATUS=MR","Sort=A","Dates=H","DateFormat=P","Fill=—","Direction=H","UseDPDF=Y")</f>
        <v>25.109500000000001</v>
      </c>
      <c r="N18" s="19">
        <f>_xll.BDH("TSLA US Equity","TOT_DEBT_TO_TOT_ASSET","FQ1 2014","FQ1 2014","Currency=USD","Period=FQ","BEST_FPERIOD_OVERRIDE=FQ","FILING_STATUS=MR","Sort=A","Dates=H","DateFormat=P","Fill=—","Direction=H","UseDPDF=Y")</f>
        <v>47.347000000000001</v>
      </c>
      <c r="O18" s="19">
        <f>_xll.BDH("TSLA US Equity","TOT_DEBT_TO_TOT_ASSET","FQ2 2014","FQ2 2014","Currency=USD","Period=FQ","BEST_FPERIOD_OVERRIDE=FQ","FILING_STATUS=MR","Sort=A","Dates=H","DateFormat=P","Fill=—","Direction=H","UseDPDF=Y")</f>
        <v>48.484200000000001</v>
      </c>
      <c r="P18" s="19">
        <f>_xll.BDH("TSLA US Equity","TOT_DEBT_TO_TOT_ASSET","FQ3 2014","FQ3 2014","Currency=USD","Period=FQ","BEST_FPERIOD_OVERRIDE=FQ","FILING_STATUS=MR","Sort=A","Dates=H","DateFormat=P","Fill=—","Direction=H","UseDPDF=Y")</f>
        <v>44.260100000000001</v>
      </c>
      <c r="Q18" s="19">
        <f>_xll.BDH("TSLA US Equity","TOT_DEBT_TO_TOT_ASSET","FQ4 2014","FQ4 2014","Currency=USD","Period=FQ","BEST_FPERIOD_OVERRIDE=FQ","FILING_STATUS=MR","Sort=A","Dates=H","DateFormat=P","Fill=—","Direction=H","UseDPDF=Y")</f>
        <v>42.6723</v>
      </c>
      <c r="R18" s="19">
        <f>_xll.BDH("TSLA US Equity","TOT_DEBT_TO_TOT_ASSET","FQ1 2015","FQ1 2015","Currency=USD","Period=FQ","BEST_FPERIOD_OVERRIDE=FQ","FILING_STATUS=MR","Sort=A","Dates=H","DateFormat=P","Fill=—","Direction=H","UseDPDF=Y")</f>
        <v>41.344099999999997</v>
      </c>
      <c r="S18" s="19">
        <f>_xll.BDH("TSLA US Equity","TOT_DEBT_TO_TOT_ASSET","FQ2 2015","FQ2 2015","Currency=USD","Period=FQ","BEST_FPERIOD_OVERRIDE=FQ","FILING_STATUS=MR","Sort=A","Dates=H","DateFormat=P","Fill=—","Direction=H","UseDPDF=Y")</f>
        <v>41.555599999999998</v>
      </c>
      <c r="T18" s="19">
        <f>_xll.BDH("TSLA US Equity","TOT_DEBT_TO_TOT_ASSET","FQ3 2015","FQ3 2015","Currency=USD","Period=FQ","BEST_FPERIOD_OVERRIDE=FQ","FILING_STATUS=MR","Sort=A","Dates=H","DateFormat=P","Fill=—","Direction=H","UseDPDF=Y")</f>
        <v>34.888399999999997</v>
      </c>
      <c r="U18" s="19">
        <f>_xll.BDH("TSLA US Equity","TOT_DEBT_TO_TOT_ASSET","FQ4 2015","FQ4 2015","Currency=USD","Period=FQ","BEST_FPERIOD_OVERRIDE=FQ","FILING_STATUS=MR","Sort=A","Dates=H","DateFormat=P","Fill=—","Direction=H","UseDPDF=Y")</f>
        <v>32.8339</v>
      </c>
      <c r="V18" s="19">
        <f>_xll.BDH("TSLA US Equity","TOT_DEBT_TO_TOT_ASSET","FQ1 2016","FQ1 2016","Currency=USD","Period=FQ","BEST_FPERIOD_OVERRIDE=FQ","FILING_STATUS=MR","Sort=A","Dates=H","DateFormat=P","Fill=—","Direction=H","UseDPDF=Y")</f>
        <v>34.403199999999998</v>
      </c>
      <c r="W18" s="19">
        <f>_xll.BDH("TSLA US Equity","TOT_DEBT_TO_TOT_ASSET","FQ2 2016","FQ2 2016","Currency=USD","Period=FQ","BEST_FPERIOD_OVERRIDE=FQ","FILING_STATUS=MR","Sort=A","Dates=H","DateFormat=P","Fill=—","Direction=H","UseDPDF=Y")</f>
        <v>27.355599999999999</v>
      </c>
      <c r="X18" s="19">
        <f>_xll.BDH("TSLA US Equity","TOT_DEBT_TO_TOT_ASSET","FQ3 2016","FQ3 2016","Currency=USD","Period=FQ","BEST_FPERIOD_OVERRIDE=FQ","FILING_STATUS=MR","Sort=A","Dates=H","DateFormat=P","Fill=—","Direction=H","UseDPDF=Y")</f>
        <v>21.474799999999998</v>
      </c>
      <c r="Y18" s="19">
        <f>_xll.BDH("TSLA US Equity","TOT_DEBT_TO_TOT_ASSET","FQ4 2016","FQ4 2016","Currency=USD","Period=FQ","BEST_FPERIOD_OVERRIDE=FQ","FILING_STATUS=MR","Sort=A","Dates=H","DateFormat=P","Fill=—","Direction=H","UseDPDF=Y")</f>
        <v>30.976299999999998</v>
      </c>
      <c r="Z18" s="19">
        <f>_xll.BDH("TSLA US Equity","TOT_DEBT_TO_TOT_ASSET","FQ1 2017","FQ1 2017","Currency=USD","Period=FQ","BEST_FPERIOD_OVERRIDE=FQ","FILING_STATUS=MR","Sort=A","Dates=H","DateFormat=P","Fill=—","Direction=H","UseDPDF=Y")</f>
        <v>32.579099999999997</v>
      </c>
      <c r="AA18" s="19">
        <f>_xll.BDH("TSLA US Equity","TOT_DEBT_TO_TOT_ASSET","FQ2 2017","FQ2 2017","Currency=USD","Period=FQ","BEST_FPERIOD_OVERRIDE=FQ","FILING_STATUS=MR","Sort=A","Dates=H","DateFormat=P","Fill=—","Direction=H","UseDPDF=Y")</f>
        <v>30.494700000000002</v>
      </c>
      <c r="AB18" s="19">
        <f>_xll.BDH("TSLA US Equity","TOT_DEBT_TO_TOT_ASSET","FQ3 2017","FQ3 2017","Currency=USD","Period=FQ","BEST_FPERIOD_OVERRIDE=FQ","FILING_STATUS=MR","Sort=A","Dates=H","DateFormat=P","Fill=—","Direction=H","UseDPDF=Y")</f>
        <v>35.608199999999997</v>
      </c>
      <c r="AC18" s="19">
        <f>_xll.BDH("TSLA US Equity","TOT_DEBT_TO_TOT_ASSET","FQ4 2017","FQ4 2017","Currency=USD","Period=FQ","BEST_FPERIOD_OVERRIDE=FQ","FILING_STATUS=MR","Sort=A","Dates=H","DateFormat=P","Fill=—","Direction=H","UseDPDF=Y")</f>
        <v>35.996299999999998</v>
      </c>
      <c r="AD18" s="19">
        <f>_xll.BDH("TSLA US Equity","TOT_DEBT_TO_TOT_ASSET","FQ1 2018","FQ1 2018","Currency=USD","Period=FQ","BEST_FPERIOD_OVERRIDE=FQ","FILING_STATUS=MR","Sort=A","Dates=H","DateFormat=P","Fill=—","Direction=H","UseDPDF=Y")</f>
        <v>39.4617</v>
      </c>
      <c r="AE18" s="19">
        <f>_xll.BDH("TSLA US Equity","TOT_DEBT_TO_TOT_ASSET","FQ2 2018","FQ2 2018","Currency=USD","Period=FQ","BEST_FPERIOD_OVERRIDE=FQ","FILING_STATUS=MR","Sort=A","Dates=H","DateFormat=P","Fill=—","Direction=H","UseDPDF=Y")</f>
        <v>41.621600000000001</v>
      </c>
      <c r="AF18" s="19">
        <f>_xll.BDH("TSLA US Equity","TOT_DEBT_TO_TOT_ASSET","FQ3 2018","FQ3 2018","Currency=USD","Period=FQ","BEST_FPERIOD_OVERRIDE=FQ","FILING_STATUS=MR","Sort=A","Dates=H","DateFormat=P","Fill=—","Direction=H","UseDPDF=Y")</f>
        <v>40.253100000000003</v>
      </c>
      <c r="AG18" s="19">
        <f>_xll.BDH("TSLA US Equity","TOT_DEBT_TO_TOT_ASSET","FQ4 2018","FQ4 2018","Currency=USD","Period=FQ","BEST_FPERIOD_OVERRIDE=FQ","FILING_STATUS=MR","Sort=A","Dates=H","DateFormat=P","Fill=—","Direction=H","UseDPDF=Y")</f>
        <v>40.253999999999998</v>
      </c>
      <c r="AH18" s="19">
        <f>_xll.BDH("TSLA US Equity","TOT_DEBT_TO_TOT_ASSET","FQ1 2019","FQ1 2019","Currency=USD","Period=FQ","BEST_FPERIOD_OVERRIDE=FQ","FILING_STATUS=MR","Sort=A","Dates=H","DateFormat=P","Fill=—","Direction=H","UseDPDF=Y")</f>
        <v>43.935699999999997</v>
      </c>
      <c r="AI18" s="19">
        <f>_xll.BDH("TSLA US Equity","TOT_DEBT_TO_TOT_ASSET","FQ2 2019","FQ2 2019","Currency=USD","Period=FQ","BEST_FPERIOD_OVERRIDE=FQ","FILING_STATUS=MR","Sort=A","Dates=H","DateFormat=P","Fill=—","Direction=H","UseDPDF=Y")</f>
        <v>44.792000000000002</v>
      </c>
      <c r="AJ18" s="19">
        <f>_xll.BDH("TSLA US Equity","TOT_DEBT_TO_TOT_ASSET","FQ3 2019","FQ3 2019","Currency=USD","Period=FQ","BEST_FPERIOD_OVERRIDE=FQ","FILING_STATUS=MR","Sort=A","Dates=H","DateFormat=P","Fill=—","Direction=H","UseDPDF=Y")</f>
        <v>44.500700000000002</v>
      </c>
      <c r="AK18" s="19">
        <f>_xll.BDH("TSLA US Equity","TOT_DEBT_TO_TOT_ASSET","FQ4 2019","FQ4 2019","Currency=USD","Period=FQ","BEST_FPERIOD_OVERRIDE=FQ","FILING_STATUS=MR","Sort=A","Dates=H","DateFormat=P","Fill=—","Direction=H","UseDPDF=Y")</f>
        <v>42.563200000000002</v>
      </c>
      <c r="AL18" s="19">
        <f>_xll.BDH("TSLA US Equity","TOT_DEBT_TO_TOT_ASSET","FQ1 2020","FQ1 2020","Currency=USD","Period=FQ","BEST_FPERIOD_OVERRIDE=FQ","FILING_STATUS=MR","Sort=A","Dates=H","DateFormat=P","Fill=—","Direction=H","UseDPDF=Y")</f>
        <v>40.410699999999999</v>
      </c>
      <c r="AM18" s="19">
        <f>_xll.BDH("TSLA US Equity","TOT_DEBT_TO_TOT_ASSET","FQ2 2020","FQ2 2020","Currency=USD","Period=FQ","BEST_FPERIOD_OVERRIDE=FQ","FILING_STATUS=MR","Sort=A","Dates=H","DateFormat=P","Fill=—","Direction=H","UseDPDF=Y")</f>
        <v>40.235999999999997</v>
      </c>
      <c r="AN18" s="19">
        <f>_xll.BDH("TSLA US Equity","TOT_DEBT_TO_TOT_ASSET","FQ3 2020","FQ3 2020","Currency=USD","Period=FQ","BEST_FPERIOD_OVERRIDE=FQ","FILING_STATUS=MR","Sort=A","Dates=H","DateFormat=P","Fill=—","Direction=H","UseDPDF=Y")</f>
        <v>32.910200000000003</v>
      </c>
      <c r="AO18" s="19">
        <f>_xll.BDH("TSLA US Equity","TOT_DEBT_TO_TOT_ASSET","FQ4 2020","FQ4 2020","Currency=USD","Period=FQ","BEST_FPERIOD_OVERRIDE=FQ","FILING_STATUS=MR","Sort=A","Dates=H","DateFormat=P","Fill=—","Direction=H","UseDPDF=Y")</f>
        <v>25.366299999999999</v>
      </c>
      <c r="AP18" s="19">
        <f>_xll.BDH("TSLA US Equity","TOT_DEBT_TO_TOT_ASSET","FQ1 2021","FQ1 2021","Currency=USD","Period=FQ","BEST_FPERIOD_OVERRIDE=FQ","FILING_STATUS=MR","Sort=A","Dates=H","DateFormat=P","Fill=—","Direction=H","UseDPDF=Y")</f>
        <v>23.618099999999998</v>
      </c>
    </row>
    <row r="19" spans="1:42" x14ac:dyDescent="0.25">
      <c r="A19" s="5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</row>
    <row r="20" spans="1:42" x14ac:dyDescent="0.25">
      <c r="A20" s="5" t="s">
        <v>138</v>
      </c>
      <c r="B20" s="5" t="s">
        <v>137</v>
      </c>
      <c r="C20" s="19">
        <f>_xll.BDH("TSLA US Equity","CASH_FLOW_TO_TOT_LIAB","FQ2 2011","FQ2 2011","Currency=USD","Period=FQ","BEST_FPERIOD_OVERRIDE=FQ","FILING_STATUS=MR","Sort=A","Dates=H","DateFormat=P","Fill=—","Direction=H","UseDPDF=Y")</f>
        <v>-47.548099999999998</v>
      </c>
      <c r="D20" s="19">
        <f>_xll.BDH("TSLA US Equity","CASH_FLOW_TO_TOT_LIAB","FQ3 2011","FQ3 2011","Currency=USD","Period=FQ","BEST_FPERIOD_OVERRIDE=FQ","FILING_STATUS=MR","Sort=A","Dates=H","DateFormat=P","Fill=—","Direction=H","UseDPDF=Y")</f>
        <v>-29.9312</v>
      </c>
      <c r="E20" s="19">
        <f>_xll.BDH("TSLA US Equity","CASH_FLOW_TO_TOT_LIAB","FQ4 2011","FQ4 2011","Currency=USD","Period=FQ","BEST_FPERIOD_OVERRIDE=FQ","FILING_STATUS=MR","Sort=A","Dates=H","DateFormat=P","Fill=—","Direction=H","UseDPDF=Y")</f>
        <v>-23.368300000000001</v>
      </c>
      <c r="F20" s="19">
        <f>_xll.BDH("TSLA US Equity","CASH_FLOW_TO_TOT_LIAB","FQ1 2012","FQ1 2012","Currency=USD","Period=FQ","BEST_FPERIOD_OVERRIDE=FQ","FILING_STATUS=MR","Sort=A","Dates=H","DateFormat=P","Fill=—","Direction=H","UseDPDF=Y")</f>
        <v>-19.952200000000001</v>
      </c>
      <c r="G20" s="19">
        <f>_xll.BDH("TSLA US Equity","CASH_FLOW_TO_TOT_LIAB","FQ2 2012","FQ2 2012","Currency=USD","Period=FQ","BEST_FPERIOD_OVERRIDE=FQ","FILING_STATUS=MR","Sort=A","Dates=H","DateFormat=P","Fill=—","Direction=H","UseDPDF=Y")</f>
        <v>-24.647500000000001</v>
      </c>
      <c r="H20" s="19">
        <f>_xll.BDH("TSLA US Equity","CASH_FLOW_TO_TOT_LIAB","FQ3 2012","FQ3 2012","Currency=USD","Period=FQ","BEST_FPERIOD_OVERRIDE=FQ","FILING_STATUS=MR","Sort=A","Dates=H","DateFormat=P","Fill=—","Direction=H","UseDPDF=Y")</f>
        <v>-30.545200000000001</v>
      </c>
      <c r="I20" s="19">
        <f>_xll.BDH("TSLA US Equity","CASH_FLOW_TO_TOT_LIAB","FQ4 2012","FQ4 2012","Currency=USD","Period=FQ","BEST_FPERIOD_OVERRIDE=FQ","FILING_STATUS=MR","Sort=A","Dates=H","DateFormat=P","Fill=—","Direction=H","UseDPDF=Y")</f>
        <v>-29.171700000000001</v>
      </c>
      <c r="J20" s="19">
        <f>_xll.BDH("TSLA US Equity","CASH_FLOW_TO_TOT_LIAB","FQ1 2013","FQ1 2013","Currency=USD","Period=FQ","BEST_FPERIOD_OVERRIDE=FQ","FILING_STATUS=MR","Sort=A","Dates=H","DateFormat=P","Fill=—","Direction=H","UseDPDF=Y")</f>
        <v>-17.892299999999999</v>
      </c>
      <c r="K20" s="19">
        <f>_xll.BDH("TSLA US Equity","CASH_FLOW_TO_TOT_LIAB","FQ2 2013","FQ2 2013","Currency=USD","Period=FQ","BEST_FPERIOD_OVERRIDE=FQ","FILING_STATUS=MR","Sort=A","Dates=H","DateFormat=P","Fill=—","Direction=H","UseDPDF=Y")</f>
        <v>-5.6516999999999999</v>
      </c>
      <c r="L20" s="19">
        <f>_xll.BDH("TSLA US Equity","CASH_FLOW_TO_TOT_LIAB","FQ3 2013","FQ3 2013","Currency=USD","Period=FQ","BEST_FPERIOD_OVERRIDE=FQ","FILING_STATUS=MR","Sort=A","Dates=H","DateFormat=P","Fill=—","Direction=H","UseDPDF=Y")</f>
        <v>8.8443000000000005</v>
      </c>
      <c r="M20" s="19">
        <f>_xll.BDH("TSLA US Equity","CASH_FLOW_TO_TOT_LIAB","FQ4 2013","FQ4 2013","Currency=USD","Period=FQ","BEST_FPERIOD_OVERRIDE=FQ","FILING_STATUS=MR","Sort=A","Dates=H","DateFormat=P","Fill=—","Direction=H","UseDPDF=Y")</f>
        <v>18.795400000000001</v>
      </c>
      <c r="N20" s="19">
        <f>_xll.BDH("TSLA US Equity","CASH_FLOW_TO_TOT_LIAB","FQ1 2014","FQ1 2014","Currency=USD","Period=FQ","BEST_FPERIOD_OVERRIDE=FQ","FILING_STATUS=MR","Sort=A","Dates=H","DateFormat=P","Fill=—","Direction=H","UseDPDF=Y")</f>
        <v>9.2497000000000007</v>
      </c>
      <c r="O20" s="19">
        <f>_xll.BDH("TSLA US Equity","CASH_FLOW_TO_TOT_LIAB","FQ2 2014","FQ2 2014","Currency=USD","Period=FQ","BEST_FPERIOD_OVERRIDE=FQ","FILING_STATUS=MR","Sort=A","Dates=H","DateFormat=P","Fill=—","Direction=H","UseDPDF=Y")</f>
        <v>7.2153</v>
      </c>
      <c r="P20" s="19">
        <f>_xll.BDH("TSLA US Equity","CASH_FLOW_TO_TOT_LIAB","FQ3 2014","FQ3 2014","Currency=USD","Period=FQ","BEST_FPERIOD_OVERRIDE=FQ","FILING_STATUS=MR","Sort=A","Dates=H","DateFormat=P","Fill=—","Direction=H","UseDPDF=Y")</f>
        <v>3.6912000000000003</v>
      </c>
      <c r="Q20" s="19">
        <f>_xll.BDH("TSLA US Equity","CASH_FLOW_TO_TOT_LIAB","FQ4 2014","FQ4 2014","Currency=USD","Period=FQ","BEST_FPERIOD_OVERRIDE=FQ","FILING_STATUS=MR","Sort=A","Dates=H","DateFormat=P","Fill=—","Direction=H","UseDPDF=Y")</f>
        <v>-1.1656</v>
      </c>
      <c r="R20" s="19">
        <f>_xll.BDH("TSLA US Equity","CASH_FLOW_TO_TOT_LIAB","FQ1 2015","FQ1 2015","Currency=USD","Period=FQ","BEST_FPERIOD_OVERRIDE=FQ","FILING_STATUS=MR","Sort=A","Dates=H","DateFormat=P","Fill=—","Direction=H","UseDPDF=Y")</f>
        <v>-4.7667999999999999</v>
      </c>
      <c r="S20" s="19">
        <f>_xll.BDH("TSLA US Equity","CASH_FLOW_TO_TOT_LIAB","FQ2 2015","FQ2 2015","Currency=USD","Period=FQ","BEST_FPERIOD_OVERRIDE=FQ","FILING_STATUS=MR","Sort=A","Dates=H","DateFormat=P","Fill=—","Direction=H","UseDPDF=Y")</f>
        <v>-7.0529999999999999</v>
      </c>
      <c r="T20" s="19">
        <f>_xll.BDH("TSLA US Equity","CASH_FLOW_TO_TOT_LIAB","FQ3 2015","FQ3 2015","Currency=USD","Period=FQ","BEST_FPERIOD_OVERRIDE=FQ","FILING_STATUS=MR","Sort=A","Dates=H","DateFormat=P","Fill=—","Direction=H","UseDPDF=Y")</f>
        <v>-9.3919999999999995</v>
      </c>
      <c r="U20" s="19">
        <f>_xll.BDH("TSLA US Equity","CASH_FLOW_TO_TOT_LIAB","FQ4 2015","FQ4 2015","Currency=USD","Period=FQ","BEST_FPERIOD_OVERRIDE=FQ","FILING_STATUS=MR","Sort=A","Dates=H","DateFormat=P","Fill=—","Direction=H","UseDPDF=Y")</f>
        <v>-7.5609000000000002</v>
      </c>
      <c r="V20" s="19">
        <f>_xll.BDH("TSLA US Equity","CASH_FLOW_TO_TOT_LIAB","FQ1 2016","FQ1 2016","Currency=USD","Period=FQ","BEST_FPERIOD_OVERRIDE=FQ","FILING_STATUS=MR","Sort=A","Dates=H","DateFormat=P","Fill=—","Direction=H","UseDPDF=Y")</f>
        <v>-7.8126999999999995</v>
      </c>
      <c r="W20" s="19">
        <f>_xll.BDH("TSLA US Equity","CASH_FLOW_TO_TOT_LIAB","FQ2 2016","FQ2 2016","Currency=USD","Period=FQ","BEST_FPERIOD_OVERRIDE=FQ","FILING_STATUS=MR","Sort=A","Dates=H","DateFormat=P","Fill=—","Direction=H","UseDPDF=Y")</f>
        <v>-3.5704000000000002</v>
      </c>
      <c r="X20" s="19">
        <f>_xll.BDH("TSLA US Equity","CASH_FLOW_TO_TOT_LIAB","FQ3 2016","FQ3 2016","Currency=USD","Period=FQ","BEST_FPERIOD_OVERRIDE=FQ","FILING_STATUS=MR","Sort=A","Dates=H","DateFormat=P","Fill=—","Direction=H","UseDPDF=Y")</f>
        <v>2.9748999999999999</v>
      </c>
      <c r="Y20" s="19">
        <f>_xll.BDH("TSLA US Equity","CASH_FLOW_TO_TOT_LIAB","FQ4 2016","FQ4 2016","Currency=USD","Period=FQ","BEST_FPERIOD_OVERRIDE=FQ","FILING_STATUS=MR","Sort=A","Dates=H","DateFormat=P","Fill=—","Direction=H","UseDPDF=Y")</f>
        <v>-0.73929999999999996</v>
      </c>
      <c r="Z20" s="19">
        <f>_xll.BDH("TSLA US Equity","CASH_FLOW_TO_TOT_LIAB","FQ1 2017","FQ1 2017","Currency=USD","Period=FQ","BEST_FPERIOD_OVERRIDE=FQ","FILING_STATUS=MR","Sort=A","Dates=H","DateFormat=P","Fill=—","Direction=H","UseDPDF=Y")</f>
        <v>0.29630000000000001</v>
      </c>
      <c r="AA20" s="19">
        <f>_xll.BDH("TSLA US Equity","CASH_FLOW_TO_TOT_LIAB","FQ2 2017","FQ2 2017","Currency=USD","Period=FQ","BEST_FPERIOD_OVERRIDE=FQ","FILING_STATUS=MR","Sort=A","Dates=H","DateFormat=P","Fill=—","Direction=H","UseDPDF=Y")</f>
        <v>-1.5135999999999998</v>
      </c>
      <c r="AB20" s="19">
        <f>_xll.BDH("TSLA US Equity","CASH_FLOW_TO_TOT_LIAB","FQ3 2017","FQ3 2017","Currency=USD","Period=FQ","BEST_FPERIOD_OVERRIDE=FQ","FILING_STATUS=MR","Sort=A","Dates=H","DateFormat=P","Fill=—","Direction=H","UseDPDF=Y")</f>
        <v>-4.6456999999999997</v>
      </c>
      <c r="AC20" s="19">
        <f>_xll.BDH("TSLA US Equity","CASH_FLOW_TO_TOT_LIAB","FQ4 2017","FQ4 2017","Currency=USD","Period=FQ","BEST_FPERIOD_OVERRIDE=FQ","FILING_STATUS=MR","Sort=A","Dates=H","DateFormat=P","Fill=—","Direction=H","UseDPDF=Y")</f>
        <v>-0.26340000000000002</v>
      </c>
      <c r="AD20" s="19">
        <f>_xll.BDH("TSLA US Equity","CASH_FLOW_TO_TOT_LIAB","FQ1 2018","FQ1 2018","Currency=USD","Period=FQ","BEST_FPERIOD_OVERRIDE=FQ","FILING_STATUS=MR","Sort=A","Dates=H","DateFormat=P","Fill=—","Direction=H","UseDPDF=Y")</f>
        <v>-1.806</v>
      </c>
      <c r="AE20" s="19">
        <f>_xll.BDH("TSLA US Equity","CASH_FLOW_TO_TOT_LIAB","FQ2 2018","FQ2 2018","Currency=USD","Period=FQ","BEST_FPERIOD_OVERRIDE=FQ","FILING_STATUS=MR","Sort=A","Dates=H","DateFormat=P","Fill=—","Direction=H","UseDPDF=Y")</f>
        <v>-1.4076</v>
      </c>
      <c r="AF20" s="19">
        <f>_xll.BDH("TSLA US Equity","CASH_FLOW_TO_TOT_LIAB","FQ3 2018","FQ3 2018","Currency=USD","Period=FQ","BEST_FPERIOD_OVERRIDE=FQ","FILING_STATUS=MR","Sort=A","Dates=H","DateFormat=P","Fill=—","Direction=H","UseDPDF=Y")</f>
        <v>5.8658000000000001</v>
      </c>
      <c r="AG20" s="19">
        <f>_xll.BDH("TSLA US Equity","CASH_FLOW_TO_TOT_LIAB","FQ4 2018","FQ4 2018","Currency=USD","Period=FQ","BEST_FPERIOD_OVERRIDE=FQ","FILING_STATUS=MR","Sort=A","Dates=H","DateFormat=P","Fill=—","Direction=H","UseDPDF=Y")</f>
        <v>8.9550000000000001</v>
      </c>
      <c r="AH20" s="19">
        <f>_xll.BDH("TSLA US Equity","CASH_FLOW_TO_TOT_LIAB","FQ1 2019","FQ1 2019","Currency=USD","Period=FQ","BEST_FPERIOD_OVERRIDE=FQ","FILING_STATUS=MR","Sort=A","Dates=H","DateFormat=P","Fill=—","Direction=H","UseDPDF=Y")</f>
        <v>8.1163000000000007</v>
      </c>
      <c r="AI20" s="19">
        <f>_xll.BDH("TSLA US Equity","CASH_FLOW_TO_TOT_LIAB","FQ2 2019","FQ2 2019","Currency=USD","Period=FQ","BEST_FPERIOD_OVERRIDE=FQ","FILING_STATUS=MR","Sort=A","Dates=H","DateFormat=P","Fill=—","Direction=H","UseDPDF=Y")</f>
        <v>11.5275</v>
      </c>
      <c r="AJ20" s="19">
        <f>_xll.BDH("TSLA US Equity","CASH_FLOW_TO_TOT_LIAB","FQ3 2019","FQ3 2019","Currency=USD","Period=FQ","BEST_FPERIOD_OVERRIDE=FQ","FILING_STATUS=MR","Sort=A","Dates=H","DateFormat=P","Fill=—","Direction=H","UseDPDF=Y")</f>
        <v>8.7486999999999995</v>
      </c>
      <c r="AK20" s="19">
        <f>_xll.BDH("TSLA US Equity","CASH_FLOW_TO_TOT_LIAB","FQ4 2019","FQ4 2019","Currency=USD","Period=FQ","BEST_FPERIOD_OVERRIDE=FQ","FILING_STATUS=MR","Sort=A","Dates=H","DateFormat=P","Fill=—","Direction=H","UseDPDF=Y")</f>
        <v>9.1797000000000004</v>
      </c>
      <c r="AL20" s="19">
        <f>_xll.BDH("TSLA US Equity","CASH_FLOW_TO_TOT_LIAB","FQ1 2020","FQ1 2020","Currency=USD","Period=FQ","BEST_FPERIOD_OVERRIDE=FQ","FILING_STATUS=MR","Sort=A","Dates=H","DateFormat=P","Fill=—","Direction=H","UseDPDF=Y")</f>
        <v>9.8219999999999992</v>
      </c>
      <c r="AM20" s="19">
        <f>_xll.BDH("TSLA US Equity","CASH_FLOW_TO_TOT_LIAB","FQ2 2020","FQ2 2020","Currency=USD","Period=FQ","BEST_FPERIOD_OVERRIDE=FQ","FILING_STATUS=MR","Sort=A","Dates=H","DateFormat=P","Fill=—","Direction=H","UseDPDF=Y")</f>
        <v>10.1106</v>
      </c>
      <c r="AN20" s="19">
        <f>_xll.BDH("TSLA US Equity","CASH_FLOW_TO_TOT_LIAB","FQ3 2020","FQ3 2020","Currency=USD","Period=FQ","BEST_FPERIOD_OVERRIDE=FQ","FILING_STATUS=MR","Sort=A","Dates=H","DateFormat=P","Fill=—","Direction=H","UseDPDF=Y")</f>
        <v>15.453200000000001</v>
      </c>
      <c r="AO20" s="19">
        <f>_xll.BDH("TSLA US Equity","CASH_FLOW_TO_TOT_LIAB","FQ4 2020","FQ4 2020","Currency=USD","Period=FQ","BEST_FPERIOD_OVERRIDE=FQ","FILING_STATUS=MR","Sort=A","Dates=H","DateFormat=P","Fill=—","Direction=H","UseDPDF=Y")</f>
        <v>20.912800000000001</v>
      </c>
      <c r="AP20" s="19">
        <f>_xll.BDH("TSLA US Equity","CASH_FLOW_TO_TOT_LIAB","FQ1 2021","FQ1 2021","Currency=USD","Period=FQ","BEST_FPERIOD_OVERRIDE=FQ","FILING_STATUS=MR","Sort=A","Dates=H","DateFormat=P","Fill=—","Direction=H","UseDPDF=Y")</f>
        <v>28.147500000000001</v>
      </c>
    </row>
    <row r="21" spans="1:42" x14ac:dyDescent="0.25">
      <c r="A21" s="5" t="s">
        <v>136</v>
      </c>
      <c r="B21" s="5" t="s">
        <v>135</v>
      </c>
      <c r="C21" s="19">
        <f>_xll.BDH("TSLA US Equity","CAP_EXPEND_RATIO","FQ2 2011","FQ2 2011","Currency=USD","Period=FQ","BEST_FPERIOD_OVERRIDE=FQ","FILING_STATUS=MR","Sort=A","Dates=H","DateFormat=P","Fill=—","Direction=H","UseDPDF=Y")</f>
        <v>-0.41399999999999998</v>
      </c>
      <c r="D21" s="19">
        <f>_xll.BDH("TSLA US Equity","CAP_EXPEND_RATIO","FQ3 2011","FQ3 2011","Currency=USD","Period=FQ","BEST_FPERIOD_OVERRIDE=FQ","FILING_STATUS=MR","Sort=A","Dates=H","DateFormat=P","Fill=—","Direction=H","UseDPDF=Y")</f>
        <v>-0.31219999999999998</v>
      </c>
      <c r="E21" s="19">
        <f>_xll.BDH("TSLA US Equity","CAP_EXPEND_RATIO","FQ4 2011","FQ4 2011","Currency=USD","Period=FQ","BEST_FPERIOD_OVERRIDE=FQ","FILING_STATUS=MR","Sort=A","Dates=H","DateFormat=P","Fill=—","Direction=H","UseDPDF=Y")</f>
        <v>-0.49919999999999998</v>
      </c>
      <c r="F21" s="19">
        <f>_xll.BDH("TSLA US Equity","CAP_EXPEND_RATIO","FQ1 2012","FQ1 2012","Currency=USD","Period=FQ","BEST_FPERIOD_OVERRIDE=FQ","FILING_STATUS=MR","Sort=A","Dates=H","DateFormat=P","Fill=—","Direction=H","UseDPDF=Y")</f>
        <v>-0.73670000000000002</v>
      </c>
      <c r="G21" s="19">
        <f>_xll.BDH("TSLA US Equity","CAP_EXPEND_RATIO","FQ2 2012","FQ2 2012","Currency=USD","Period=FQ","BEST_FPERIOD_OVERRIDE=FQ","FILING_STATUS=MR","Sort=A","Dates=H","DateFormat=P","Fill=—","Direction=H","UseDPDF=Y")</f>
        <v>-1.7298</v>
      </c>
      <c r="H21" s="19">
        <f>_xll.BDH("TSLA US Equity","CAP_EXPEND_RATIO","FQ3 2012","FQ3 2012","Currency=USD","Period=FQ","BEST_FPERIOD_OVERRIDE=FQ","FILING_STATUS=MR","Sort=A","Dates=H","DateFormat=P","Fill=—","Direction=H","UseDPDF=Y")</f>
        <v>-1.6191</v>
      </c>
      <c r="I21" s="19">
        <f>_xll.BDH("TSLA US Equity","CAP_EXPEND_RATIO","FQ4 2012","FQ4 2012","Currency=USD","Period=FQ","BEST_FPERIOD_OVERRIDE=FQ","FILING_STATUS=MR","Sort=A","Dates=H","DateFormat=P","Fill=—","Direction=H","UseDPDF=Y")</f>
        <v>-1.4478</v>
      </c>
      <c r="J21" s="19">
        <f>_xll.BDH("TSLA US Equity","CAP_EXPEND_RATIO","FQ1 2013","FQ1 2013","Currency=USD","Period=FQ","BEST_FPERIOD_OVERRIDE=FQ","FILING_STATUS=MR","Sort=A","Dates=H","DateFormat=P","Fill=—","Direction=H","UseDPDF=Y")</f>
        <v>1.1100000000000001</v>
      </c>
      <c r="K21" s="19">
        <f>_xll.BDH("TSLA US Equity","CAP_EXPEND_RATIO","FQ2 2013","FQ2 2013","Currency=USD","Period=FQ","BEST_FPERIOD_OVERRIDE=FQ","FILING_STATUS=MR","Sort=A","Dates=H","DateFormat=P","Fill=—","Direction=H","UseDPDF=Y")</f>
        <v>0.26350000000000001</v>
      </c>
      <c r="L21" s="19">
        <f>_xll.BDH("TSLA US Equity","CAP_EXPEND_RATIO","FQ3 2013","FQ3 2013","Currency=USD","Period=FQ","BEST_FPERIOD_OVERRIDE=FQ","FILING_STATUS=MR","Sort=A","Dates=H","DateFormat=P","Fill=—","Direction=H","UseDPDF=Y")</f>
        <v>1.3708</v>
      </c>
      <c r="M21" s="19">
        <f>_xll.BDH("TSLA US Equity","CAP_EXPEND_RATIO","FQ4 2013","FQ4 2013","Currency=USD","Period=FQ","BEST_FPERIOD_OVERRIDE=FQ","FILING_STATUS=MR","Sort=A","Dates=H","DateFormat=P","Fill=—","Direction=H","UseDPDF=Y")</f>
        <v>1.4982</v>
      </c>
      <c r="N21" s="19">
        <f>_xll.BDH("TSLA US Equity","CAP_EXPEND_RATIO","FQ1 2014","FQ1 2014","Currency=USD","Period=FQ","BEST_FPERIOD_OVERRIDE=FQ","FILING_STATUS=MR","Sort=A","Dates=H","DateFormat=P","Fill=—","Direction=H","UseDPDF=Y")</f>
        <v>0.42899999999999999</v>
      </c>
      <c r="O21" s="19">
        <f>_xll.BDH("TSLA US Equity","CAP_EXPEND_RATIO","FQ2 2014","FQ2 2014","Currency=USD","Period=FQ","BEST_FPERIOD_OVERRIDE=FQ","FILING_STATUS=MR","Sort=A","Dates=H","DateFormat=P","Fill=—","Direction=H","UseDPDF=Y")</f>
        <v>-2.0400000000000001E-2</v>
      </c>
      <c r="P21" s="19">
        <f>_xll.BDH("TSLA US Equity","CAP_EXPEND_RATIO","FQ3 2014","FQ3 2014","Currency=USD","Period=FQ","BEST_FPERIOD_OVERRIDE=FQ","FILING_STATUS=MR","Sort=A","Dates=H","DateFormat=P","Fill=—","Direction=H","UseDPDF=Y")</f>
        <v>-9.8500000000000004E-2</v>
      </c>
      <c r="Q21" s="19">
        <f>_xll.BDH("TSLA US Equity","CAP_EXPEND_RATIO","FQ4 2014","FQ4 2014","Currency=USD","Period=FQ","BEST_FPERIOD_OVERRIDE=FQ","FILING_STATUS=MR","Sort=A","Dates=H","DateFormat=P","Fill=—","Direction=H","UseDPDF=Y")</f>
        <v>-0.2344</v>
      </c>
      <c r="R21" s="19">
        <f>_xll.BDH("TSLA US Equity","CAP_EXPEND_RATIO","FQ1 2015","FQ1 2015","Currency=USD","Period=FQ","BEST_FPERIOD_OVERRIDE=FQ","FILING_STATUS=MR","Sort=A","Dates=H","DateFormat=P","Fill=—","Direction=H","UseDPDF=Y")</f>
        <v>-0.30930000000000002</v>
      </c>
      <c r="S21" s="19">
        <f>_xll.BDH("TSLA US Equity","CAP_EXPEND_RATIO","FQ2 2015","FQ2 2015","Currency=USD","Period=FQ","BEST_FPERIOD_OVERRIDE=FQ","FILING_STATUS=MR","Sort=A","Dates=H","DateFormat=P","Fill=—","Direction=H","UseDPDF=Y")</f>
        <v>-0.39369999999999999</v>
      </c>
      <c r="T21" s="19">
        <f>_xll.BDH("TSLA US Equity","CAP_EXPEND_RATIO","FQ3 2015","FQ3 2015","Currency=USD","Period=FQ","BEST_FPERIOD_OVERRIDE=FQ","FILING_STATUS=MR","Sort=A","Dates=H","DateFormat=P","Fill=—","Direction=H","UseDPDF=Y")</f>
        <v>-0.51819999999999999</v>
      </c>
      <c r="U21" s="19">
        <f>_xll.BDH("TSLA US Equity","CAP_EXPEND_RATIO","FQ4 2015","FQ4 2015","Currency=USD","Period=FQ","BEST_FPERIOD_OVERRIDE=FQ","FILING_STATUS=MR","Sort=A","Dates=H","DateFormat=P","Fill=—","Direction=H","UseDPDF=Y")</f>
        <v>-7.2599999999999998E-2</v>
      </c>
      <c r="V21" s="19">
        <f>_xll.BDH("TSLA US Equity","CAP_EXPEND_RATIO","FQ1 2016","FQ1 2016","Currency=USD","Period=FQ","BEST_FPERIOD_OVERRIDE=FQ","FILING_STATUS=MR","Sort=A","Dates=H","DateFormat=P","Fill=—","Direction=H","UseDPDF=Y")</f>
        <v>-1.151</v>
      </c>
      <c r="W21" s="19">
        <f>_xll.BDH("TSLA US Equity","CAP_EXPEND_RATIO","FQ2 2016","FQ2 2016","Currency=USD","Period=FQ","BEST_FPERIOD_OVERRIDE=FQ","FILING_STATUS=MR","Sort=A","Dates=H","DateFormat=P","Fill=—","Direction=H","UseDPDF=Y")</f>
        <v>0.5101</v>
      </c>
      <c r="X21" s="19">
        <f>_xll.BDH("TSLA US Equity","CAP_EXPEND_RATIO","FQ3 2016","FQ3 2016","Currency=USD","Period=FQ","BEST_FPERIOD_OVERRIDE=FQ","FILING_STATUS=MR","Sort=A","Dates=H","DateFormat=P","Fill=—","Direction=H","UseDPDF=Y")</f>
        <v>1.7109000000000001</v>
      </c>
      <c r="Y21" s="19">
        <f>_xll.BDH("TSLA US Equity","CAP_EXPEND_RATIO","FQ4 2016","FQ4 2016","Currency=USD","Period=FQ","BEST_FPERIOD_OVERRIDE=FQ","FILING_STATUS=MR","Sort=A","Dates=H","DateFormat=P","Fill=—","Direction=H","UseDPDF=Y")</f>
        <v>-0.85929999999999995</v>
      </c>
      <c r="Z21" s="19">
        <f>_xll.BDH("TSLA US Equity","CAP_EXPEND_RATIO","FQ1 2017","FQ1 2017","Currency=USD","Period=FQ","BEST_FPERIOD_OVERRIDE=FQ","FILING_STATUS=MR","Sort=A","Dates=H","DateFormat=P","Fill=—","Direction=H","UseDPDF=Y")</f>
        <v>-0.1263</v>
      </c>
      <c r="AA21" s="19">
        <f>_xll.BDH("TSLA US Equity","CAP_EXPEND_RATIO","FQ2 2017","FQ2 2017","Currency=USD","Period=FQ","BEST_FPERIOD_OVERRIDE=FQ","FILING_STATUS=MR","Sort=A","Dates=H","DateFormat=P","Fill=—","Direction=H","UseDPDF=Y")</f>
        <v>-0.2087</v>
      </c>
      <c r="AB21" s="19">
        <f>_xll.BDH("TSLA US Equity","CAP_EXPEND_RATIO","FQ3 2017","FQ3 2017","Currency=USD","Period=FQ","BEST_FPERIOD_OVERRIDE=FQ","FILING_STATUS=MR","Sort=A","Dates=H","DateFormat=P","Fill=—","Direction=H","UseDPDF=Y")</f>
        <v>-0.26919999999999999</v>
      </c>
      <c r="AC21" s="19">
        <f>_xll.BDH("TSLA US Equity","CAP_EXPEND_RATIO","FQ4 2017","FQ4 2017","Currency=USD","Period=FQ","BEST_FPERIOD_OVERRIDE=FQ","FILING_STATUS=MR","Sort=A","Dates=H","DateFormat=P","Fill=—","Direction=H","UseDPDF=Y")</f>
        <v>0.64810000000000001</v>
      </c>
      <c r="AD21" s="19">
        <f>_xll.BDH("TSLA US Equity","CAP_EXPEND_RATIO","FQ1 2018","FQ1 2018","Currency=USD","Period=FQ","BEST_FPERIOD_OVERRIDE=FQ","FILING_STATUS=MR","Sort=A","Dates=H","DateFormat=P","Fill=—","Direction=H","UseDPDF=Y")</f>
        <v>-0.60760000000000003</v>
      </c>
      <c r="AE21" s="19">
        <f>_xll.BDH("TSLA US Equity","CAP_EXPEND_RATIO","FQ2 2018","FQ2 2018","Currency=USD","Period=FQ","BEST_FPERIOD_OVERRIDE=FQ","FILING_STATUS=MR","Sort=A","Dates=H","DateFormat=P","Fill=—","Direction=H","UseDPDF=Y")</f>
        <v>-0.21260000000000001</v>
      </c>
      <c r="AF21" s="19">
        <f>_xll.BDH("TSLA US Equity","CAP_EXPEND_RATIO","FQ3 2018","FQ3 2018","Currency=USD","Period=FQ","BEST_FPERIOD_OVERRIDE=FQ","FILING_STATUS=MR","Sort=A","Dates=H","DateFormat=P","Fill=—","Direction=H","UseDPDF=Y")</f>
        <v>2.7265999999999999</v>
      </c>
      <c r="AG21" s="19">
        <f>_xll.BDH("TSLA US Equity","CAP_EXPEND_RATIO","FQ4 2018","FQ4 2018","Currency=USD","Period=FQ","BEST_FPERIOD_OVERRIDE=FQ","FILING_STATUS=MR","Sort=A","Dates=H","DateFormat=P","Fill=—","Direction=H","UseDPDF=Y")</f>
        <v>3.7989000000000002</v>
      </c>
      <c r="AH21" s="19">
        <f>_xll.BDH("TSLA US Equity","CAP_EXPEND_RATIO","FQ1 2019","FQ1 2019","Currency=USD","Period=FQ","BEST_FPERIOD_OVERRIDE=FQ","FILING_STATUS=MR","Sort=A","Dates=H","DateFormat=P","Fill=—","Direction=H","UseDPDF=Y")</f>
        <v>-2.2848999999999999</v>
      </c>
      <c r="AI21" s="19">
        <f>_xll.BDH("TSLA US Equity","CAP_EXPEND_RATIO","FQ2 2019","FQ2 2019","Currency=USD","Period=FQ","BEST_FPERIOD_OVERRIDE=FQ","FILING_STATUS=MR","Sort=A","Dates=H","DateFormat=P","Fill=—","Direction=H","UseDPDF=Y")</f>
        <v>3.4588999999999999</v>
      </c>
      <c r="AJ21" s="19">
        <f>_xll.BDH("TSLA US Equity","CAP_EXPEND_RATIO","FQ3 2019","FQ3 2019","Currency=USD","Period=FQ","BEST_FPERIOD_OVERRIDE=FQ","FILING_STATUS=MR","Sort=A","Dates=H","DateFormat=P","Fill=—","Direction=H","UseDPDF=Y")</f>
        <v>1.9616</v>
      </c>
      <c r="AK21" s="19">
        <f>_xll.BDH("TSLA US Equity","CAP_EXPEND_RATIO","FQ4 2019","FQ4 2019","Currency=USD","Period=FQ","BEST_FPERIOD_OVERRIDE=FQ","FILING_STATUS=MR","Sort=A","Dates=H","DateFormat=P","Fill=—","Direction=H","UseDPDF=Y")</f>
        <v>3.4586999999999999</v>
      </c>
      <c r="AL21" s="19">
        <f>_xll.BDH("TSLA US Equity","CAP_EXPEND_RATIO","FQ1 2020","FQ1 2020","Currency=USD","Period=FQ","BEST_FPERIOD_OVERRIDE=FQ","FILING_STATUS=MR","Sort=A","Dates=H","DateFormat=P","Fill=—","Direction=H","UseDPDF=Y")</f>
        <v>-0.96699999999999997</v>
      </c>
      <c r="AM21" s="19">
        <f>_xll.BDH("TSLA US Equity","CAP_EXPEND_RATIO","FQ2 2020","FQ2 2020","Currency=USD","Period=FQ","BEST_FPERIOD_OVERRIDE=FQ","FILING_STATUS=MR","Sort=A","Dates=H","DateFormat=P","Fill=—","Direction=H","UseDPDF=Y")</f>
        <v>1.7656000000000001</v>
      </c>
      <c r="AN21" s="19">
        <f>_xll.BDH("TSLA US Equity","CAP_EXPEND_RATIO","FQ3 2020","FQ3 2020","Currency=USD","Period=FQ","BEST_FPERIOD_OVERRIDE=FQ","FILING_STATUS=MR","Sort=A","Dates=H","DateFormat=P","Fill=—","Direction=H","UseDPDF=Y")</f>
        <v>2.3881000000000001</v>
      </c>
      <c r="AO21" s="19">
        <f>_xll.BDH("TSLA US Equity","CAP_EXPEND_RATIO","FQ4 2020","FQ4 2020","Currency=USD","Period=FQ","BEST_FPERIOD_OVERRIDE=FQ","FILING_STATUS=MR","Sort=A","Dates=H","DateFormat=P","Fill=—","Direction=H","UseDPDF=Y")</f>
        <v>2.6229</v>
      </c>
      <c r="AP21" s="19">
        <f>_xll.BDH("TSLA US Equity","CAP_EXPEND_RATIO","FQ1 2021","FQ1 2021","Currency=USD","Period=FQ","BEST_FPERIOD_OVERRIDE=FQ","FILING_STATUS=MR","Sort=A","Dates=H","DateFormat=P","Fill=—","Direction=H","UseDPDF=Y")</f>
        <v>1.2174</v>
      </c>
    </row>
    <row r="22" spans="1:42" x14ac:dyDescent="0.25">
      <c r="A22" s="5" t="s">
        <v>134</v>
      </c>
      <c r="B22" s="5" t="s">
        <v>133</v>
      </c>
      <c r="C22" s="19">
        <f>_xll.BDH("TSLA US Equity","ALTMAN_Z_SCORE","FQ2 2011","FQ2 2011","Currency=USD","Period=FQ","BEST_FPERIOD_OVERRIDE=FQ","FILING_STATUS=MR","Sort=A","Dates=H","DateFormat=P","Fill=—","Direction=H","UseDPDF=Y")</f>
        <v>4.6947999999999999</v>
      </c>
      <c r="D22" s="19">
        <f>_xll.BDH("TSLA US Equity","ALTMAN_Z_SCORE","FQ3 2011","FQ3 2011","Currency=USD","Period=FQ","BEST_FPERIOD_OVERRIDE=FQ","FILING_STATUS=MR","Sort=A","Dates=H","DateFormat=P","Fill=—","Direction=H","UseDPDF=Y")</f>
        <v>2.2547999999999999</v>
      </c>
      <c r="E22" s="19">
        <f>_xll.BDH("TSLA US Equity","ALTMAN_Z_SCORE","FQ4 2011","FQ4 2011","Currency=USD","Period=FQ","BEST_FPERIOD_OVERRIDE=FQ","FILING_STATUS=MR","Sort=A","Dates=H","DateFormat=P","Fill=—","Direction=H","UseDPDF=Y")</f>
        <v>1.7667000000000002</v>
      </c>
      <c r="F22" s="19">
        <f>_xll.BDH("TSLA US Equity","ALTMAN_Z_SCORE","FQ1 2012","FQ1 2012","Currency=USD","Period=FQ","BEST_FPERIOD_OVERRIDE=FQ","FILING_STATUS=MR","Sort=A","Dates=H","DateFormat=P","Fill=—","Direction=H","UseDPDF=Y")</f>
        <v>1.6202999999999999</v>
      </c>
      <c r="G22" s="19">
        <f>_xll.BDH("TSLA US Equity","ALTMAN_Z_SCORE","FQ2 2012","FQ2 2012","Currency=USD","Period=FQ","BEST_FPERIOD_OVERRIDE=FQ","FILING_STATUS=MR","Sort=A","Dates=H","DateFormat=P","Fill=—","Direction=H","UseDPDF=Y")</f>
        <v>5.0000000000000001E-3</v>
      </c>
      <c r="H22" s="19">
        <f>_xll.BDH("TSLA US Equity","ALTMAN_Z_SCORE","FQ3 2012","FQ3 2012","Currency=USD","Period=FQ","BEST_FPERIOD_OVERRIDE=FQ","FILING_STATUS=MR","Sort=A","Dates=H","DateFormat=P","Fill=—","Direction=H","UseDPDF=Y")</f>
        <v>-0.85970000000000002</v>
      </c>
      <c r="I22" s="19">
        <f>_xll.BDH("TSLA US Equity","ALTMAN_Z_SCORE","FQ4 2012","FQ4 2012","Currency=USD","Period=FQ","BEST_FPERIOD_OVERRIDE=FQ","FILING_STATUS=MR","Sort=A","Dates=H","DateFormat=P","Fill=—","Direction=H","UseDPDF=Y")</f>
        <v>0.1855</v>
      </c>
      <c r="J22" s="19">
        <f>_xll.BDH("TSLA US Equity","ALTMAN_Z_SCORE","FQ1 2013","FQ1 2013","Currency=USD","Period=FQ","BEST_FPERIOD_OVERRIDE=FQ","FILING_STATUS=MR","Sort=A","Dates=H","DateFormat=P","Fill=—","Direction=H","UseDPDF=Y")</f>
        <v>1.2974999999999999</v>
      </c>
      <c r="K22" s="19" t="str">
        <f>_xll.BDH("TSLA US Equity","ALTMAN_Z_SCORE","FQ2 2013","FQ2 2013","Currency=USD","Period=FQ","BEST_FPERIOD_OVERRIDE=FQ","FILING_STATUS=MR","Sort=A","Dates=H","DateFormat=P","Fill=—","Direction=H","UseDPDF=Y")</f>
        <v>#N/A Requesting Data...</v>
      </c>
      <c r="L22" s="19">
        <f>_xll.BDH("TSLA US Equity","ALTMAN_Z_SCORE","FQ3 2013","FQ3 2013","Currency=USD","Period=FQ","BEST_FPERIOD_OVERRIDE=FQ","FILING_STATUS=MR","Sort=A","Dates=H","DateFormat=P","Fill=—","Direction=H","UseDPDF=Y")</f>
        <v>9.1194000000000006</v>
      </c>
      <c r="M22" s="19">
        <f>_xll.BDH("TSLA US Equity","ALTMAN_Z_SCORE","FQ4 2013","FQ4 2013","Currency=USD","Period=FQ","BEST_FPERIOD_OVERRIDE=FQ","FILING_STATUS=MR","Sort=A","Dates=H","DateFormat=P","Fill=—","Direction=H","UseDPDF=Y")</f>
        <v>6.7061999999999999</v>
      </c>
      <c r="N22" s="19">
        <f>_xll.BDH("TSLA US Equity","ALTMAN_Z_SCORE","FQ1 2014","FQ1 2014","Currency=USD","Period=FQ","BEST_FPERIOD_OVERRIDE=FQ","FILING_STATUS=MR","Sort=A","Dates=H","DateFormat=P","Fill=—","Direction=H","UseDPDF=Y")</f>
        <v>4.8612000000000002</v>
      </c>
      <c r="O22" s="19">
        <f>_xll.BDH("TSLA US Equity","ALTMAN_Z_SCORE","FQ2 2014","FQ2 2014","Currency=USD","Period=FQ","BEST_FPERIOD_OVERRIDE=FQ","FILING_STATUS=MR","Sort=A","Dates=H","DateFormat=P","Fill=—","Direction=H","UseDPDF=Y")</f>
        <v>4.8593999999999999</v>
      </c>
      <c r="P22" s="19">
        <f>_xll.BDH("TSLA US Equity","ALTMAN_Z_SCORE","FQ3 2014","FQ3 2014","Currency=USD","Period=FQ","BEST_FPERIOD_OVERRIDE=FQ","FILING_STATUS=MR","Sort=A","Dates=H","DateFormat=P","Fill=—","Direction=H","UseDPDF=Y")</f>
        <v>4.5524000000000004</v>
      </c>
      <c r="Q22" s="19">
        <f>_xll.BDH("TSLA US Equity","ALTMAN_Z_SCORE","FQ4 2014","FQ4 2014","Currency=USD","Period=FQ","BEST_FPERIOD_OVERRIDE=FQ","FILING_STATUS=MR","Sort=A","Dates=H","DateFormat=P","Fill=—","Direction=H","UseDPDF=Y")</f>
        <v>3.7090000000000001</v>
      </c>
      <c r="R22" s="19">
        <f>_xll.BDH("TSLA US Equity","ALTMAN_Z_SCORE","FQ1 2015","FQ1 2015","Currency=USD","Period=FQ","BEST_FPERIOD_OVERRIDE=FQ","FILING_STATUS=MR","Sort=A","Dates=H","DateFormat=P","Fill=—","Direction=H","UseDPDF=Y")</f>
        <v>2.9407999999999999</v>
      </c>
      <c r="S22" s="19">
        <f>_xll.BDH("TSLA US Equity","ALTMAN_Z_SCORE","FQ2 2015","FQ2 2015","Currency=USD","Period=FQ","BEST_FPERIOD_OVERRIDE=FQ","FILING_STATUS=MR","Sort=A","Dates=H","DateFormat=P","Fill=—","Direction=H","UseDPDF=Y")</f>
        <v>3.5739999999999998</v>
      </c>
      <c r="T22" s="19">
        <f>_xll.BDH("TSLA US Equity","ALTMAN_Z_SCORE","FQ3 2015","FQ3 2015","Currency=USD","Period=FQ","BEST_FPERIOD_OVERRIDE=FQ","FILING_STATUS=MR","Sort=A","Dates=H","DateFormat=P","Fill=—","Direction=H","UseDPDF=Y")</f>
        <v>3.1067</v>
      </c>
      <c r="U22" s="19">
        <f>_xll.BDH("TSLA US Equity","ALTMAN_Z_SCORE","FQ4 2015","FQ4 2015","Currency=USD","Period=FQ","BEST_FPERIOD_OVERRIDE=FQ","FILING_STATUS=MR","Sort=A","Dates=H","DateFormat=P","Fill=—","Direction=H","UseDPDF=Y")</f>
        <v>2.5192000000000001</v>
      </c>
      <c r="V22" s="19">
        <f>_xll.BDH("TSLA US Equity","ALTMAN_Z_SCORE","FQ1 2016","FQ1 2016","Currency=USD","Period=FQ","BEST_FPERIOD_OVERRIDE=FQ","FILING_STATUS=MR","Sort=A","Dates=H","DateFormat=P","Fill=—","Direction=H","UseDPDF=Y")</f>
        <v>1.9717</v>
      </c>
      <c r="W22" s="19">
        <f>_xll.BDH("TSLA US Equity","ALTMAN_Z_SCORE","FQ2 2016","FQ2 2016","Currency=USD","Period=FQ","BEST_FPERIOD_OVERRIDE=FQ","FILING_STATUS=MR","Sort=A","Dates=H","DateFormat=P","Fill=—","Direction=H","UseDPDF=Y")</f>
        <v>1.9441999999999999</v>
      </c>
      <c r="X22" s="19">
        <f>_xll.BDH("TSLA US Equity","ALTMAN_Z_SCORE","FQ3 2016","FQ3 2016","Currency=USD","Period=FQ","BEST_FPERIOD_OVERRIDE=FQ","FILING_STATUS=MR","Sort=A","Dates=H","DateFormat=P","Fill=—","Direction=H","UseDPDF=Y")</f>
        <v>1.9203999999999999</v>
      </c>
      <c r="Y22" s="19">
        <f>_xll.BDH("TSLA US Equity","ALTMAN_Z_SCORE","FQ4 2016","FQ4 2016","Currency=USD","Period=FQ","BEST_FPERIOD_OVERRIDE=FQ","FILING_STATUS=MR","Sort=A","Dates=H","DateFormat=P","Fill=—","Direction=H","UseDPDF=Y")</f>
        <v>1.2833999999999999</v>
      </c>
      <c r="Z22" s="19">
        <f>_xll.BDH("TSLA US Equity","ALTMAN_Z_SCORE","FQ1 2017","FQ1 2017","Currency=USD","Period=FQ","BEST_FPERIOD_OVERRIDE=FQ","FILING_STATUS=MR","Sort=A","Dates=H","DateFormat=P","Fill=—","Direction=H","UseDPDF=Y")</f>
        <v>1.5466</v>
      </c>
      <c r="AA22" s="19">
        <f>_xll.BDH("TSLA US Equity","ALTMAN_Z_SCORE","FQ2 2017","FQ2 2017","Currency=USD","Period=FQ","BEST_FPERIOD_OVERRIDE=FQ","FILING_STATUS=MR","Sort=A","Dates=H","DateFormat=P","Fill=—","Direction=H","UseDPDF=Y")</f>
        <v>1.9271</v>
      </c>
      <c r="AB22" s="19">
        <f>_xll.BDH("TSLA US Equity","ALTMAN_Z_SCORE","FQ3 2017","FQ3 2017","Currency=USD","Period=FQ","BEST_FPERIOD_OVERRIDE=FQ","FILING_STATUS=MR","Sort=A","Dates=H","DateFormat=P","Fill=—","Direction=H","UseDPDF=Y")</f>
        <v>1.5996000000000001</v>
      </c>
      <c r="AC22" s="19">
        <f>_xll.BDH("TSLA US Equity","ALTMAN_Z_SCORE","FQ4 2017","FQ4 2017","Currency=USD","Period=FQ","BEST_FPERIOD_OVERRIDE=FQ","FILING_STATUS=MR","Sort=A","Dates=H","DateFormat=P","Fill=—","Direction=H","UseDPDF=Y")</f>
        <v>1.2958000000000001</v>
      </c>
      <c r="AD22" s="19">
        <f>_xll.BDH("TSLA US Equity","ALTMAN_Z_SCORE","FQ1 2018","FQ1 2018","Currency=USD","Period=FQ","BEST_FPERIOD_OVERRIDE=FQ","FILING_STATUS=MR","Sort=A","Dates=H","DateFormat=P","Fill=—","Direction=H","UseDPDF=Y")</f>
        <v>1.1091</v>
      </c>
      <c r="AE22" s="19">
        <f>_xll.BDH("TSLA US Equity","ALTMAN_Z_SCORE","FQ2 2018","FQ2 2018","Currency=USD","Period=FQ","BEST_FPERIOD_OVERRIDE=FQ","FILING_STATUS=MR","Sort=A","Dates=H","DateFormat=P","Fill=—","Direction=H","UseDPDF=Y")</f>
        <v>1.3585</v>
      </c>
      <c r="AF22" s="19">
        <f>_xll.BDH("TSLA US Equity","ALTMAN_Z_SCORE","FQ3 2018","FQ3 2018","Currency=USD","Period=FQ","BEST_FPERIOD_OVERRIDE=FQ","FILING_STATUS=MR","Sort=A","Dates=H","DateFormat=P","Fill=—","Direction=H","UseDPDF=Y")</f>
        <v>1.2627999999999999</v>
      </c>
      <c r="AG22" s="19">
        <f>_xll.BDH("TSLA US Equity","ALTMAN_Z_SCORE","FQ4 2018","FQ4 2018","Currency=USD","Period=FQ","BEST_FPERIOD_OVERRIDE=FQ","FILING_STATUS=MR","Sort=A","Dates=H","DateFormat=P","Fill=—","Direction=H","UseDPDF=Y")</f>
        <v>1.8283</v>
      </c>
      <c r="AH22" s="19">
        <f>_xll.BDH("TSLA US Equity","ALTMAN_Z_SCORE","FQ1 2019","FQ1 2019","Currency=USD","Period=FQ","BEST_FPERIOD_OVERRIDE=FQ","FILING_STATUS=MR","Sort=A","Dates=H","DateFormat=P","Fill=—","Direction=H","UseDPDF=Y")</f>
        <v>1.6667000000000001</v>
      </c>
      <c r="AI22" s="19">
        <f>_xll.BDH("TSLA US Equity","ALTMAN_Z_SCORE","FQ2 2019","FQ2 2019","Currency=USD","Period=FQ","BEST_FPERIOD_OVERRIDE=FQ","FILING_STATUS=MR","Sort=A","Dates=H","DateFormat=P","Fill=—","Direction=H","UseDPDF=Y")</f>
        <v>1.5156000000000001</v>
      </c>
      <c r="AJ22" s="19">
        <f>_xll.BDH("TSLA US Equity","ALTMAN_Z_SCORE","FQ3 2019","FQ3 2019","Currency=USD","Period=FQ","BEST_FPERIOD_OVERRIDE=FQ","FILING_STATUS=MR","Sort=A","Dates=H","DateFormat=P","Fill=—","Direction=H","UseDPDF=Y")</f>
        <v>1.5392000000000001</v>
      </c>
      <c r="AK22" s="19">
        <f>_xll.BDH("TSLA US Equity","ALTMAN_Z_SCORE","FQ4 2019","FQ4 2019","Currency=USD","Period=FQ","BEST_FPERIOD_OVERRIDE=FQ","FILING_STATUS=MR","Sort=A","Dates=H","DateFormat=P","Fill=—","Direction=H","UseDPDF=Y")</f>
        <v>2.2467000000000001</v>
      </c>
      <c r="AL22" s="19">
        <f>_xll.BDH("TSLA US Equity","ALTMAN_Z_SCORE","FQ1 2020","FQ1 2020","Currency=USD","Period=FQ","BEST_FPERIOD_OVERRIDE=FQ","FILING_STATUS=MR","Sort=A","Dates=H","DateFormat=P","Fill=—","Direction=H","UseDPDF=Y")</f>
        <v>2.8195999999999999</v>
      </c>
      <c r="AM22" s="19">
        <f>_xll.BDH("TSLA US Equity","ALTMAN_Z_SCORE","FQ2 2020","FQ2 2020","Currency=USD","Period=FQ","BEST_FPERIOD_OVERRIDE=FQ","FILING_STATUS=MR","Sort=A","Dates=H","DateFormat=P","Fill=—","Direction=H","UseDPDF=Y")</f>
        <v>5.1581000000000001</v>
      </c>
      <c r="AN22" s="19">
        <f>_xll.BDH("TSLA US Equity","ALTMAN_Z_SCORE","FQ3 2020","FQ3 2020","Currency=USD","Period=FQ","BEST_FPERIOD_OVERRIDE=FQ","FILING_STATUS=MR","Sort=A","Dates=H","DateFormat=P","Fill=—","Direction=H","UseDPDF=Y")</f>
        <v>9.3248999999999995</v>
      </c>
      <c r="AO22" s="19">
        <f>_xll.BDH("TSLA US Equity","ALTMAN_Z_SCORE","FQ4 2020","FQ4 2020","Currency=USD","Period=FQ","BEST_FPERIOD_OVERRIDE=FQ","FILING_STATUS=MR","Sort=A","Dates=H","DateFormat=P","Fill=—","Direction=H","UseDPDF=Y")</f>
        <v>15.0045</v>
      </c>
      <c r="AP22" s="19">
        <f>_xll.BDH("TSLA US Equity","ALTMAN_Z_SCORE","FQ1 2021","FQ1 2021","Currency=USD","Period=FQ","BEST_FPERIOD_OVERRIDE=FQ","FILING_STATUS=MR","Sort=A","Dates=H","DateFormat=P","Fill=—","Direction=H","UseDPDF=Y")</f>
        <v>14.446</v>
      </c>
    </row>
    <row r="23" spans="1:42" x14ac:dyDescent="0.25">
      <c r="A23" s="5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spans="1:42" x14ac:dyDescent="0.25">
      <c r="A24" s="5" t="s">
        <v>132</v>
      </c>
      <c r="B24" s="5" t="s">
        <v>131</v>
      </c>
      <c r="C24" s="6" t="str">
        <f>_xll.BDH("TSLA US Equity","BS_TOTAL_LINE_OF_CREDIT","FQ2 2011","FQ2 2011","Currency=USD","Period=FQ","BEST_FPERIOD_OVERRIDE=FQ","FILING_STATUS=MR","SCALING_FORMAT=MLN","Sort=A","Dates=H","DateFormat=P","Fill=—","Direction=H","UseDPDF=Y")</f>
        <v>—</v>
      </c>
      <c r="D24" s="6" t="str">
        <f>_xll.BDH("TSLA US Equity","BS_TOTAL_LINE_OF_CREDIT","FQ3 2011","FQ3 2011","Currency=USD","Period=FQ","BEST_FPERIOD_OVERRIDE=FQ","FILING_STATUS=MR","SCALING_FORMAT=MLN","Sort=A","Dates=H","DateFormat=P","Fill=—","Direction=H","UseDPDF=Y")</f>
        <v>—</v>
      </c>
      <c r="E24" s="6" t="str">
        <f>_xll.BDH("TSLA US Equity","BS_TOTAL_LINE_OF_CREDIT","FQ4 2011","FQ4 2011","Currency=USD","Period=FQ","BEST_FPERIOD_OVERRIDE=FQ","FILING_STATUS=MR","SCALING_FORMAT=MLN","Sort=A","Dates=H","DateFormat=P","Fill=—","Direction=H","UseDPDF=Y")</f>
        <v>—</v>
      </c>
      <c r="F24" s="6" t="str">
        <f>_xll.BDH("TSLA US Equity","BS_TOTAL_LINE_OF_CREDIT","FQ1 2012","FQ1 2012","Currency=USD","Period=FQ","BEST_FPERIOD_OVERRIDE=FQ","FILING_STATUS=MR","SCALING_FORMAT=MLN","Sort=A","Dates=H","DateFormat=P","Fill=—","Direction=H","UseDPDF=Y")</f>
        <v>—</v>
      </c>
      <c r="G24" s="6" t="str">
        <f>_xll.BDH("TSLA US Equity","BS_TOTAL_LINE_OF_CREDIT","FQ2 2012","FQ2 2012","Currency=USD","Period=FQ","BEST_FPERIOD_OVERRIDE=FQ","FILING_STATUS=MR","SCALING_FORMAT=MLN","Sort=A","Dates=H","DateFormat=P","Fill=—","Direction=H","UseDPDF=Y")</f>
        <v>—</v>
      </c>
      <c r="H24" s="6" t="str">
        <f>_xll.BDH("TSLA US Equity","BS_TOTAL_LINE_OF_CREDIT","FQ3 2012","FQ3 2012","Currency=USD","Period=FQ","BEST_FPERIOD_OVERRIDE=FQ","FILING_STATUS=MR","SCALING_FORMAT=MLN","Sort=A","Dates=H","DateFormat=P","Fill=—","Direction=H","UseDPDF=Y")</f>
        <v>—</v>
      </c>
      <c r="I24" s="6" t="str">
        <f>_xll.BDH("TSLA US Equity","BS_TOTAL_LINE_OF_CREDIT","FQ4 2012","FQ4 2012","Currency=USD","Period=FQ","BEST_FPERIOD_OVERRIDE=FQ","FILING_STATUS=MR","SCALING_FORMAT=MLN","Sort=A","Dates=H","DateFormat=P","Fill=—","Direction=H","UseDPDF=Y")</f>
        <v>—</v>
      </c>
      <c r="J24" s="6" t="str">
        <f>_xll.BDH("TSLA US Equity","BS_TOTAL_LINE_OF_CREDIT","FQ1 2013","FQ1 2013","Currency=USD","Period=FQ","BEST_FPERIOD_OVERRIDE=FQ","FILING_STATUS=MR","SCALING_FORMAT=MLN","Sort=A","Dates=H","DateFormat=P","Fill=—","Direction=H","UseDPDF=Y")</f>
        <v>—</v>
      </c>
      <c r="K24" s="6" t="str">
        <f>_xll.BDH("TSLA US Equity","BS_TOTAL_LINE_OF_CREDIT","FQ2 2013","FQ2 2013","Currency=USD","Period=FQ","BEST_FPERIOD_OVERRIDE=FQ","FILING_STATUS=MR","SCALING_FORMAT=MLN","Sort=A","Dates=H","DateFormat=P","Fill=—","Direction=H","UseDPDF=Y")</f>
        <v>—</v>
      </c>
      <c r="L24" s="6" t="str">
        <f>_xll.BDH("TSLA US Equity","BS_TOTAL_LINE_OF_CREDIT","FQ3 2013","FQ3 2013","Currency=USD","Period=FQ","BEST_FPERIOD_OVERRIDE=FQ","FILING_STATUS=MR","SCALING_FORMAT=MLN","Sort=A","Dates=H","DateFormat=P","Fill=—","Direction=H","UseDPDF=Y")</f>
        <v>—</v>
      </c>
      <c r="M24" s="6" t="str">
        <f>_xll.BDH("TSLA US Equity","BS_TOTAL_LINE_OF_CREDIT","FQ4 2013","FQ4 2013","Currency=USD","Period=FQ","BEST_FPERIOD_OVERRIDE=FQ","FILING_STATUS=MR","SCALING_FORMAT=MLN","Sort=A","Dates=H","DateFormat=P","Fill=—","Direction=H","UseDPDF=Y")</f>
        <v>—</v>
      </c>
      <c r="N24" s="6" t="str">
        <f>_xll.BDH("TSLA US Equity","BS_TOTAL_LINE_OF_CREDIT","FQ1 2014","FQ1 2014","Currency=USD","Period=FQ","BEST_FPERIOD_OVERRIDE=FQ","FILING_STATUS=MR","SCALING_FORMAT=MLN","Sort=A","Dates=H","DateFormat=P","Fill=—","Direction=H","UseDPDF=Y")</f>
        <v>—</v>
      </c>
      <c r="O24" s="6" t="str">
        <f>_xll.BDH("TSLA US Equity","BS_TOTAL_LINE_OF_CREDIT","FQ2 2014","FQ2 2014","Currency=USD","Period=FQ","BEST_FPERIOD_OVERRIDE=FQ","FILING_STATUS=MR","SCALING_FORMAT=MLN","Sort=A","Dates=H","DateFormat=P","Fill=—","Direction=H","UseDPDF=Y")</f>
        <v>—</v>
      </c>
      <c r="P24" s="6" t="str">
        <f>_xll.BDH("TSLA US Equity","BS_TOTAL_LINE_OF_CREDIT","FQ3 2014","FQ3 2014","Currency=USD","Period=FQ","BEST_FPERIOD_OVERRIDE=FQ","FILING_STATUS=MR","SCALING_FORMAT=MLN","Sort=A","Dates=H","DateFormat=P","Fill=—","Direction=H","UseDPDF=Y")</f>
        <v>—</v>
      </c>
      <c r="Q24" s="6" t="str">
        <f>_xll.BDH("TSLA US Equity","BS_TOTAL_LINE_OF_CREDIT","FQ4 2014","FQ4 2014","Currency=USD","Period=FQ","BEST_FPERIOD_OVERRIDE=FQ","FILING_STATUS=MR","SCALING_FORMAT=MLN","Sort=A","Dates=H","DateFormat=P","Fill=—","Direction=H","UseDPDF=Y")</f>
        <v>—</v>
      </c>
      <c r="R24" s="6" t="str">
        <f>_xll.BDH("TSLA US Equity","BS_TOTAL_LINE_OF_CREDIT","FQ1 2015","FQ1 2015","Currency=USD","Period=FQ","BEST_FPERIOD_OVERRIDE=FQ","FILING_STATUS=MR","SCALING_FORMAT=MLN","Sort=A","Dates=H","DateFormat=P","Fill=—","Direction=H","UseDPDF=Y")</f>
        <v>—</v>
      </c>
      <c r="S24" s="6">
        <f>_xll.BDH("TSLA US Equity","BS_TOTAL_LINE_OF_CREDIT","FQ2 2015","FQ2 2015","Currency=USD","Period=FQ","BEST_FPERIOD_OVERRIDE=FQ","FILING_STATUS=MR","SCALING_FORMAT=MLN","Sort=A","Dates=H","DateFormat=P","Fill=—","Direction=H","UseDPDF=Y")</f>
        <v>500</v>
      </c>
      <c r="T24" s="6">
        <f>_xll.BDH("TSLA US Equity","BS_TOTAL_LINE_OF_CREDIT","FQ3 2015","FQ3 2015","Currency=USD","Period=FQ","BEST_FPERIOD_OVERRIDE=FQ","FILING_STATUS=MR","SCALING_FORMAT=MLN","Sort=A","Dates=H","DateFormat=P","Fill=—","Direction=H","UseDPDF=Y")</f>
        <v>750</v>
      </c>
      <c r="U24" s="6">
        <f>_xll.BDH("TSLA US Equity","BS_TOTAL_LINE_OF_CREDIT","FQ4 2015","FQ4 2015","Currency=USD","Period=FQ","BEST_FPERIOD_OVERRIDE=FQ","FILING_STATUS=MR","SCALING_FORMAT=MLN","Sort=A","Dates=H","DateFormat=P","Fill=—","Direction=H","UseDPDF=Y")</f>
        <v>750</v>
      </c>
      <c r="V24" s="6">
        <f>_xll.BDH("TSLA US Equity","BS_TOTAL_LINE_OF_CREDIT","FQ1 2016","FQ1 2016","Currency=USD","Period=FQ","BEST_FPERIOD_OVERRIDE=FQ","FILING_STATUS=MR","SCALING_FORMAT=MLN","Sort=A","Dates=H","DateFormat=P","Fill=—","Direction=H","UseDPDF=Y")</f>
        <v>1000</v>
      </c>
      <c r="W24" s="6">
        <f>_xll.BDH("TSLA US Equity","BS_TOTAL_LINE_OF_CREDIT","FQ2 2016","FQ2 2016","Currency=USD","Period=FQ","BEST_FPERIOD_OVERRIDE=FQ","FILING_STATUS=MR","SCALING_FORMAT=MLN","Sort=A","Dates=H","DateFormat=P","Fill=—","Direction=H","UseDPDF=Y")</f>
        <v>1000</v>
      </c>
      <c r="X24" s="6">
        <f>_xll.BDH("TSLA US Equity","BS_TOTAL_LINE_OF_CREDIT","FQ3 2016","FQ3 2016","Currency=USD","Period=FQ","BEST_FPERIOD_OVERRIDE=FQ","FILING_STATUS=MR","SCALING_FORMAT=MLN","Sort=A","Dates=H","DateFormat=P","Fill=—","Direction=H","UseDPDF=Y")</f>
        <v>1300</v>
      </c>
      <c r="Y24" s="6">
        <f>_xll.BDH("TSLA US Equity","BS_TOTAL_LINE_OF_CREDIT","FQ4 2016","FQ4 2016","Currency=USD","Period=FQ","BEST_FPERIOD_OVERRIDE=FQ","FILING_STATUS=MR","SCALING_FORMAT=MLN","Sort=A","Dates=H","DateFormat=P","Fill=—","Direction=H","UseDPDF=Y")</f>
        <v>1200</v>
      </c>
      <c r="Z24" s="6">
        <f>_xll.BDH("TSLA US Equity","BS_TOTAL_LINE_OF_CREDIT","FQ1 2017","FQ1 2017","Currency=USD","Period=FQ","BEST_FPERIOD_OVERRIDE=FQ","FILING_STATUS=MR","SCALING_FORMAT=MLN","Sort=A","Dates=H","DateFormat=P","Fill=—","Direction=H","UseDPDF=Y")</f>
        <v>2193.5</v>
      </c>
      <c r="AA24" s="6">
        <f>_xll.BDH("TSLA US Equity","BS_TOTAL_LINE_OF_CREDIT","FQ2 2017","FQ2 2017","Currency=USD","Period=FQ","BEST_FPERIOD_OVERRIDE=FQ","FILING_STATUS=MR","SCALING_FORMAT=MLN","Sort=A","Dates=H","DateFormat=P","Fill=—","Direction=H","UseDPDF=Y")</f>
        <v>3123.5</v>
      </c>
      <c r="AB24" s="6">
        <f>_xll.BDH("TSLA US Equity","BS_TOTAL_LINE_OF_CREDIT","FQ3 2017","FQ3 2017","Currency=USD","Period=FQ","BEST_FPERIOD_OVERRIDE=FQ","FILING_STATUS=MR","SCALING_FORMAT=MLN","Sort=A","Dates=H","DateFormat=P","Fill=—","Direction=H","UseDPDF=Y")</f>
        <v>2301.3290000000002</v>
      </c>
      <c r="AC24" s="6">
        <f>_xll.BDH("TSLA US Equity","BS_TOTAL_LINE_OF_CREDIT","FQ4 2017","FQ4 2017","Currency=USD","Period=FQ","BEST_FPERIOD_OVERRIDE=FQ","FILING_STATUS=MR","SCALING_FORMAT=MLN","Sort=A","Dates=H","DateFormat=P","Fill=—","Direction=H","UseDPDF=Y")</f>
        <v>2031.3150000000001</v>
      </c>
      <c r="AD24" s="6">
        <f>_xll.BDH("TSLA US Equity","BS_TOTAL_LINE_OF_CREDIT","FQ1 2018","FQ1 2018","Currency=USD","Period=FQ","BEST_FPERIOD_OVERRIDE=FQ","FILING_STATUS=MR","SCALING_FORMAT=MLN","Sort=A","Dates=H","DateFormat=P","Fill=—","Direction=H","UseDPDF=Y")</f>
        <v>1885.6880000000001</v>
      </c>
      <c r="AE24" s="6">
        <f>_xll.BDH("TSLA US Equity","BS_TOTAL_LINE_OF_CREDIT","FQ2 2018","FQ2 2018","Currency=USD","Period=FQ","BEST_FPERIOD_OVERRIDE=FQ","FILING_STATUS=MR","SCALING_FORMAT=MLN","Sort=A","Dates=H","DateFormat=P","Fill=—","Direction=H","UseDPDF=Y")</f>
        <v>2375.2979999999998</v>
      </c>
      <c r="AF24" s="6">
        <f>_xll.BDH("TSLA US Equity","BS_TOTAL_LINE_OF_CREDIT","FQ3 2018","FQ3 2018","Currency=USD","Period=FQ","BEST_FPERIOD_OVERRIDE=FQ","FILING_STATUS=MR","SCALING_FORMAT=MLN","Sort=A","Dates=H","DateFormat=P","Fill=—","Direction=H","UseDPDF=Y")</f>
        <v>2521.7719999999999</v>
      </c>
      <c r="AG24" s="6">
        <f>_xll.BDH("TSLA US Equity","BS_TOTAL_LINE_OF_CREDIT","FQ4 2018","FQ4 2018","Currency=USD","Period=FQ","BEST_FPERIOD_OVERRIDE=FQ","FILING_STATUS=MR","SCALING_FORMAT=MLN","Sort=A","Dates=H","DateFormat=P","Fill=—","Direction=H","UseDPDF=Y")</f>
        <v>1705.22</v>
      </c>
      <c r="AH24" s="6">
        <f>_xll.BDH("TSLA US Equity","BS_TOTAL_LINE_OF_CREDIT","FQ1 2019","FQ1 2019","Currency=USD","Period=FQ","BEST_FPERIOD_OVERRIDE=FQ","FILING_STATUS=MR","SCALING_FORMAT=MLN","Sort=A","Dates=H","DateFormat=P","Fill=—","Direction=H","UseDPDF=Y")</f>
        <v>2095.1370000000002</v>
      </c>
      <c r="AI24" s="6">
        <f>_xll.BDH("TSLA US Equity","BS_TOTAL_LINE_OF_CREDIT","FQ2 2019","FQ2 2019","Currency=USD","Period=FQ","BEST_FPERIOD_OVERRIDE=FQ","FILING_STATUS=MR","SCALING_FORMAT=MLN","Sort=A","Dates=H","DateFormat=P","Fill=—","Direction=H","UseDPDF=Y")</f>
        <v>2118.2890000000002</v>
      </c>
      <c r="AJ24" s="6">
        <f>_xll.BDH("TSLA US Equity","BS_TOTAL_LINE_OF_CREDIT","FQ3 2019","FQ3 2019","Currency=USD","Period=FQ","BEST_FPERIOD_OVERRIDE=FQ","FILING_STATUS=MR","SCALING_FORMAT=MLN","Sort=A","Dates=H","DateFormat=P","Fill=—","Direction=H","UseDPDF=Y")</f>
        <v>2460</v>
      </c>
      <c r="AK24" s="6">
        <f>_xll.BDH("TSLA US Equity","BS_TOTAL_LINE_OF_CREDIT","FQ4 2019","FQ4 2019","Currency=USD","Period=FQ","BEST_FPERIOD_OVERRIDE=FQ","FILING_STATUS=MR","SCALING_FORMAT=MLN","Sort=A","Dates=H","DateFormat=P","Fill=—","Direction=H","UseDPDF=Y")</f>
        <v>1934</v>
      </c>
      <c r="AL24" s="6">
        <f>_xll.BDH("TSLA US Equity","BS_TOTAL_LINE_OF_CREDIT","FQ1 2020","FQ1 2020","Currency=USD","Period=FQ","BEST_FPERIOD_OVERRIDE=FQ","FILING_STATUS=MR","SCALING_FORMAT=MLN","Sort=A","Dates=H","DateFormat=P","Fill=—","Direction=H","UseDPDF=Y")</f>
        <v>2575</v>
      </c>
      <c r="AM24" s="6">
        <f>_xll.BDH("TSLA US Equity","BS_TOTAL_LINE_OF_CREDIT","FQ2 2020","FQ2 2020","Currency=USD","Period=FQ","BEST_FPERIOD_OVERRIDE=FQ","FILING_STATUS=MR","SCALING_FORMAT=MLN","Sort=A","Dates=H","DateFormat=P","Fill=—","Direction=H","UseDPDF=Y")</f>
        <v>2256</v>
      </c>
      <c r="AN24" s="6">
        <f>_xll.BDH("TSLA US Equity","BS_TOTAL_LINE_OF_CREDIT","FQ3 2020","FQ3 2020","Currency=USD","Period=FQ","BEST_FPERIOD_OVERRIDE=FQ","FILING_STATUS=MR","SCALING_FORMAT=MLN","Sort=A","Dates=H","DateFormat=P","Fill=—","Direction=H","UseDPDF=Y")</f>
        <v>2188</v>
      </c>
      <c r="AO24" s="6">
        <f>_xll.BDH("TSLA US Equity","BS_TOTAL_LINE_OF_CREDIT","FQ4 2020","FQ4 2020","Currency=USD","Period=FQ","BEST_FPERIOD_OVERRIDE=FQ","FILING_STATUS=MR","SCALING_FORMAT=MLN","Sort=A","Dates=H","DateFormat=P","Fill=—","Direction=H","UseDPDF=Y")</f>
        <v>2354</v>
      </c>
      <c r="AP24" s="6">
        <f>_xll.BDH("TSLA US Equity","BS_TOTAL_LINE_OF_CREDIT","FQ1 2021","FQ1 2021","Currency=USD","Period=FQ","BEST_FPERIOD_OVERRIDE=FQ","FILING_STATUS=MR","SCALING_FORMAT=MLN","Sort=A","Dates=H","DateFormat=P","Fill=—","Direction=H","UseDPDF=Y")</f>
        <v>2639</v>
      </c>
    </row>
    <row r="25" spans="1:42" x14ac:dyDescent="0.25">
      <c r="A25" s="5" t="s">
        <v>130</v>
      </c>
      <c r="B25" s="5" t="s">
        <v>129</v>
      </c>
      <c r="C25" s="6" t="str">
        <f>_xll.BDH("TSLA US Equity","BS_TOTAL_AVAIL_LINE_OF_CREDIT","FQ2 2011","FQ2 2011","Currency=USD","Period=FQ","BEST_FPERIOD_OVERRIDE=FQ","FILING_STATUS=MR","SCALING_FORMAT=MLN","Sort=A","Dates=H","DateFormat=P","Fill=—","Direction=H","UseDPDF=Y")</f>
        <v>—</v>
      </c>
      <c r="D25" s="6" t="str">
        <f>_xll.BDH("TSLA US Equity","BS_TOTAL_AVAIL_LINE_OF_CREDIT","FQ3 2011","FQ3 2011","Currency=USD","Period=FQ","BEST_FPERIOD_OVERRIDE=FQ","FILING_STATUS=MR","SCALING_FORMAT=MLN","Sort=A","Dates=H","DateFormat=P","Fill=—","Direction=H","UseDPDF=Y")</f>
        <v>—</v>
      </c>
      <c r="E25" s="6" t="str">
        <f>_xll.BDH("TSLA US Equity","BS_TOTAL_AVAIL_LINE_OF_CREDIT","FQ4 2011","FQ4 2011","Currency=USD","Period=FQ","BEST_FPERIOD_OVERRIDE=FQ","FILING_STATUS=MR","SCALING_FORMAT=MLN","Sort=A","Dates=H","DateFormat=P","Fill=—","Direction=H","UseDPDF=Y")</f>
        <v>—</v>
      </c>
      <c r="F25" s="6" t="str">
        <f>_xll.BDH("TSLA US Equity","BS_TOTAL_AVAIL_LINE_OF_CREDIT","FQ1 2012","FQ1 2012","Currency=USD","Period=FQ","BEST_FPERIOD_OVERRIDE=FQ","FILING_STATUS=MR","SCALING_FORMAT=MLN","Sort=A","Dates=H","DateFormat=P","Fill=—","Direction=H","UseDPDF=Y")</f>
        <v>—</v>
      </c>
      <c r="G25" s="6" t="str">
        <f>_xll.BDH("TSLA US Equity","BS_TOTAL_AVAIL_LINE_OF_CREDIT","FQ2 2012","FQ2 2012","Currency=USD","Period=FQ","BEST_FPERIOD_OVERRIDE=FQ","FILING_STATUS=MR","SCALING_FORMAT=MLN","Sort=A","Dates=H","DateFormat=P","Fill=—","Direction=H","UseDPDF=Y")</f>
        <v>—</v>
      </c>
      <c r="H25" s="6" t="str">
        <f>_xll.BDH("TSLA US Equity","BS_TOTAL_AVAIL_LINE_OF_CREDIT","FQ3 2012","FQ3 2012","Currency=USD","Period=FQ","BEST_FPERIOD_OVERRIDE=FQ","FILING_STATUS=MR","SCALING_FORMAT=MLN","Sort=A","Dates=H","DateFormat=P","Fill=—","Direction=H","UseDPDF=Y")</f>
        <v>—</v>
      </c>
      <c r="I25" s="6" t="str">
        <f>_xll.BDH("TSLA US Equity","BS_TOTAL_AVAIL_LINE_OF_CREDIT","FQ4 2012","FQ4 2012","Currency=USD","Period=FQ","BEST_FPERIOD_OVERRIDE=FQ","FILING_STATUS=MR","SCALING_FORMAT=MLN","Sort=A","Dates=H","DateFormat=P","Fill=—","Direction=H","UseDPDF=Y")</f>
        <v>—</v>
      </c>
      <c r="J25" s="6" t="str">
        <f>_xll.BDH("TSLA US Equity","BS_TOTAL_AVAIL_LINE_OF_CREDIT","FQ1 2013","FQ1 2013","Currency=USD","Period=FQ","BEST_FPERIOD_OVERRIDE=FQ","FILING_STATUS=MR","SCALING_FORMAT=MLN","Sort=A","Dates=H","DateFormat=P","Fill=—","Direction=H","UseDPDF=Y")</f>
        <v>—</v>
      </c>
      <c r="K25" s="6" t="str">
        <f>_xll.BDH("TSLA US Equity","BS_TOTAL_AVAIL_LINE_OF_CREDIT","FQ2 2013","FQ2 2013","Currency=USD","Period=FQ","BEST_FPERIOD_OVERRIDE=FQ","FILING_STATUS=MR","SCALING_FORMAT=MLN","Sort=A","Dates=H","DateFormat=P","Fill=—","Direction=H","UseDPDF=Y")</f>
        <v>—</v>
      </c>
      <c r="L25" s="6" t="str">
        <f>_xll.BDH("TSLA US Equity","BS_TOTAL_AVAIL_LINE_OF_CREDIT","FQ3 2013","FQ3 2013","Currency=USD","Period=FQ","BEST_FPERIOD_OVERRIDE=FQ","FILING_STATUS=MR","SCALING_FORMAT=MLN","Sort=A","Dates=H","DateFormat=P","Fill=—","Direction=H","UseDPDF=Y")</f>
        <v>—</v>
      </c>
      <c r="M25" s="6" t="str">
        <f>_xll.BDH("TSLA US Equity","BS_TOTAL_AVAIL_LINE_OF_CREDIT","FQ4 2013","FQ4 2013","Currency=USD","Period=FQ","BEST_FPERIOD_OVERRIDE=FQ","FILING_STATUS=MR","SCALING_FORMAT=MLN","Sort=A","Dates=H","DateFormat=P","Fill=—","Direction=H","UseDPDF=Y")</f>
        <v>—</v>
      </c>
      <c r="N25" s="6" t="str">
        <f>_xll.BDH("TSLA US Equity","BS_TOTAL_AVAIL_LINE_OF_CREDIT","FQ1 2014","FQ1 2014","Currency=USD","Period=FQ","BEST_FPERIOD_OVERRIDE=FQ","FILING_STATUS=MR","SCALING_FORMAT=MLN","Sort=A","Dates=H","DateFormat=P","Fill=—","Direction=H","UseDPDF=Y")</f>
        <v>—</v>
      </c>
      <c r="O25" s="6" t="str">
        <f>_xll.BDH("TSLA US Equity","BS_TOTAL_AVAIL_LINE_OF_CREDIT","FQ2 2014","FQ2 2014","Currency=USD","Period=FQ","BEST_FPERIOD_OVERRIDE=FQ","FILING_STATUS=MR","SCALING_FORMAT=MLN","Sort=A","Dates=H","DateFormat=P","Fill=—","Direction=H","UseDPDF=Y")</f>
        <v>—</v>
      </c>
      <c r="P25" s="6" t="str">
        <f>_xll.BDH("TSLA US Equity","BS_TOTAL_AVAIL_LINE_OF_CREDIT","FQ3 2014","FQ3 2014","Currency=USD","Period=FQ","BEST_FPERIOD_OVERRIDE=FQ","FILING_STATUS=MR","SCALING_FORMAT=MLN","Sort=A","Dates=H","DateFormat=P","Fill=—","Direction=H","UseDPDF=Y")</f>
        <v>—</v>
      </c>
      <c r="Q25" s="6" t="str">
        <f>_xll.BDH("TSLA US Equity","BS_TOTAL_AVAIL_LINE_OF_CREDIT","FQ4 2014","FQ4 2014","Currency=USD","Period=FQ","BEST_FPERIOD_OVERRIDE=FQ","FILING_STATUS=MR","SCALING_FORMAT=MLN","Sort=A","Dates=H","DateFormat=P","Fill=—","Direction=H","UseDPDF=Y")</f>
        <v>—</v>
      </c>
      <c r="R25" s="6" t="str">
        <f>_xll.BDH("TSLA US Equity","BS_TOTAL_AVAIL_LINE_OF_CREDIT","FQ1 2015","FQ1 2015","Currency=USD","Period=FQ","BEST_FPERIOD_OVERRIDE=FQ","FILING_STATUS=MR","SCALING_FORMAT=MLN","Sort=A","Dates=H","DateFormat=P","Fill=—","Direction=H","UseDPDF=Y")</f>
        <v>—</v>
      </c>
      <c r="S25" s="6">
        <f>_xll.BDH("TSLA US Equity","BS_TOTAL_AVAIL_LINE_OF_CREDIT","FQ2 2015","FQ2 2015","Currency=USD","Period=FQ","BEST_FPERIOD_OVERRIDE=FQ","FILING_STATUS=MR","SCALING_FORMAT=MLN","Sort=A","Dates=H","DateFormat=P","Fill=—","Direction=H","UseDPDF=Y")</f>
        <v>450</v>
      </c>
      <c r="T25" s="6">
        <f>_xll.BDH("TSLA US Equity","BS_TOTAL_AVAIL_LINE_OF_CREDIT","FQ3 2015","FQ3 2015","Currency=USD","Period=FQ","BEST_FPERIOD_OVERRIDE=FQ","FILING_STATUS=MR","SCALING_FORMAT=MLN","Sort=A","Dates=H","DateFormat=P","Fill=—","Direction=H","UseDPDF=Y")</f>
        <v>750</v>
      </c>
      <c r="U25" s="6">
        <f>_xll.BDH("TSLA US Equity","BS_TOTAL_AVAIL_LINE_OF_CREDIT","FQ4 2015","FQ4 2015","Currency=USD","Period=FQ","BEST_FPERIOD_OVERRIDE=FQ","FILING_STATUS=MR","SCALING_FORMAT=MLN","Sort=A","Dates=H","DateFormat=P","Fill=—","Direction=H","UseDPDF=Y")</f>
        <v>615</v>
      </c>
      <c r="V25" s="6">
        <f>_xll.BDH("TSLA US Equity","BS_TOTAL_AVAIL_LINE_OF_CREDIT","FQ1 2016","FQ1 2016","Currency=USD","Period=FQ","BEST_FPERIOD_OVERRIDE=FQ","FILING_STATUS=MR","SCALING_FORMAT=MLN","Sort=A","Dates=H","DateFormat=P","Fill=—","Direction=H","UseDPDF=Y")</f>
        <v>465</v>
      </c>
      <c r="W25" s="6">
        <f>_xll.BDH("TSLA US Equity","BS_TOTAL_AVAIL_LINE_OF_CREDIT","FQ2 2016","FQ2 2016","Currency=USD","Period=FQ","BEST_FPERIOD_OVERRIDE=FQ","FILING_STATUS=MR","SCALING_FORMAT=MLN","Sort=A","Dates=H","DateFormat=P","Fill=—","Direction=H","UseDPDF=Y")</f>
        <v>322</v>
      </c>
      <c r="X25" s="6">
        <f>_xll.BDH("TSLA US Equity","BS_TOTAL_AVAIL_LINE_OF_CREDIT","FQ3 2016","FQ3 2016","Currency=USD","Period=FQ","BEST_FPERIOD_OVERRIDE=FQ","FILING_STATUS=MR","SCALING_FORMAT=MLN","Sort=A","Dates=H","DateFormat=P","Fill=—","Direction=H","UseDPDF=Y")</f>
        <v>1100</v>
      </c>
      <c r="Y25" s="6">
        <f>_xll.BDH("TSLA US Equity","BS_TOTAL_AVAIL_LINE_OF_CREDIT","FQ4 2016","FQ4 2016","Currency=USD","Period=FQ","BEST_FPERIOD_OVERRIDE=FQ","FILING_STATUS=MR","SCALING_FORMAT=MLN","Sort=A","Dates=H","DateFormat=P","Fill=—","Direction=H","UseDPDF=Y")</f>
        <v>231</v>
      </c>
      <c r="Z25" s="6">
        <f>_xll.BDH("TSLA US Equity","BS_TOTAL_AVAIL_LINE_OF_CREDIT","FQ1 2017","FQ1 2017","Currency=USD","Period=FQ","BEST_FPERIOD_OVERRIDE=FQ","FILING_STATUS=MR","SCALING_FORMAT=MLN","Sort=A","Dates=H","DateFormat=P","Fill=—","Direction=H","UseDPDF=Y")</f>
        <v>455.5</v>
      </c>
      <c r="AA25" s="6">
        <f>_xll.BDH("TSLA US Equity","BS_TOTAL_AVAIL_LINE_OF_CREDIT","FQ2 2017","FQ2 2017","Currency=USD","Period=FQ","BEST_FPERIOD_OVERRIDE=FQ","FILING_STATUS=MR","SCALING_FORMAT=MLN","Sort=A","Dates=H","DateFormat=P","Fill=—","Direction=H","UseDPDF=Y")</f>
        <v>1429.3</v>
      </c>
      <c r="AB25" s="6">
        <f>_xll.BDH("TSLA US Equity","BS_TOTAL_AVAIL_LINE_OF_CREDIT","FQ3 2017","FQ3 2017","Currency=USD","Period=FQ","BEST_FPERIOD_OVERRIDE=FQ","FILING_STATUS=MR","SCALING_FORMAT=MLN","Sort=A","Dates=H","DateFormat=P","Fill=—","Direction=H","UseDPDF=Y")</f>
        <v>757.83799999999997</v>
      </c>
      <c r="AC25" s="6">
        <f>_xll.BDH("TSLA US Equity","BS_TOTAL_AVAIL_LINE_OF_CREDIT","FQ4 2017","FQ4 2017","Currency=USD","Period=FQ","BEST_FPERIOD_OVERRIDE=FQ","FILING_STATUS=MR","SCALING_FORMAT=MLN","Sort=A","Dates=H","DateFormat=P","Fill=—","Direction=H","UseDPDF=Y")</f>
        <v>1594.3219999999999</v>
      </c>
      <c r="AD25" s="6">
        <f>_xll.BDH("TSLA US Equity","BS_TOTAL_AVAIL_LINE_OF_CREDIT","FQ1 2018","FQ1 2018","Currency=USD","Period=FQ","BEST_FPERIOD_OVERRIDE=FQ","FILING_STATUS=MR","SCALING_FORMAT=MLN","Sort=A","Dates=H","DateFormat=P","Fill=—","Direction=H","UseDPDF=Y")</f>
        <v>1719.5060000000001</v>
      </c>
      <c r="AE25" s="6">
        <f>_xll.BDH("TSLA US Equity","BS_TOTAL_AVAIL_LINE_OF_CREDIT","FQ2 2018","FQ2 2018","Currency=USD","Period=FQ","BEST_FPERIOD_OVERRIDE=FQ","FILING_STATUS=MR","SCALING_FORMAT=MLN","Sort=A","Dates=H","DateFormat=P","Fill=—","Direction=H","UseDPDF=Y")</f>
        <v>1219.364</v>
      </c>
      <c r="AF25" s="6">
        <f>_xll.BDH("TSLA US Equity","BS_TOTAL_AVAIL_LINE_OF_CREDIT","FQ3 2018","FQ3 2018","Currency=USD","Period=FQ","BEST_FPERIOD_OVERRIDE=FQ","FILING_STATUS=MR","SCALING_FORMAT=MLN","Sort=A","Dates=H","DateFormat=P","Fill=—","Direction=H","UseDPDF=Y")</f>
        <v>1059.6279999999999</v>
      </c>
      <c r="AG25" s="6">
        <f>_xll.BDH("TSLA US Equity","BS_TOTAL_AVAIL_LINE_OF_CREDIT","FQ4 2018","FQ4 2018","Currency=USD","Period=FQ","BEST_FPERIOD_OVERRIDE=FQ","FILING_STATUS=MR","SCALING_FORMAT=MLN","Sort=A","Dates=H","DateFormat=P","Fill=—","Direction=H","UseDPDF=Y")</f>
        <v>1238.999</v>
      </c>
      <c r="AH25" s="6">
        <f>_xll.BDH("TSLA US Equity","BS_TOTAL_AVAIL_LINE_OF_CREDIT","FQ1 2019","FQ1 2019","Currency=USD","Period=FQ","BEST_FPERIOD_OVERRIDE=FQ","FILING_STATUS=MR","SCALING_FORMAT=MLN","Sort=A","Dates=H","DateFormat=P","Fill=—","Direction=H","UseDPDF=Y")</f>
        <v>1340.9739999999999</v>
      </c>
      <c r="AI25" s="6">
        <f>_xll.BDH("TSLA US Equity","BS_TOTAL_AVAIL_LINE_OF_CREDIT","FQ2 2019","FQ2 2019","Currency=USD","Period=FQ","BEST_FPERIOD_OVERRIDE=FQ","FILING_STATUS=MR","SCALING_FORMAT=MLN","Sort=A","Dates=H","DateFormat=P","Fill=—","Direction=H","UseDPDF=Y")</f>
        <v>1283.3430000000001</v>
      </c>
      <c r="AJ25" s="6">
        <f>_xll.BDH("TSLA US Equity","BS_TOTAL_AVAIL_LINE_OF_CREDIT","FQ3 2019","FQ3 2019","Currency=USD","Period=FQ","BEST_FPERIOD_OVERRIDE=FQ","FILING_STATUS=MR","SCALING_FORMAT=MLN","Sort=A","Dates=H","DateFormat=P","Fill=—","Direction=H","UseDPDF=Y")</f>
        <v>927</v>
      </c>
      <c r="AK25" s="6">
        <f>_xll.BDH("TSLA US Equity","BS_TOTAL_AVAIL_LINE_OF_CREDIT","FQ4 2019","FQ4 2019","Currency=USD","Period=FQ","BEST_FPERIOD_OVERRIDE=FQ","FILING_STATUS=MR","SCALING_FORMAT=MLN","Sort=A","Dates=H","DateFormat=P","Fill=—","Direction=H","UseDPDF=Y")</f>
        <v>1432</v>
      </c>
      <c r="AL25" s="6">
        <f>_xll.BDH("TSLA US Equity","BS_TOTAL_AVAIL_LINE_OF_CREDIT","FQ1 2020","FQ1 2020","Currency=USD","Period=FQ","BEST_FPERIOD_OVERRIDE=FQ","FILING_STATUS=MR","SCALING_FORMAT=MLN","Sort=A","Dates=H","DateFormat=P","Fill=—","Direction=H","UseDPDF=Y")</f>
        <v>878</v>
      </c>
      <c r="AM25" s="6">
        <f>_xll.BDH("TSLA US Equity","BS_TOTAL_AVAIL_LINE_OF_CREDIT","FQ2 2020","FQ2 2020","Currency=USD","Period=FQ","BEST_FPERIOD_OVERRIDE=FQ","FILING_STATUS=MR","SCALING_FORMAT=MLN","Sort=A","Dates=H","DateFormat=P","Fill=—","Direction=H","UseDPDF=Y")</f>
        <v>994</v>
      </c>
      <c r="AN25" s="6">
        <f>_xll.BDH("TSLA US Equity","BS_TOTAL_AVAIL_LINE_OF_CREDIT","FQ3 2020","FQ3 2020","Currency=USD","Period=FQ","BEST_FPERIOD_OVERRIDE=FQ","FILING_STATUS=MR","SCALING_FORMAT=MLN","Sort=A","Dates=H","DateFormat=P","Fill=—","Direction=H","UseDPDF=Y")</f>
        <v>1078</v>
      </c>
      <c r="AO25" s="6">
        <f>_xll.BDH("TSLA US Equity","BS_TOTAL_AVAIL_LINE_OF_CREDIT","FQ4 2020","FQ4 2020","Currency=USD","Period=FQ","BEST_FPERIOD_OVERRIDE=FQ","FILING_STATUS=MR","SCALING_FORMAT=MLN","Sort=A","Dates=H","DateFormat=P","Fill=—","Direction=H","UseDPDF=Y")</f>
        <v>973</v>
      </c>
      <c r="AP25" s="6">
        <f>_xll.BDH("TSLA US Equity","BS_TOTAL_AVAIL_LINE_OF_CREDIT","FQ1 2021","FQ1 2021","Currency=USD","Period=FQ","BEST_FPERIOD_OVERRIDE=FQ","FILING_STATUS=MR","SCALING_FORMAT=MLN","Sort=A","Dates=H","DateFormat=P","Fill=—","Direction=H","UseDPDF=Y")</f>
        <v>719</v>
      </c>
    </row>
    <row r="26" spans="1:42" x14ac:dyDescent="0.25">
      <c r="A26" s="5" t="s">
        <v>128</v>
      </c>
      <c r="B26" s="5" t="s">
        <v>127</v>
      </c>
      <c r="C26" s="6" t="str">
        <f>_xll.BDH("TSLA US Equity","LINE_OF_CREDIT_UTILIZED_AMOUNT","FQ2 2011","FQ2 2011","Currency=USD","Period=FQ","BEST_FPERIOD_OVERRIDE=FQ","FILING_STATUS=MR","SCALING_FORMAT=MLN","Sort=A","Dates=H","DateFormat=P","Fill=—","Direction=H","UseDPDF=Y")</f>
        <v>—</v>
      </c>
      <c r="D26" s="6" t="str">
        <f>_xll.BDH("TSLA US Equity","LINE_OF_CREDIT_UTILIZED_AMOUNT","FQ3 2011","FQ3 2011","Currency=USD","Period=FQ","BEST_FPERIOD_OVERRIDE=FQ","FILING_STATUS=MR","SCALING_FORMAT=MLN","Sort=A","Dates=H","DateFormat=P","Fill=—","Direction=H","UseDPDF=Y")</f>
        <v>—</v>
      </c>
      <c r="E26" s="6" t="str">
        <f>_xll.BDH("TSLA US Equity","LINE_OF_CREDIT_UTILIZED_AMOUNT","FQ4 2011","FQ4 2011","Currency=USD","Period=FQ","BEST_FPERIOD_OVERRIDE=FQ","FILING_STATUS=MR","SCALING_FORMAT=MLN","Sort=A","Dates=H","DateFormat=P","Fill=—","Direction=H","UseDPDF=Y")</f>
        <v>—</v>
      </c>
      <c r="F26" s="6" t="str">
        <f>_xll.BDH("TSLA US Equity","LINE_OF_CREDIT_UTILIZED_AMOUNT","FQ1 2012","FQ1 2012","Currency=USD","Period=FQ","BEST_FPERIOD_OVERRIDE=FQ","FILING_STATUS=MR","SCALING_FORMAT=MLN","Sort=A","Dates=H","DateFormat=P","Fill=—","Direction=H","UseDPDF=Y")</f>
        <v>—</v>
      </c>
      <c r="G26" s="6" t="str">
        <f>_xll.BDH("TSLA US Equity","LINE_OF_CREDIT_UTILIZED_AMOUNT","FQ2 2012","FQ2 2012","Currency=USD","Period=FQ","BEST_FPERIOD_OVERRIDE=FQ","FILING_STATUS=MR","SCALING_FORMAT=MLN","Sort=A","Dates=H","DateFormat=P","Fill=—","Direction=H","UseDPDF=Y")</f>
        <v>—</v>
      </c>
      <c r="H26" s="6" t="str">
        <f>_xll.BDH("TSLA US Equity","LINE_OF_CREDIT_UTILIZED_AMOUNT","FQ3 2012","FQ3 2012","Currency=USD","Period=FQ","BEST_FPERIOD_OVERRIDE=FQ","FILING_STATUS=MR","SCALING_FORMAT=MLN","Sort=A","Dates=H","DateFormat=P","Fill=—","Direction=H","UseDPDF=Y")</f>
        <v>—</v>
      </c>
      <c r="I26" s="6" t="str">
        <f>_xll.BDH("TSLA US Equity","LINE_OF_CREDIT_UTILIZED_AMOUNT","FQ4 2012","FQ4 2012","Currency=USD","Period=FQ","BEST_FPERIOD_OVERRIDE=FQ","FILING_STATUS=MR","SCALING_FORMAT=MLN","Sort=A","Dates=H","DateFormat=P","Fill=—","Direction=H","UseDPDF=Y")</f>
        <v>—</v>
      </c>
      <c r="J26" s="6" t="str">
        <f>_xll.BDH("TSLA US Equity","LINE_OF_CREDIT_UTILIZED_AMOUNT","FQ1 2013","FQ1 2013","Currency=USD","Period=FQ","BEST_FPERIOD_OVERRIDE=FQ","FILING_STATUS=MR","SCALING_FORMAT=MLN","Sort=A","Dates=H","DateFormat=P","Fill=—","Direction=H","UseDPDF=Y")</f>
        <v>—</v>
      </c>
      <c r="K26" s="6" t="str">
        <f>_xll.BDH("TSLA US Equity","LINE_OF_CREDIT_UTILIZED_AMOUNT","FQ2 2013","FQ2 2013","Currency=USD","Period=FQ","BEST_FPERIOD_OVERRIDE=FQ","FILING_STATUS=MR","SCALING_FORMAT=MLN","Sort=A","Dates=H","DateFormat=P","Fill=—","Direction=H","UseDPDF=Y")</f>
        <v>—</v>
      </c>
      <c r="L26" s="6" t="str">
        <f>_xll.BDH("TSLA US Equity","LINE_OF_CREDIT_UTILIZED_AMOUNT","FQ3 2013","FQ3 2013","Currency=USD","Period=FQ","BEST_FPERIOD_OVERRIDE=FQ","FILING_STATUS=MR","SCALING_FORMAT=MLN","Sort=A","Dates=H","DateFormat=P","Fill=—","Direction=H","UseDPDF=Y")</f>
        <v>—</v>
      </c>
      <c r="M26" s="6" t="str">
        <f>_xll.BDH("TSLA US Equity","LINE_OF_CREDIT_UTILIZED_AMOUNT","FQ4 2013","FQ4 2013","Currency=USD","Period=FQ","BEST_FPERIOD_OVERRIDE=FQ","FILING_STATUS=MR","SCALING_FORMAT=MLN","Sort=A","Dates=H","DateFormat=P","Fill=—","Direction=H","UseDPDF=Y")</f>
        <v>—</v>
      </c>
      <c r="N26" s="6" t="str">
        <f>_xll.BDH("TSLA US Equity","LINE_OF_CREDIT_UTILIZED_AMOUNT","FQ1 2014","FQ1 2014","Currency=USD","Period=FQ","BEST_FPERIOD_OVERRIDE=FQ","FILING_STATUS=MR","SCALING_FORMAT=MLN","Sort=A","Dates=H","DateFormat=P","Fill=—","Direction=H","UseDPDF=Y")</f>
        <v>—</v>
      </c>
      <c r="O26" s="6" t="str">
        <f>_xll.BDH("TSLA US Equity","LINE_OF_CREDIT_UTILIZED_AMOUNT","FQ2 2014","FQ2 2014","Currency=USD","Period=FQ","BEST_FPERIOD_OVERRIDE=FQ","FILING_STATUS=MR","SCALING_FORMAT=MLN","Sort=A","Dates=H","DateFormat=P","Fill=—","Direction=H","UseDPDF=Y")</f>
        <v>—</v>
      </c>
      <c r="P26" s="6" t="str">
        <f>_xll.BDH("TSLA US Equity","LINE_OF_CREDIT_UTILIZED_AMOUNT","FQ3 2014","FQ3 2014","Currency=USD","Period=FQ","BEST_FPERIOD_OVERRIDE=FQ","FILING_STATUS=MR","SCALING_FORMAT=MLN","Sort=A","Dates=H","DateFormat=P","Fill=—","Direction=H","UseDPDF=Y")</f>
        <v>—</v>
      </c>
      <c r="Q26" s="6" t="str">
        <f>_xll.BDH("TSLA US Equity","LINE_OF_CREDIT_UTILIZED_AMOUNT","FQ4 2014","FQ4 2014","Currency=USD","Period=FQ","BEST_FPERIOD_OVERRIDE=FQ","FILING_STATUS=MR","SCALING_FORMAT=MLN","Sort=A","Dates=H","DateFormat=P","Fill=—","Direction=H","UseDPDF=Y")</f>
        <v>—</v>
      </c>
      <c r="R26" s="6" t="str">
        <f>_xll.BDH("TSLA US Equity","LINE_OF_CREDIT_UTILIZED_AMOUNT","FQ1 2015","FQ1 2015","Currency=USD","Period=FQ","BEST_FPERIOD_OVERRIDE=FQ","FILING_STATUS=MR","SCALING_FORMAT=MLN","Sort=A","Dates=H","DateFormat=P","Fill=—","Direction=H","UseDPDF=Y")</f>
        <v>—</v>
      </c>
      <c r="S26" s="6">
        <f>_xll.BDH("TSLA US Equity","LINE_OF_CREDIT_UTILIZED_AMOUNT","FQ2 2015","FQ2 2015","Currency=USD","Period=FQ","BEST_FPERIOD_OVERRIDE=FQ","FILING_STATUS=MR","SCALING_FORMAT=MLN","Sort=A","Dates=H","DateFormat=P","Fill=—","Direction=H","UseDPDF=Y")</f>
        <v>50</v>
      </c>
      <c r="T26" s="6">
        <f>_xll.BDH("TSLA US Equity","LINE_OF_CREDIT_UTILIZED_AMOUNT","FQ3 2015","FQ3 2015","Currency=USD","Period=FQ","BEST_FPERIOD_OVERRIDE=FQ","FILING_STATUS=MR","SCALING_FORMAT=MLN","Sort=A","Dates=H","DateFormat=P","Fill=—","Direction=H","UseDPDF=Y")</f>
        <v>0</v>
      </c>
      <c r="U26" s="6">
        <f>_xll.BDH("TSLA US Equity","LINE_OF_CREDIT_UTILIZED_AMOUNT","FQ4 2015","FQ4 2015","Currency=USD","Period=FQ","BEST_FPERIOD_OVERRIDE=FQ","FILING_STATUS=MR","SCALING_FORMAT=MLN","Sort=A","Dates=H","DateFormat=P","Fill=—","Direction=H","UseDPDF=Y")</f>
        <v>135</v>
      </c>
      <c r="V26" s="6">
        <f>_xll.BDH("TSLA US Equity","LINE_OF_CREDIT_UTILIZED_AMOUNT","FQ1 2016","FQ1 2016","Currency=USD","Period=FQ","BEST_FPERIOD_OVERRIDE=FQ","FILING_STATUS=MR","SCALING_FORMAT=MLN","Sort=A","Dates=H","DateFormat=P","Fill=—","Direction=H","UseDPDF=Y")</f>
        <v>535</v>
      </c>
      <c r="W26" s="6">
        <f>_xll.BDH("TSLA US Equity","LINE_OF_CREDIT_UTILIZED_AMOUNT","FQ2 2016","FQ2 2016","Currency=USD","Period=FQ","BEST_FPERIOD_OVERRIDE=FQ","FILING_STATUS=MR","SCALING_FORMAT=MLN","Sort=A","Dates=H","DateFormat=P","Fill=—","Direction=H","UseDPDF=Y")</f>
        <v>678</v>
      </c>
      <c r="X26" s="6">
        <f>_xll.BDH("TSLA US Equity","LINE_OF_CREDIT_UTILIZED_AMOUNT","FQ3 2016","FQ3 2016","Currency=USD","Period=FQ","BEST_FPERIOD_OVERRIDE=FQ","FILING_STATUS=MR","SCALING_FORMAT=MLN","Sort=A","Dates=H","DateFormat=P","Fill=—","Direction=H","UseDPDF=Y")</f>
        <v>200</v>
      </c>
      <c r="Y26" s="6">
        <f>_xll.BDH("TSLA US Equity","LINE_OF_CREDIT_UTILIZED_AMOUNT","FQ4 2016","FQ4 2016","Currency=USD","Period=FQ","BEST_FPERIOD_OVERRIDE=FQ","FILING_STATUS=MR","SCALING_FORMAT=MLN","Sort=A","Dates=H","DateFormat=P","Fill=—","Direction=H","UseDPDF=Y")</f>
        <v>969</v>
      </c>
      <c r="Z26" s="6">
        <f>_xll.BDH("TSLA US Equity","LINE_OF_CREDIT_UTILIZED_AMOUNT","FQ1 2017","FQ1 2017","Currency=USD","Period=FQ","BEST_FPERIOD_OVERRIDE=FQ","FILING_STATUS=MR","SCALING_FORMAT=MLN","Sort=A","Dates=H","DateFormat=P","Fill=—","Direction=H","UseDPDF=Y")</f>
        <v>1738</v>
      </c>
      <c r="AA26" s="6">
        <f>_xll.BDH("TSLA US Equity","LINE_OF_CREDIT_UTILIZED_AMOUNT","FQ2 2017","FQ2 2017","Currency=USD","Period=FQ","BEST_FPERIOD_OVERRIDE=FQ","FILING_STATUS=MR","SCALING_FORMAT=MLN","Sort=A","Dates=H","DateFormat=P","Fill=—","Direction=H","UseDPDF=Y")</f>
        <v>1694.2</v>
      </c>
      <c r="AB26" s="6">
        <f>_xll.BDH("TSLA US Equity","LINE_OF_CREDIT_UTILIZED_AMOUNT","FQ3 2017","FQ3 2017","Currency=USD","Period=FQ","BEST_FPERIOD_OVERRIDE=FQ","FILING_STATUS=MR","SCALING_FORMAT=MLN","Sort=A","Dates=H","DateFormat=P","Fill=—","Direction=H","UseDPDF=Y")</f>
        <v>1543.491</v>
      </c>
      <c r="AC26" s="6">
        <f>_xll.BDH("TSLA US Equity","LINE_OF_CREDIT_UTILIZED_AMOUNT","FQ4 2017","FQ4 2017","Currency=USD","Period=FQ","BEST_FPERIOD_OVERRIDE=FQ","FILING_STATUS=MR","SCALING_FORMAT=MLN","Sort=A","Dates=H","DateFormat=P","Fill=—","Direction=H","UseDPDF=Y")</f>
        <v>436.99299999999999</v>
      </c>
      <c r="AD26" s="6">
        <f>_xll.BDH("TSLA US Equity","LINE_OF_CREDIT_UTILIZED_AMOUNT","FQ1 2018","FQ1 2018","Currency=USD","Period=FQ","BEST_FPERIOD_OVERRIDE=FQ","FILING_STATUS=MR","SCALING_FORMAT=MLN","Sort=A","Dates=H","DateFormat=P","Fill=—","Direction=H","UseDPDF=Y")</f>
        <v>166.18199999999999</v>
      </c>
      <c r="AE26" s="6">
        <f>_xll.BDH("TSLA US Equity","LINE_OF_CREDIT_UTILIZED_AMOUNT","FQ2 2018","FQ2 2018","Currency=USD","Period=FQ","BEST_FPERIOD_OVERRIDE=FQ","FILING_STATUS=MR","SCALING_FORMAT=MLN","Sort=A","Dates=H","DateFormat=P","Fill=—","Direction=H","UseDPDF=Y")</f>
        <v>1155.934</v>
      </c>
      <c r="AF26" s="6">
        <f>_xll.BDH("TSLA US Equity","LINE_OF_CREDIT_UTILIZED_AMOUNT","FQ3 2018","FQ3 2018","Currency=USD","Period=FQ","BEST_FPERIOD_OVERRIDE=FQ","FILING_STATUS=MR","SCALING_FORMAT=MLN","Sort=A","Dates=H","DateFormat=P","Fill=—","Direction=H","UseDPDF=Y")</f>
        <v>1462.144</v>
      </c>
      <c r="AG26" s="6">
        <f>_xll.BDH("TSLA US Equity","LINE_OF_CREDIT_UTILIZED_AMOUNT","FQ4 2018","FQ4 2018","Currency=USD","Period=FQ","BEST_FPERIOD_OVERRIDE=FQ","FILING_STATUS=MR","SCALING_FORMAT=MLN","Sort=A","Dates=H","DateFormat=P","Fill=—","Direction=H","UseDPDF=Y")</f>
        <v>466.221</v>
      </c>
      <c r="AH26" s="6">
        <f>_xll.BDH("TSLA US Equity","LINE_OF_CREDIT_UTILIZED_AMOUNT","FQ1 2019","FQ1 2019","Currency=USD","Period=FQ","BEST_FPERIOD_OVERRIDE=FQ","FILING_STATUS=MR","SCALING_FORMAT=MLN","Sort=A","Dates=H","DateFormat=P","Fill=—","Direction=H","UseDPDF=Y")</f>
        <v>754.16300000000001</v>
      </c>
      <c r="AI26" s="6">
        <f>_xll.BDH("TSLA US Equity","LINE_OF_CREDIT_UTILIZED_AMOUNT","FQ2 2019","FQ2 2019","Currency=USD","Period=FQ","BEST_FPERIOD_OVERRIDE=FQ","FILING_STATUS=MR","SCALING_FORMAT=MLN","Sort=A","Dates=H","DateFormat=P","Fill=—","Direction=H","UseDPDF=Y")</f>
        <v>834.94600000000003</v>
      </c>
      <c r="AJ26" s="6">
        <f>_xll.BDH("TSLA US Equity","LINE_OF_CREDIT_UTILIZED_AMOUNT","FQ3 2019","FQ3 2019","Currency=USD","Period=FQ","BEST_FPERIOD_OVERRIDE=FQ","FILING_STATUS=MR","SCALING_FORMAT=MLN","Sort=A","Dates=H","DateFormat=P","Fill=—","Direction=H","UseDPDF=Y")</f>
        <v>1533</v>
      </c>
      <c r="AK26" s="6">
        <f>_xll.BDH("TSLA US Equity","LINE_OF_CREDIT_UTILIZED_AMOUNT","FQ4 2019","FQ4 2019","Currency=USD","Period=FQ","BEST_FPERIOD_OVERRIDE=FQ","FILING_STATUS=MR","SCALING_FORMAT=MLN","Sort=A","Dates=H","DateFormat=P","Fill=—","Direction=H","UseDPDF=Y")</f>
        <v>502</v>
      </c>
      <c r="AL26" s="6">
        <f>_xll.BDH("TSLA US Equity","LINE_OF_CREDIT_UTILIZED_AMOUNT","FQ1 2020","FQ1 2020","Currency=USD","Period=FQ","BEST_FPERIOD_OVERRIDE=FQ","FILING_STATUS=MR","SCALING_FORMAT=MLN","Sort=A","Dates=H","DateFormat=P","Fill=—","Direction=H","UseDPDF=Y")</f>
        <v>1697</v>
      </c>
      <c r="AM26" s="6">
        <f>_xll.BDH("TSLA US Equity","LINE_OF_CREDIT_UTILIZED_AMOUNT","FQ2 2020","FQ2 2020","Currency=USD","Period=FQ","BEST_FPERIOD_OVERRIDE=FQ","FILING_STATUS=MR","SCALING_FORMAT=MLN","Sort=A","Dates=H","DateFormat=P","Fill=—","Direction=H","UseDPDF=Y")</f>
        <v>1262</v>
      </c>
      <c r="AN26" s="6">
        <f>_xll.BDH("TSLA US Equity","LINE_OF_CREDIT_UTILIZED_AMOUNT","FQ3 2020","FQ3 2020","Currency=USD","Period=FQ","BEST_FPERIOD_OVERRIDE=FQ","FILING_STATUS=MR","SCALING_FORMAT=MLN","Sort=A","Dates=H","DateFormat=P","Fill=—","Direction=H","UseDPDF=Y")</f>
        <v>1110</v>
      </c>
      <c r="AO26" s="6">
        <f>_xll.BDH("TSLA US Equity","LINE_OF_CREDIT_UTILIZED_AMOUNT","FQ4 2020","FQ4 2020","Currency=USD","Period=FQ","BEST_FPERIOD_OVERRIDE=FQ","FILING_STATUS=MR","SCALING_FORMAT=MLN","Sort=A","Dates=H","DateFormat=P","Fill=—","Direction=H","UseDPDF=Y")</f>
        <v>1381</v>
      </c>
      <c r="AP26" s="6">
        <f>_xll.BDH("TSLA US Equity","LINE_OF_CREDIT_UTILIZED_AMOUNT","FQ1 2021","FQ1 2021","Currency=USD","Period=FQ","BEST_FPERIOD_OVERRIDE=FQ","FILING_STATUS=MR","SCALING_FORMAT=MLN","Sort=A","Dates=H","DateFormat=P","Fill=—","Direction=H","UseDPDF=Y")</f>
        <v>1920</v>
      </c>
    </row>
    <row r="27" spans="1:42" x14ac:dyDescent="0.25">
      <c r="A27" s="5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</row>
    <row r="28" spans="1:42" x14ac:dyDescent="0.25">
      <c r="A28" s="5" t="s">
        <v>126</v>
      </c>
      <c r="B28" s="5" t="s">
        <v>125</v>
      </c>
      <c r="C28" s="6" t="str">
        <f>_xll.BDH("TSLA US Equity","BS_TOT_COM_PAPER_ISSUED","FQ2 2011","FQ2 2011","Currency=USD","Period=FQ","BEST_FPERIOD_OVERRIDE=FQ","FILING_STATUS=MR","SCALING_FORMAT=MLN","Sort=A","Dates=H","DateFormat=P","Fill=—","Direction=H","UseDPDF=Y")</f>
        <v>—</v>
      </c>
      <c r="D28" s="6" t="str">
        <f>_xll.BDH("TSLA US Equity","BS_TOT_COM_PAPER_ISSUED","FQ3 2011","FQ3 2011","Currency=USD","Period=FQ","BEST_FPERIOD_OVERRIDE=FQ","FILING_STATUS=MR","SCALING_FORMAT=MLN","Sort=A","Dates=H","DateFormat=P","Fill=—","Direction=H","UseDPDF=Y")</f>
        <v>—</v>
      </c>
      <c r="E28" s="6">
        <f>_xll.BDH("TSLA US Equity","BS_TOT_COM_PAPER_ISSUED","FQ4 2011","FQ4 2011","Currency=USD","Period=FQ","BEST_FPERIOD_OVERRIDE=FQ","FILING_STATUS=MR","SCALING_FORMAT=MLN","Sort=A","Dates=H","DateFormat=P","Fill=—","Direction=H","UseDPDF=Y")</f>
        <v>14.999000000000001</v>
      </c>
      <c r="F28" s="6">
        <f>_xll.BDH("TSLA US Equity","BS_TOT_COM_PAPER_ISSUED","FQ1 2012","FQ1 2012","Currency=USD","Period=FQ","BEST_FPERIOD_OVERRIDE=FQ","FILING_STATUS=MR","SCALING_FORMAT=MLN","Sort=A","Dates=H","DateFormat=P","Fill=—","Direction=H","UseDPDF=Y")</f>
        <v>14.999000000000001</v>
      </c>
      <c r="G28" s="6">
        <f>_xll.BDH("TSLA US Equity","BS_TOT_COM_PAPER_ISSUED","FQ2 2012","FQ2 2012","Currency=USD","Period=FQ","BEST_FPERIOD_OVERRIDE=FQ","FILING_STATUS=MR","SCALING_FORMAT=MLN","Sort=A","Dates=H","DateFormat=P","Fill=—","Direction=H","UseDPDF=Y")</f>
        <v>0</v>
      </c>
      <c r="H28" s="6" t="str">
        <f>_xll.BDH("TSLA US Equity","BS_TOT_COM_PAPER_ISSUED","FQ3 2012","FQ3 2012","Currency=USD","Period=FQ","BEST_FPERIOD_OVERRIDE=FQ","FILING_STATUS=MR","SCALING_FORMAT=MLN","Sort=A","Dates=H","DateFormat=P","Fill=—","Direction=H","UseDPDF=Y")</f>
        <v>—</v>
      </c>
      <c r="I28" s="6" t="str">
        <f>_xll.BDH("TSLA US Equity","BS_TOT_COM_PAPER_ISSUED","FQ4 2012","FQ4 2012","Currency=USD","Period=FQ","BEST_FPERIOD_OVERRIDE=FQ","FILING_STATUS=MR","SCALING_FORMAT=MLN","Sort=A","Dates=H","DateFormat=P","Fill=—","Direction=H","UseDPDF=Y")</f>
        <v>—</v>
      </c>
      <c r="J28" s="6">
        <f>_xll.BDH("TSLA US Equity","BS_TOT_COM_PAPER_ISSUED","FQ1 2013","FQ1 2013","Currency=USD","Period=FQ","BEST_FPERIOD_OVERRIDE=FQ","FILING_STATUS=MR","SCALING_FORMAT=MLN","Sort=A","Dates=H","DateFormat=P","Fill=—","Direction=H","UseDPDF=Y")</f>
        <v>0</v>
      </c>
      <c r="K28" s="6" t="str">
        <f>_xll.BDH("TSLA US Equity","BS_TOT_COM_PAPER_ISSUED","FQ2 2013","FQ2 2013","Currency=USD","Period=FQ","BEST_FPERIOD_OVERRIDE=FQ","FILING_STATUS=MR","SCALING_FORMAT=MLN","Sort=A","Dates=H","DateFormat=P","Fill=—","Direction=H","UseDPDF=Y")</f>
        <v>—</v>
      </c>
      <c r="L28" s="6" t="str">
        <f>_xll.BDH("TSLA US Equity","BS_TOT_COM_PAPER_ISSUED","FQ3 2013","FQ3 2013","Currency=USD","Period=FQ","BEST_FPERIOD_OVERRIDE=FQ","FILING_STATUS=MR","SCALING_FORMAT=MLN","Sort=A","Dates=H","DateFormat=P","Fill=—","Direction=H","UseDPDF=Y")</f>
        <v>—</v>
      </c>
      <c r="M28" s="6" t="str">
        <f>_xll.BDH("TSLA US Equity","BS_TOT_COM_PAPER_ISSUED","FQ4 2013","FQ4 2013","Currency=USD","Period=FQ","BEST_FPERIOD_OVERRIDE=FQ","FILING_STATUS=MR","SCALING_FORMAT=MLN","Sort=A","Dates=H","DateFormat=P","Fill=—","Direction=H","UseDPDF=Y")</f>
        <v>—</v>
      </c>
      <c r="N28" s="6" t="str">
        <f>_xll.BDH("TSLA US Equity","BS_TOT_COM_PAPER_ISSUED","FQ1 2014","FQ1 2014","Currency=USD","Period=FQ","BEST_FPERIOD_OVERRIDE=FQ","FILING_STATUS=MR","SCALING_FORMAT=MLN","Sort=A","Dates=H","DateFormat=P","Fill=—","Direction=H","UseDPDF=Y")</f>
        <v>—</v>
      </c>
      <c r="O28" s="6" t="str">
        <f>_xll.BDH("TSLA US Equity","BS_TOT_COM_PAPER_ISSUED","FQ2 2014","FQ2 2014","Currency=USD","Period=FQ","BEST_FPERIOD_OVERRIDE=FQ","FILING_STATUS=MR","SCALING_FORMAT=MLN","Sort=A","Dates=H","DateFormat=P","Fill=—","Direction=H","UseDPDF=Y")</f>
        <v>—</v>
      </c>
      <c r="P28" s="6" t="str">
        <f>_xll.BDH("TSLA US Equity","BS_TOT_COM_PAPER_ISSUED","FQ3 2014","FQ3 2014","Currency=USD","Period=FQ","BEST_FPERIOD_OVERRIDE=FQ","FILING_STATUS=MR","SCALING_FORMAT=MLN","Sort=A","Dates=H","DateFormat=P","Fill=—","Direction=H","UseDPDF=Y")</f>
        <v>—</v>
      </c>
      <c r="Q28" s="6" t="str">
        <f>_xll.BDH("TSLA US Equity","BS_TOT_COM_PAPER_ISSUED","FQ4 2014","FQ4 2014","Currency=USD","Period=FQ","BEST_FPERIOD_OVERRIDE=FQ","FILING_STATUS=MR","SCALING_FORMAT=MLN","Sort=A","Dates=H","DateFormat=P","Fill=—","Direction=H","UseDPDF=Y")</f>
        <v>—</v>
      </c>
      <c r="R28" s="6" t="str">
        <f>_xll.BDH("TSLA US Equity","BS_TOT_COM_PAPER_ISSUED","FQ1 2015","FQ1 2015","Currency=USD","Period=FQ","BEST_FPERIOD_OVERRIDE=FQ","FILING_STATUS=MR","SCALING_FORMAT=MLN","Sort=A","Dates=H","DateFormat=P","Fill=—","Direction=H","UseDPDF=Y")</f>
        <v>—</v>
      </c>
      <c r="S28" s="6" t="str">
        <f>_xll.BDH("TSLA US Equity","BS_TOT_COM_PAPER_ISSUED","FQ2 2015","FQ2 2015","Currency=USD","Period=FQ","BEST_FPERIOD_OVERRIDE=FQ","FILING_STATUS=MR","SCALING_FORMAT=MLN","Sort=A","Dates=H","DateFormat=P","Fill=—","Direction=H","UseDPDF=Y")</f>
        <v>—</v>
      </c>
      <c r="T28" s="6" t="str">
        <f>_xll.BDH("TSLA US Equity","BS_TOT_COM_PAPER_ISSUED","FQ3 2015","FQ3 2015","Currency=USD","Period=FQ","BEST_FPERIOD_OVERRIDE=FQ","FILING_STATUS=MR","SCALING_FORMAT=MLN","Sort=A","Dates=H","DateFormat=P","Fill=—","Direction=H","UseDPDF=Y")</f>
        <v>—</v>
      </c>
      <c r="U28" s="6" t="str">
        <f>_xll.BDH("TSLA US Equity","BS_TOT_COM_PAPER_ISSUED","FQ4 2015","FQ4 2015","Currency=USD","Period=FQ","BEST_FPERIOD_OVERRIDE=FQ","FILING_STATUS=MR","SCALING_FORMAT=MLN","Sort=A","Dates=H","DateFormat=P","Fill=—","Direction=H","UseDPDF=Y")</f>
        <v>—</v>
      </c>
      <c r="V28" s="6" t="str">
        <f>_xll.BDH("TSLA US Equity","BS_TOT_COM_PAPER_ISSUED","FQ1 2016","FQ1 2016","Currency=USD","Period=FQ","BEST_FPERIOD_OVERRIDE=FQ","FILING_STATUS=MR","SCALING_FORMAT=MLN","Sort=A","Dates=H","DateFormat=P","Fill=—","Direction=H","UseDPDF=Y")</f>
        <v>—</v>
      </c>
      <c r="W28" s="6" t="str">
        <f>_xll.BDH("TSLA US Equity","BS_TOT_COM_PAPER_ISSUED","FQ2 2016","FQ2 2016","Currency=USD","Period=FQ","BEST_FPERIOD_OVERRIDE=FQ","FILING_STATUS=MR","SCALING_FORMAT=MLN","Sort=A","Dates=H","DateFormat=P","Fill=—","Direction=H","UseDPDF=Y")</f>
        <v>—</v>
      </c>
      <c r="X28" s="6" t="str">
        <f>_xll.BDH("TSLA US Equity","BS_TOT_COM_PAPER_ISSUED","FQ3 2016","FQ3 2016","Currency=USD","Period=FQ","BEST_FPERIOD_OVERRIDE=FQ","FILING_STATUS=MR","SCALING_FORMAT=MLN","Sort=A","Dates=H","DateFormat=P","Fill=—","Direction=H","UseDPDF=Y")</f>
        <v>—</v>
      </c>
      <c r="Y28" s="6" t="str">
        <f>_xll.BDH("TSLA US Equity","BS_TOT_COM_PAPER_ISSUED","FQ4 2016","FQ4 2016","Currency=USD","Period=FQ","BEST_FPERIOD_OVERRIDE=FQ","FILING_STATUS=MR","SCALING_FORMAT=MLN","Sort=A","Dates=H","DateFormat=P","Fill=—","Direction=H","UseDPDF=Y")</f>
        <v>—</v>
      </c>
      <c r="Z28" s="6" t="str">
        <f>_xll.BDH("TSLA US Equity","BS_TOT_COM_PAPER_ISSUED","FQ1 2017","FQ1 2017","Currency=USD","Period=FQ","BEST_FPERIOD_OVERRIDE=FQ","FILING_STATUS=MR","SCALING_FORMAT=MLN","Sort=A","Dates=H","DateFormat=P","Fill=—","Direction=H","UseDPDF=Y")</f>
        <v>—</v>
      </c>
      <c r="AA28" s="6" t="str">
        <f>_xll.BDH("TSLA US Equity","BS_TOT_COM_PAPER_ISSUED","FQ2 2017","FQ2 2017","Currency=USD","Period=FQ","BEST_FPERIOD_OVERRIDE=FQ","FILING_STATUS=MR","SCALING_FORMAT=MLN","Sort=A","Dates=H","DateFormat=P","Fill=—","Direction=H","UseDPDF=Y")</f>
        <v>—</v>
      </c>
      <c r="AB28" s="6" t="str">
        <f>_xll.BDH("TSLA US Equity","BS_TOT_COM_PAPER_ISSUED","FQ3 2017","FQ3 2017","Currency=USD","Period=FQ","BEST_FPERIOD_OVERRIDE=FQ","FILING_STATUS=MR","SCALING_FORMAT=MLN","Sort=A","Dates=H","DateFormat=P","Fill=—","Direction=H","UseDPDF=Y")</f>
        <v>—</v>
      </c>
      <c r="AC28" s="6" t="str">
        <f>_xll.BDH("TSLA US Equity","BS_TOT_COM_PAPER_ISSUED","FQ4 2017","FQ4 2017","Currency=USD","Period=FQ","BEST_FPERIOD_OVERRIDE=FQ","FILING_STATUS=MR","SCALING_FORMAT=MLN","Sort=A","Dates=H","DateFormat=P","Fill=—","Direction=H","UseDPDF=Y")</f>
        <v>—</v>
      </c>
      <c r="AD28" s="6" t="str">
        <f>_xll.BDH("TSLA US Equity","BS_TOT_COM_PAPER_ISSUED","FQ1 2018","FQ1 2018","Currency=USD","Period=FQ","BEST_FPERIOD_OVERRIDE=FQ","FILING_STATUS=MR","SCALING_FORMAT=MLN","Sort=A","Dates=H","DateFormat=P","Fill=—","Direction=H","UseDPDF=Y")</f>
        <v>—</v>
      </c>
      <c r="AE28" s="6" t="str">
        <f>_xll.BDH("TSLA US Equity","BS_TOT_COM_PAPER_ISSUED","FQ2 2018","FQ2 2018","Currency=USD","Period=FQ","BEST_FPERIOD_OVERRIDE=FQ","FILING_STATUS=MR","SCALING_FORMAT=MLN","Sort=A","Dates=H","DateFormat=P","Fill=—","Direction=H","UseDPDF=Y")</f>
        <v>—</v>
      </c>
      <c r="AF28" s="6" t="str">
        <f>_xll.BDH("TSLA US Equity","BS_TOT_COM_PAPER_ISSUED","FQ3 2018","FQ3 2018","Currency=USD","Period=FQ","BEST_FPERIOD_OVERRIDE=FQ","FILING_STATUS=MR","SCALING_FORMAT=MLN","Sort=A","Dates=H","DateFormat=P","Fill=—","Direction=H","UseDPDF=Y")</f>
        <v>—</v>
      </c>
      <c r="AG28" s="6" t="str">
        <f>_xll.BDH("TSLA US Equity","BS_TOT_COM_PAPER_ISSUED","FQ4 2018","FQ4 2018","Currency=USD","Period=FQ","BEST_FPERIOD_OVERRIDE=FQ","FILING_STATUS=MR","SCALING_FORMAT=MLN","Sort=A","Dates=H","DateFormat=P","Fill=—","Direction=H","UseDPDF=Y")</f>
        <v>—</v>
      </c>
      <c r="AH28" s="6" t="str">
        <f>_xll.BDH("TSLA US Equity","BS_TOT_COM_PAPER_ISSUED","FQ1 2019","FQ1 2019","Currency=USD","Period=FQ","BEST_FPERIOD_OVERRIDE=FQ","FILING_STATUS=MR","SCALING_FORMAT=MLN","Sort=A","Dates=H","DateFormat=P","Fill=—","Direction=H","UseDPDF=Y")</f>
        <v>—</v>
      </c>
      <c r="AI28" s="6" t="str">
        <f>_xll.BDH("TSLA US Equity","BS_TOT_COM_PAPER_ISSUED","FQ2 2019","FQ2 2019","Currency=USD","Period=FQ","BEST_FPERIOD_OVERRIDE=FQ","FILING_STATUS=MR","SCALING_FORMAT=MLN","Sort=A","Dates=H","DateFormat=P","Fill=—","Direction=H","UseDPDF=Y")</f>
        <v>—</v>
      </c>
      <c r="AJ28" s="6" t="str">
        <f>_xll.BDH("TSLA US Equity","BS_TOT_COM_PAPER_ISSUED","FQ3 2019","FQ3 2019","Currency=USD","Period=FQ","BEST_FPERIOD_OVERRIDE=FQ","FILING_STATUS=MR","SCALING_FORMAT=MLN","Sort=A","Dates=H","DateFormat=P","Fill=—","Direction=H","UseDPDF=Y")</f>
        <v>—</v>
      </c>
      <c r="AK28" s="6" t="str">
        <f>_xll.BDH("TSLA US Equity","BS_TOT_COM_PAPER_ISSUED","FQ4 2019","FQ4 2019","Currency=USD","Period=FQ","BEST_FPERIOD_OVERRIDE=FQ","FILING_STATUS=MR","SCALING_FORMAT=MLN","Sort=A","Dates=H","DateFormat=P","Fill=—","Direction=H","UseDPDF=Y")</f>
        <v>—</v>
      </c>
      <c r="AL28" s="6" t="str">
        <f>_xll.BDH("TSLA US Equity","BS_TOT_COM_PAPER_ISSUED","FQ1 2020","FQ1 2020","Currency=USD","Period=FQ","BEST_FPERIOD_OVERRIDE=FQ","FILING_STATUS=MR","SCALING_FORMAT=MLN","Sort=A","Dates=H","DateFormat=P","Fill=—","Direction=H","UseDPDF=Y")</f>
        <v>—</v>
      </c>
      <c r="AM28" s="6" t="str">
        <f>_xll.BDH("TSLA US Equity","BS_TOT_COM_PAPER_ISSUED","FQ2 2020","FQ2 2020","Currency=USD","Period=FQ","BEST_FPERIOD_OVERRIDE=FQ","FILING_STATUS=MR","SCALING_FORMAT=MLN","Sort=A","Dates=H","DateFormat=P","Fill=—","Direction=H","UseDPDF=Y")</f>
        <v>—</v>
      </c>
      <c r="AN28" s="6" t="str">
        <f>_xll.BDH("TSLA US Equity","BS_TOT_COM_PAPER_ISSUED","FQ3 2020","FQ3 2020","Currency=USD","Period=FQ","BEST_FPERIOD_OVERRIDE=FQ","FILING_STATUS=MR","SCALING_FORMAT=MLN","Sort=A","Dates=H","DateFormat=P","Fill=—","Direction=H","UseDPDF=Y")</f>
        <v>—</v>
      </c>
      <c r="AO28" s="6" t="str">
        <f>_xll.BDH("TSLA US Equity","BS_TOT_COM_PAPER_ISSUED","FQ4 2020","FQ4 2020","Currency=USD","Period=FQ","BEST_FPERIOD_OVERRIDE=FQ","FILING_STATUS=MR","SCALING_FORMAT=MLN","Sort=A","Dates=H","DateFormat=P","Fill=—","Direction=H","UseDPDF=Y")</f>
        <v>—</v>
      </c>
      <c r="AP28" s="6" t="str">
        <f>_xll.BDH("TSLA US Equity","BS_TOT_COM_PAPER_ISSUED","FQ1 2021","FQ1 2021","Currency=USD","Period=FQ","BEST_FPERIOD_OVERRIDE=FQ","FILING_STATUS=MR","SCALING_FORMAT=MLN","Sort=A","Dates=H","DateFormat=P","Fill=—","Direction=H","UseDPDF=Y")</f>
        <v>—</v>
      </c>
    </row>
    <row r="29" spans="1:42" x14ac:dyDescent="0.25">
      <c r="A29" s="13" t="s">
        <v>124</v>
      </c>
      <c r="B29" s="13"/>
      <c r="C29" s="13" t="s">
        <v>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Profitability</vt:lpstr>
      <vt:lpstr>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2021-07-07T12:52:32Z</dcterms:modified>
</cp:coreProperties>
</file>