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uhardjo\Desktop\"/>
    </mc:Choice>
  </mc:AlternateContent>
  <bookViews>
    <workbookView xWindow="10395" yWindow="-105" windowWidth="14850" windowHeight="12735" activeTab="2"/>
  </bookViews>
  <sheets>
    <sheet name="Profitability" sheetId="2" r:id="rId1"/>
    <sheet name="Profitability (2)" sheetId="3" r:id="rId2"/>
    <sheet name="Liquidity" sheetId="4" r:id="rId3"/>
  </sheets>
  <calcPr calcId="162913"/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T13" i="2"/>
  <c r="O7" i="2"/>
  <c r="AM7" i="2"/>
  <c r="K9" i="2"/>
  <c r="AA7" i="2"/>
  <c r="W9" i="2"/>
  <c r="AI9" i="2"/>
  <c r="G11" i="2"/>
  <c r="AM13" i="2"/>
  <c r="S11" i="2"/>
  <c r="O13" i="2"/>
  <c r="AE11" i="2"/>
  <c r="K17" i="2"/>
  <c r="AA13" i="2"/>
  <c r="C13" i="2"/>
  <c r="AI17" i="2"/>
  <c r="W17" i="2"/>
  <c r="S19" i="2"/>
  <c r="C21" i="2"/>
  <c r="G19" i="2"/>
  <c r="AE19" i="2"/>
  <c r="O21" i="2"/>
  <c r="AA21" i="2"/>
  <c r="AM21" i="2"/>
  <c r="K23" i="2"/>
  <c r="W23" i="2"/>
  <c r="C27" i="2"/>
  <c r="AA27" i="2"/>
  <c r="G25" i="2"/>
  <c r="AE25" i="2"/>
  <c r="O27" i="2"/>
  <c r="AI23" i="2"/>
  <c r="S25" i="2"/>
  <c r="W29" i="2"/>
  <c r="AM27" i="2"/>
  <c r="AI29" i="2"/>
  <c r="K29" i="2"/>
  <c r="G31" i="2"/>
  <c r="C35" i="2"/>
  <c r="AE31" i="2"/>
  <c r="O35" i="2"/>
  <c r="S31" i="2"/>
  <c r="AM35" i="2"/>
  <c r="AI37" i="2"/>
  <c r="AA35" i="2"/>
  <c r="W37" i="2"/>
  <c r="G38" i="2"/>
  <c r="AE38" i="2"/>
  <c r="K37" i="2"/>
  <c r="S38" i="2"/>
  <c r="H13" i="2"/>
  <c r="T7" i="2"/>
  <c r="L9" i="2"/>
  <c r="D7" i="2"/>
  <c r="H19" i="2"/>
  <c r="AB9" i="2"/>
  <c r="AB17" i="2"/>
  <c r="AB7" i="2"/>
  <c r="AN13" i="2"/>
  <c r="D13" i="2"/>
  <c r="H11" i="2"/>
  <c r="AN21" i="2"/>
  <c r="D21" i="2"/>
  <c r="AJ23" i="2"/>
  <c r="AJ17" i="2"/>
  <c r="P27" i="2"/>
  <c r="AF25" i="2"/>
  <c r="H31" i="2"/>
  <c r="L29" i="2"/>
  <c r="AJ37" i="2"/>
  <c r="T38" i="2"/>
  <c r="D35" i="2"/>
  <c r="AC7" i="2"/>
  <c r="AB35" i="2"/>
  <c r="Q7" i="2"/>
  <c r="AK9" i="2"/>
  <c r="AO7" i="2"/>
  <c r="M9" i="2"/>
  <c r="U11" i="2"/>
  <c r="I11" i="2"/>
  <c r="Y9" i="2"/>
  <c r="AG11" i="2"/>
  <c r="E13" i="2"/>
  <c r="Q13" i="2"/>
  <c r="AC13" i="2"/>
  <c r="AO13" i="2"/>
  <c r="Y17" i="2"/>
  <c r="M17" i="2"/>
  <c r="AK17" i="2"/>
  <c r="I19" i="2"/>
  <c r="Q21" i="2"/>
  <c r="U19" i="2"/>
  <c r="AO21" i="2"/>
  <c r="AC21" i="2"/>
  <c r="M23" i="2"/>
  <c r="AG19" i="2"/>
  <c r="Y23" i="2"/>
  <c r="E21" i="2"/>
  <c r="AK23" i="2"/>
  <c r="E27" i="2"/>
  <c r="I25" i="2"/>
  <c r="AC27" i="2"/>
  <c r="AG25" i="2"/>
  <c r="U25" i="2"/>
  <c r="AK29" i="2"/>
  <c r="I31" i="2"/>
  <c r="Q27" i="2"/>
  <c r="AO27" i="2"/>
  <c r="U31" i="2"/>
  <c r="E35" i="2"/>
  <c r="Y29" i="2"/>
  <c r="M29" i="2"/>
  <c r="AG31" i="2"/>
  <c r="AC35" i="2"/>
  <c r="Q35" i="2"/>
  <c r="AO35" i="2"/>
  <c r="M37" i="2"/>
  <c r="Y37" i="2"/>
  <c r="AK37" i="2"/>
  <c r="I38" i="2"/>
  <c r="U38" i="2"/>
  <c r="AG38" i="2"/>
  <c r="P7" i="2"/>
  <c r="AF7" i="2"/>
  <c r="T11" i="2"/>
  <c r="X9" i="2"/>
  <c r="T19" i="2"/>
  <c r="L17" i="2"/>
  <c r="P17" i="2"/>
  <c r="P13" i="2"/>
  <c r="P21" i="2"/>
  <c r="AB27" i="2"/>
  <c r="T25" i="2"/>
  <c r="AH11" i="2"/>
  <c r="AF31" i="2"/>
  <c r="L23" i="2"/>
  <c r="AJ29" i="2"/>
  <c r="R7" i="2"/>
  <c r="Z9" i="2"/>
  <c r="L37" i="2"/>
  <c r="J11" i="2"/>
  <c r="AP13" i="2"/>
  <c r="AF38" i="2"/>
  <c r="V11" i="2"/>
  <c r="AP7" i="2"/>
  <c r="AL9" i="2"/>
  <c r="F13" i="2"/>
  <c r="AD13" i="2"/>
  <c r="R13" i="2"/>
  <c r="AL17" i="2"/>
  <c r="Z17" i="2"/>
  <c r="N17" i="2"/>
  <c r="J19" i="2"/>
  <c r="V19" i="2"/>
  <c r="AH19" i="2"/>
  <c r="AD21" i="2"/>
  <c r="R21" i="2"/>
  <c r="V25" i="2"/>
  <c r="F21" i="2"/>
  <c r="AP21" i="2"/>
  <c r="AL23" i="2"/>
  <c r="Z23" i="2"/>
  <c r="J25" i="2"/>
  <c r="F27" i="2"/>
  <c r="N23" i="2"/>
  <c r="AP27" i="2"/>
  <c r="R27" i="2"/>
  <c r="AH25" i="2"/>
  <c r="AD27" i="2"/>
  <c r="Z29" i="2"/>
  <c r="N29" i="2"/>
  <c r="J31" i="2"/>
  <c r="V31" i="2"/>
  <c r="AH31" i="2"/>
  <c r="AL29" i="2"/>
  <c r="AD35" i="2"/>
  <c r="Z37" i="2"/>
  <c r="AP35" i="2"/>
  <c r="F35" i="2"/>
  <c r="R35" i="2"/>
  <c r="N37" i="2"/>
  <c r="AL37" i="2"/>
  <c r="J38" i="2"/>
  <c r="V38" i="2"/>
  <c r="AH38" i="2"/>
  <c r="D17" i="2"/>
  <c r="C7" i="2"/>
  <c r="AN7" i="2"/>
  <c r="AF11" i="2"/>
  <c r="AJ9" i="2"/>
  <c r="AF19" i="2"/>
  <c r="X17" i="2"/>
  <c r="AB13" i="2"/>
  <c r="AB21" i="2"/>
  <c r="X23" i="2"/>
  <c r="AN27" i="2"/>
  <c r="H25" i="2"/>
  <c r="D27" i="2"/>
  <c r="X29" i="2"/>
  <c r="T31" i="2"/>
  <c r="E7" i="2"/>
  <c r="AN35" i="2"/>
  <c r="H38" i="2"/>
  <c r="F7" i="2"/>
  <c r="P35" i="2"/>
  <c r="X37" i="2"/>
  <c r="N9" i="2"/>
  <c r="AD7" i="2"/>
  <c r="AE7" i="2"/>
  <c r="S7" i="2"/>
  <c r="AA9" i="2"/>
  <c r="G7" i="2"/>
  <c r="O9" i="2"/>
  <c r="K11" i="2"/>
  <c r="C9" i="2"/>
  <c r="AM9" i="2"/>
  <c r="AI11" i="2"/>
  <c r="W11" i="2"/>
  <c r="G13" i="2"/>
  <c r="S13" i="2"/>
  <c r="AE13" i="2"/>
  <c r="O17" i="2"/>
  <c r="C17" i="2"/>
  <c r="AA17" i="2"/>
  <c r="K31" i="2"/>
  <c r="AI19" i="2"/>
  <c r="G21" i="2"/>
  <c r="AM17" i="2"/>
  <c r="W19" i="2"/>
  <c r="K19" i="2"/>
  <c r="AE21" i="2"/>
  <c r="AA23" i="2"/>
  <c r="AI25" i="2"/>
  <c r="C23" i="2"/>
  <c r="AM23" i="2"/>
  <c r="S21" i="2"/>
  <c r="O23" i="2"/>
  <c r="K25" i="2"/>
  <c r="W25" i="2"/>
  <c r="G27" i="2"/>
  <c r="AE27" i="2"/>
  <c r="S27" i="2"/>
  <c r="AA29" i="2"/>
  <c r="C29" i="2"/>
  <c r="O29" i="2"/>
  <c r="AI31" i="2"/>
  <c r="W31" i="2"/>
  <c r="AM29" i="2"/>
  <c r="G35" i="2"/>
  <c r="K38" i="2"/>
  <c r="O37" i="2"/>
  <c r="AE35" i="2"/>
  <c r="S35" i="2"/>
  <c r="AA37" i="2"/>
  <c r="C37" i="2"/>
  <c r="W38" i="2"/>
  <c r="AM37" i="2"/>
  <c r="AN17" i="2"/>
  <c r="AN9" i="2"/>
  <c r="AI38" i="2"/>
  <c r="AB23" i="2"/>
  <c r="T21" i="2"/>
  <c r="P29" i="2"/>
  <c r="AF27" i="2"/>
  <c r="P37" i="2"/>
  <c r="H27" i="2"/>
  <c r="AN23" i="2"/>
  <c r="D29" i="2"/>
  <c r="L31" i="2"/>
  <c r="X31" i="2"/>
  <c r="AN29" i="2"/>
  <c r="AF35" i="2"/>
  <c r="AB29" i="2"/>
  <c r="AJ31" i="2"/>
  <c r="H35" i="2"/>
  <c r="T35" i="2"/>
  <c r="AB37" i="2"/>
  <c r="D37" i="2"/>
  <c r="AN37" i="2"/>
  <c r="L38" i="2"/>
  <c r="X38" i="2"/>
  <c r="AJ38" i="2"/>
  <c r="E9" i="2"/>
  <c r="I7" i="2"/>
  <c r="U7" i="2"/>
  <c r="Q9" i="2"/>
  <c r="AC9" i="2"/>
  <c r="Y11" i="2"/>
  <c r="AG7" i="2"/>
  <c r="U13" i="2"/>
  <c r="AO9" i="2"/>
  <c r="M11" i="2"/>
  <c r="AG13" i="2"/>
  <c r="Q17" i="2"/>
  <c r="AK11" i="2"/>
  <c r="AO17" i="2"/>
  <c r="M19" i="2"/>
  <c r="E17" i="2"/>
  <c r="I13" i="2"/>
  <c r="AC17" i="2"/>
  <c r="U21" i="2"/>
  <c r="AK19" i="2"/>
  <c r="Y19" i="2"/>
  <c r="E23" i="2"/>
  <c r="AG21" i="2"/>
  <c r="Q23" i="2"/>
  <c r="AC23" i="2"/>
  <c r="AO23" i="2"/>
  <c r="I21" i="2"/>
  <c r="Y25" i="2"/>
  <c r="M25" i="2"/>
  <c r="AK25" i="2"/>
  <c r="I27" i="2"/>
  <c r="U27" i="2"/>
  <c r="AC29" i="2"/>
  <c r="AG27" i="2"/>
  <c r="Q29" i="2"/>
  <c r="AO29" i="2"/>
  <c r="E29" i="2"/>
  <c r="I35" i="2"/>
  <c r="E37" i="2"/>
  <c r="M31" i="2"/>
  <c r="AK31" i="2"/>
  <c r="AC37" i="2"/>
  <c r="Q37" i="2"/>
  <c r="U35" i="2"/>
  <c r="Y31" i="2"/>
  <c r="AG35" i="2"/>
  <c r="AH7" i="2"/>
  <c r="M38" i="2"/>
  <c r="H7" i="2"/>
  <c r="X25" i="2"/>
  <c r="L19" i="2"/>
  <c r="AF21" i="2"/>
  <c r="AK38" i="2"/>
  <c r="AO37" i="2"/>
  <c r="X11" i="2"/>
  <c r="AP9" i="2"/>
  <c r="Z19" i="2"/>
  <c r="Y38" i="2"/>
  <c r="R17" i="2"/>
  <c r="V13" i="2"/>
  <c r="AH21" i="2"/>
  <c r="AP23" i="2"/>
  <c r="J27" i="2"/>
  <c r="R29" i="2"/>
  <c r="Z31" i="2"/>
  <c r="S17" i="2"/>
  <c r="AH35" i="2"/>
  <c r="AP37" i="2"/>
  <c r="K7" i="2"/>
  <c r="S9" i="2"/>
  <c r="G9" i="2"/>
  <c r="K13" i="2"/>
  <c r="AM11" i="2"/>
  <c r="AE9" i="2"/>
  <c r="C11" i="2"/>
  <c r="W13" i="2"/>
  <c r="AA11" i="2"/>
  <c r="G17" i="2"/>
  <c r="O19" i="2"/>
  <c r="O11" i="2"/>
  <c r="AM19" i="2"/>
  <c r="AE17" i="2"/>
  <c r="K21" i="2"/>
  <c r="S23" i="2"/>
  <c r="AE23" i="2"/>
  <c r="AI21" i="2"/>
  <c r="AA19" i="2"/>
  <c r="AI13" i="2"/>
  <c r="W21" i="2"/>
  <c r="C19" i="2"/>
  <c r="G23" i="2"/>
  <c r="AA25" i="2"/>
  <c r="C25" i="2"/>
  <c r="O25" i="2"/>
  <c r="AM25" i="2"/>
  <c r="K27" i="2"/>
  <c r="AI27" i="2"/>
  <c r="G29" i="2"/>
  <c r="S29" i="2"/>
  <c r="AE29" i="2"/>
  <c r="W27" i="2"/>
  <c r="AA31" i="2"/>
  <c r="C31" i="2"/>
  <c r="O31" i="2"/>
  <c r="AM31" i="2"/>
  <c r="G37" i="2"/>
  <c r="L11" i="2"/>
  <c r="AI35" i="2"/>
  <c r="K35" i="2"/>
  <c r="C38" i="2"/>
  <c r="L25" i="2"/>
  <c r="W35" i="2"/>
  <c r="F9" i="2"/>
  <c r="O38" i="2"/>
  <c r="AA38" i="2"/>
  <c r="S37" i="2"/>
  <c r="J7" i="2"/>
  <c r="AM38" i="2"/>
  <c r="H21" i="2"/>
  <c r="AP17" i="2"/>
  <c r="AE37" i="2"/>
  <c r="N31" i="2"/>
  <c r="J13" i="2"/>
  <c r="J21" i="2"/>
  <c r="AH27" i="2"/>
  <c r="AD23" i="2"/>
  <c r="F37" i="2"/>
  <c r="AB11" i="2"/>
  <c r="AL38" i="2"/>
  <c r="H9" i="2"/>
  <c r="T9" i="2"/>
  <c r="H17" i="2"/>
  <c r="L7" i="2"/>
  <c r="D11" i="2"/>
  <c r="AF9" i="2"/>
  <c r="X13" i="2"/>
  <c r="L13" i="2"/>
  <c r="AF17" i="2"/>
  <c r="AN19" i="2"/>
  <c r="P11" i="2"/>
  <c r="P19" i="2"/>
  <c r="T17" i="2"/>
  <c r="AN11" i="2"/>
  <c r="T23" i="2"/>
  <c r="AJ13" i="2"/>
  <c r="AB19" i="2"/>
  <c r="P25" i="2"/>
  <c r="AJ21" i="2"/>
  <c r="L21" i="2"/>
  <c r="D19" i="2"/>
  <c r="AB25" i="2"/>
  <c r="X21" i="2"/>
  <c r="H23" i="2"/>
  <c r="AF23" i="2"/>
  <c r="D25" i="2"/>
  <c r="AN25" i="2"/>
  <c r="L27" i="2"/>
  <c r="X27" i="2"/>
  <c r="AJ27" i="2"/>
  <c r="P31" i="2"/>
  <c r="AF29" i="2"/>
  <c r="H29" i="2"/>
  <c r="T29" i="2"/>
  <c r="AF37" i="2"/>
  <c r="L35" i="2"/>
  <c r="H37" i="2"/>
  <c r="R9" i="2"/>
  <c r="D31" i="2"/>
  <c r="AN31" i="2"/>
  <c r="AB31" i="2"/>
  <c r="AJ35" i="2"/>
  <c r="N19" i="2"/>
  <c r="D38" i="2"/>
  <c r="P9" i="2"/>
  <c r="T37" i="2"/>
  <c r="X35" i="2"/>
  <c r="AL11" i="2"/>
  <c r="N11" i="2"/>
  <c r="AB38" i="2"/>
  <c r="P38" i="2"/>
  <c r="T27" i="2"/>
  <c r="AF13" i="2"/>
  <c r="P23" i="2"/>
  <c r="AJ19" i="2"/>
  <c r="AN38" i="2"/>
  <c r="V21" i="2"/>
  <c r="R23" i="2"/>
  <c r="F17" i="2"/>
  <c r="Z25" i="2"/>
  <c r="V27" i="2"/>
  <c r="AD29" i="2"/>
  <c r="X7" i="2"/>
  <c r="W7" i="2"/>
  <c r="Z38" i="2"/>
  <c r="AL31" i="2"/>
  <c r="Y13" i="2"/>
  <c r="AD37" i="2"/>
  <c r="V35" i="2"/>
  <c r="AC19" i="2"/>
  <c r="AO11" i="2"/>
  <c r="AK13" i="2"/>
  <c r="Q19" i="2"/>
  <c r="AK7" i="2"/>
  <c r="Y7" i="2"/>
  <c r="Q11" i="2"/>
  <c r="U17" i="2"/>
  <c r="AO19" i="2"/>
  <c r="AG9" i="2"/>
  <c r="Y21" i="2"/>
  <c r="U9" i="2"/>
  <c r="E11" i="2"/>
  <c r="E19" i="2"/>
  <c r="AK21" i="2"/>
  <c r="I17" i="2"/>
  <c r="AG17" i="2"/>
  <c r="AC11" i="2"/>
  <c r="M13" i="2"/>
  <c r="M21" i="2"/>
  <c r="U23" i="2"/>
  <c r="I23" i="2"/>
  <c r="AG23" i="2"/>
  <c r="E25" i="2"/>
  <c r="Q25" i="2"/>
  <c r="AO25" i="2"/>
  <c r="AJ25" i="2"/>
  <c r="E31" i="2"/>
  <c r="AC25" i="2"/>
  <c r="AO31" i="2"/>
  <c r="AG29" i="2"/>
  <c r="Q31" i="2"/>
  <c r="M27" i="2"/>
  <c r="Y27" i="2"/>
  <c r="I29" i="2"/>
  <c r="M35" i="2"/>
  <c r="I37" i="2"/>
  <c r="U29" i="2"/>
  <c r="AK27" i="2"/>
  <c r="AC31" i="2"/>
  <c r="Y35" i="2"/>
  <c r="AO38" i="2"/>
  <c r="Z11" i="2"/>
  <c r="AK35" i="2"/>
  <c r="AG37" i="2"/>
  <c r="E38" i="2"/>
  <c r="U37" i="2"/>
  <c r="AJ11" i="2"/>
  <c r="X19" i="2"/>
  <c r="AC38" i="2"/>
  <c r="Q38" i="2"/>
  <c r="D23" i="2"/>
  <c r="D9" i="2"/>
  <c r="AH13" i="2"/>
  <c r="V7" i="2"/>
  <c r="AD9" i="2"/>
  <c r="AD17" i="2"/>
  <c r="V9" i="2"/>
  <c r="M7" i="2"/>
  <c r="AL25" i="2"/>
  <c r="Z7" i="2"/>
  <c r="AJ7" i="2"/>
  <c r="F23" i="2"/>
  <c r="J9" i="2"/>
  <c r="AL19" i="2"/>
  <c r="F29" i="2"/>
  <c r="AH9" i="2"/>
  <c r="N25" i="2"/>
  <c r="F19" i="2"/>
  <c r="J35" i="2"/>
  <c r="AL7" i="2"/>
  <c r="N38" i="2"/>
  <c r="F11" i="2"/>
  <c r="I9" i="2"/>
  <c r="R37" i="2"/>
  <c r="AP29" i="2"/>
  <c r="AL13" i="2"/>
  <c r="N7" i="2"/>
  <c r="AI7" i="2"/>
  <c r="N13" i="2"/>
  <c r="AD11" i="2"/>
  <c r="Z13" i="2"/>
  <c r="R19" i="2"/>
  <c r="V17" i="2"/>
  <c r="R11" i="2"/>
  <c r="J17" i="2"/>
  <c r="AP11" i="2"/>
  <c r="AH17" i="2"/>
  <c r="AL27" i="2"/>
  <c r="F31" i="2"/>
  <c r="AL35" i="2"/>
  <c r="AP38" i="2"/>
  <c r="AH37" i="2"/>
  <c r="Z27" i="2"/>
  <c r="J29" i="2"/>
  <c r="J23" i="2"/>
  <c r="V23" i="2"/>
  <c r="Z21" i="2"/>
  <c r="AD19" i="2"/>
  <c r="J37" i="2"/>
  <c r="N35" i="2"/>
  <c r="R38" i="2"/>
  <c r="AP25" i="2"/>
  <c r="V29" i="2"/>
  <c r="AL21" i="2"/>
  <c r="AP19" i="2"/>
  <c r="F25" i="2"/>
  <c r="F38" i="2"/>
  <c r="R25" i="2"/>
  <c r="AD38" i="2"/>
  <c r="AD25" i="2"/>
  <c r="R31" i="2"/>
  <c r="AH23" i="2"/>
  <c r="AD31" i="2"/>
  <c r="N27" i="2"/>
  <c r="V37" i="2"/>
  <c r="AP31" i="2"/>
  <c r="AH29" i="2"/>
  <c r="N21" i="2"/>
  <c r="Z35" i="2"/>
</calcChain>
</file>

<file path=xl/sharedStrings.xml><?xml version="1.0" encoding="utf-8"?>
<sst xmlns="http://schemas.openxmlformats.org/spreadsheetml/2006/main" count="645" uniqueCount="198">
  <si>
    <t>Right click to show data transparency (not supported for all values)</t>
  </si>
  <si>
    <t>Amazon.com Inc (AMZN US) - Profitability</t>
  </si>
  <si>
    <t>In Millions of USD except Per Share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</si>
  <si>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</si>
  <si>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</si>
  <si>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</si>
  <si>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</si>
  <si>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</si>
  <si>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</si>
  <si>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</si>
  <si>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</si>
  <si>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</si>
  <si>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</si>
  <si>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</si>
  <si>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</si>
  <si>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</si>
  <si>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</si>
  <si>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</si>
  <si>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</si>
  <si>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</si>
  <si>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</si>
  <si>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</si>
  <si>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</si>
  <si>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</si>
  <si>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</si>
  <si>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</si>
  <si>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</si>
  <si>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</si>
  <si>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</si>
  <si>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</si>
  <si>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</si>
  <si>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</si>
  <si>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</si>
  <si>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</si>
  <si>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</si>
  <si>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</si>
  <si>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</si>
  <si>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</si>
  <si>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</si>
  <si>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</si>
  <si>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</si>
  <si>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</si>
  <si>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</si>
  <si>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3 Months Ending</t>
  </si>
  <si>
    <t>06/30/2011</t>
  </si>
  <si>
    <t>09/30/2011</t>
  </si>
  <si>
    <t>12/31/2011</t>
  </si>
  <si>
    <t>03/31/2012</t>
  </si>
  <si>
    <t>06/30/2012</t>
  </si>
  <si>
    <t>09/30/2012</t>
  </si>
  <si>
    <t>12/31/2012</t>
  </si>
  <si>
    <t>03/31/2013</t>
  </si>
  <si>
    <t>06/30/2013</t>
  </si>
  <si>
    <t>09/30/2013</t>
  </si>
  <si>
    <t>12/31/2013</t>
  </si>
  <si>
    <t>03/31/2014</t>
  </si>
  <si>
    <t>06/30/2014</t>
  </si>
  <si>
    <t>09/30/2014</t>
  </si>
  <si>
    <t>12/31/2014</t>
  </si>
  <si>
    <t>03/31/2015</t>
  </si>
  <si>
    <t>06/30/2015</t>
  </si>
  <si>
    <t>09/30/2015</t>
  </si>
  <si>
    <t>12/31/2015</t>
  </si>
  <si>
    <t>03/31/2016</t>
  </si>
  <si>
    <t>06/30/2016</t>
  </si>
  <si>
    <t>09/30/2016</t>
  </si>
  <si>
    <t>12/31/2016</t>
  </si>
  <si>
    <t>03/31/2017</t>
  </si>
  <si>
    <t>06/30/2017</t>
  </si>
  <si>
    <t>09/30/2017</t>
  </si>
  <si>
    <t>12/31/2017</t>
  </si>
  <si>
    <t>03/31/2018</t>
  </si>
  <si>
    <t>06/30/2018</t>
  </si>
  <si>
    <t>09/30/2018</t>
  </si>
  <si>
    <t>12/31/2018</t>
  </si>
  <si>
    <t>03/31/2019</t>
  </si>
  <si>
    <t>06/30/2019</t>
  </si>
  <si>
    <t>09/30/2019</t>
  </si>
  <si>
    <t>12/31/2019</t>
  </si>
  <si>
    <t>03/31/2020</t>
  </si>
  <si>
    <t>06/30/2020</t>
  </si>
  <si>
    <t>09/30/2020</t>
  </si>
  <si>
    <t>12/31/2020</t>
  </si>
  <si>
    <t>03/31/2021</t>
  </si>
  <si>
    <t>Returns</t>
  </si>
  <si>
    <t>Return on Common Equity</t>
  </si>
  <si>
    <t>RETURN_COM_EQY</t>
  </si>
  <si>
    <t xml:space="preserve">    Growth (YoY)</t>
  </si>
  <si>
    <t>—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</si>
  <si>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</si>
  <si>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</si>
  <si>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</si>
  <si>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</si>
  <si>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</si>
  <si>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</si>
  <si>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</si>
  <si>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</si>
  <si>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</si>
  <si>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</si>
  <si>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</si>
  <si>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</si>
  <si>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</si>
  <si>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</si>
  <si>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</si>
  <si>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</si>
  <si>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</si>
  <si>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</si>
  <si>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</si>
  <si>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</si>
  <si>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</si>
  <si>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</si>
  <si>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</si>
  <si>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</si>
  <si>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</si>
  <si>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</si>
  <si>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</si>
  <si>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</si>
  <si>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</si>
  <si>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</si>
  <si>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</si>
  <si>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Period ending</t>
  </si>
  <si>
    <t>CQ1 2021</t>
  </si>
  <si>
    <t>CQ4 2020</t>
  </si>
  <si>
    <t>CQ3 2020</t>
  </si>
  <si>
    <t>CQ2 2020</t>
  </si>
  <si>
    <t>CQ1 2020</t>
  </si>
  <si>
    <t>CQ4 2019</t>
  </si>
  <si>
    <t>CQ3 2019</t>
  </si>
  <si>
    <t>CQ2 2019</t>
  </si>
  <si>
    <t>CQ1 2019</t>
  </si>
  <si>
    <t>CQ4 2018</t>
  </si>
  <si>
    <t>CQ3 2018</t>
  </si>
  <si>
    <t>CQ2 2018</t>
  </si>
  <si>
    <t>CQ1 2018</t>
  </si>
  <si>
    <t>CQ4 2017</t>
  </si>
  <si>
    <t>CQ3 2017</t>
  </si>
  <si>
    <t>CQ2 2017</t>
  </si>
  <si>
    <t>CQ1 2017</t>
  </si>
  <si>
    <t>CQ4 2016</t>
  </si>
  <si>
    <t>CQ3 2016</t>
  </si>
  <si>
    <t>CQ2 2016</t>
  </si>
  <si>
    <t>CQ1 2016</t>
  </si>
  <si>
    <t>CQ4 2015</t>
  </si>
  <si>
    <t>CQ3 2015</t>
  </si>
  <si>
    <t>CQ2 2015</t>
  </si>
  <si>
    <t>CQ1 2015</t>
  </si>
  <si>
    <t>CQ4 2014</t>
  </si>
  <si>
    <t>CQ3 2014</t>
  </si>
  <si>
    <t>CQ2 2014</t>
  </si>
  <si>
    <t>CQ1 2014</t>
  </si>
  <si>
    <t>CQ4 2013</t>
  </si>
  <si>
    <t>CQ3 2013</t>
  </si>
  <si>
    <t>CQ2 2013</t>
  </si>
  <si>
    <t>CQ1 2013</t>
  </si>
  <si>
    <t>CQ4 2012</t>
  </si>
  <si>
    <t>CQ3 2012</t>
  </si>
  <si>
    <t>CQ2 2012</t>
  </si>
  <si>
    <t>CQ1 2012</t>
  </si>
  <si>
    <t>CQ4 2011</t>
  </si>
  <si>
    <t>CQ3 2011</t>
  </si>
  <si>
    <t>CQ2 2011</t>
  </si>
  <si>
    <t>BS_TOT_COM_PAPER_ISSUED</t>
  </si>
  <si>
    <t>Total Commercial Paper Outstanding</t>
  </si>
  <si>
    <t>LINE_OF_CREDIT_UTILIZED_AMOUNT</t>
  </si>
  <si>
    <t xml:space="preserve">  Total Credit Lines Drawn</t>
  </si>
  <si>
    <t>BS_TOTAL_AVAIL_LINE_OF_CREDIT</t>
  </si>
  <si>
    <t xml:space="preserve">  Total Available Line Of Credit</t>
  </si>
  <si>
    <t>BS_TOTAL_LINE_OF_CREDIT</t>
  </si>
  <si>
    <t>Total Line of Credit</t>
  </si>
  <si>
    <t>ALTMAN_Z_SCORE</t>
  </si>
  <si>
    <t>Altman's Z-Score</t>
  </si>
  <si>
    <t>CAP_EXPEND_RATIO</t>
  </si>
  <si>
    <t>CFO/CapEx</t>
  </si>
  <si>
    <t>CASH_FLOW_TO_TOT_LIAB</t>
  </si>
  <si>
    <t>CFO/Total Liabilities</t>
  </si>
  <si>
    <t>TOT_DEBT_TO_TOT_ASSET</t>
  </si>
  <si>
    <t>Total Debt/Total Assets</t>
  </si>
  <si>
    <t>TOT_DEBT_TO_TOT_CAP</t>
  </si>
  <si>
    <t>Total Debt/Capital</t>
  </si>
  <si>
    <t>TOT_DEBT_TO_TOT_EQY</t>
  </si>
  <si>
    <t>Total Debt/Equity</t>
  </si>
  <si>
    <t>LT_DEBT_TO_TOT_ASSET</t>
  </si>
  <si>
    <t>Long-Term Debt/Total Assets</t>
  </si>
  <si>
    <t>LT_DEBT_TO_TOT_CAP</t>
  </si>
  <si>
    <t>Long-Term Debt/Capital</t>
  </si>
  <si>
    <t>LT_DEBT_TO_TOT_EQY</t>
  </si>
  <si>
    <t>Long-Term Debt/Equity</t>
  </si>
  <si>
    <t>COM_EQY_TO_TOT_ASSET</t>
  </si>
  <si>
    <t>Common Equity/Total Assets</t>
  </si>
  <si>
    <t>CFO_TO_AVG_CURRENT_LIABILITIES</t>
  </si>
  <si>
    <t>CFO/Avg Current Liab</t>
  </si>
  <si>
    <t>QUICK_RATIO</t>
  </si>
  <si>
    <t>Quick Ratio</t>
  </si>
  <si>
    <t>CUR_RATIO</t>
  </si>
  <si>
    <t>Current Ratio</t>
  </si>
  <si>
    <t>CASH_RATIO</t>
  </si>
  <si>
    <t>Cash Ratio</t>
  </si>
  <si>
    <t>Amazon.com Inc (AMZN US) - Liquidity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</si>
</sst>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.0"/>
  </numFmts>
  <fonts count="2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5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5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8" fillId="34" borderId="2">
      <alignment horizontal="right"/>
    </xf>
    <xf numFmtId="171" fontId="11" fillId="34" borderId="2">
      <alignment horizontal="right"/>
    </xf>
    <xf numFmtId="171" fontId="1" fillId="34" borderId="2">
      <alignment horizontal="right"/>
    </xf>
    <xf numFmtId="0" fontId="7" fillId="33" borderId="16">
      <alignment horizontal="left"/>
    </xf>
    <xf numFmtId="0" fontId="7" fillId="33" borderId="16">
      <alignment horizontal="right"/>
    </xf>
    <xf numFmtId="0" fontId="7" fillId="33" borderId="17">
      <alignment horizontal="left"/>
    </xf>
    <xf numFmtId="0" fontId="7" fillId="33" borderId="17">
      <alignment horizontal="right"/>
    </xf>
    <xf numFmtId="0" fontId="8" fillId="34" borderId="18"/>
    <xf numFmtId="0" fontId="4" fillId="34" borderId="18"/>
    <xf numFmtId="0" fontId="3" fillId="34" borderId="18"/>
  </cellStyleXfs>
  <cellXfs count="24">
    <xf numFmtId="0" fontId="0" fillId="0" borderId="0" xfId="0"/>
    <xf numFmtId="171" fontId="1" fillId="34" borderId="2" xfId="57" applyNumberFormat="1" applyFont="1" applyFill="1" applyBorder="1" applyAlignment="1" applyProtection="1">
      <alignment horizontal="right"/>
    </xf>
    <xf numFmtId="0" fontId="7" fillId="33" borderId="16" xfId="58" applyNumberFormat="1" applyFont="1" applyFill="1" applyBorder="1" applyAlignment="1" applyProtection="1">
      <alignment horizontal="left"/>
    </xf>
    <xf numFmtId="0" fontId="7" fillId="33" borderId="16" xfId="59" applyNumberFormat="1" applyFont="1" applyFill="1" applyBorder="1" applyAlignment="1" applyProtection="1">
      <alignment horizontal="right"/>
    </xf>
    <xf numFmtId="0" fontId="7" fillId="33" borderId="17" xfId="60">
      <alignment horizontal="left"/>
    </xf>
    <xf numFmtId="0" fontId="7" fillId="33" borderId="17" xfId="61" applyNumberFormat="1" applyFont="1" applyFill="1" applyBorder="1" applyAlignment="1" applyProtection="1">
      <alignment horizontal="right"/>
    </xf>
    <xf numFmtId="0" fontId="8" fillId="34" borderId="18" xfId="62" applyNumberFormat="1" applyFont="1" applyFill="1" applyBorder="1" applyAlignment="1" applyProtection="1"/>
    <xf numFmtId="0" fontId="4" fillId="34" borderId="18" xfId="63" applyNumberFormat="1" applyFont="1" applyFill="1" applyBorder="1" applyAlignment="1" applyProtection="1"/>
    <xf numFmtId="0" fontId="3" fillId="34" borderId="18" xfId="64" applyNumberFormat="1" applyFont="1" applyFill="1" applyBorder="1" applyAlignment="1" applyProtection="1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5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4" fontId="1" fillId="34" borderId="2" xfId="54" applyNumberFormat="1" applyFont="1" applyFill="1" applyBorder="1" applyAlignment="1" applyProtection="1">
      <alignment horizontal="right"/>
    </xf>
    <xf numFmtId="3" fontId="8" fillId="34" borderId="2" xfId="55" applyNumberFormat="1" applyFont="1" applyFill="1" applyBorder="1" applyAlignment="1" applyProtection="1">
      <alignment horizontal="right"/>
    </xf>
    <xf numFmtId="171" fontId="11" fillId="34" borderId="2" xfId="56" applyNumberFormat="1" applyFont="1" applyFill="1" applyBorder="1" applyAlignment="1" applyProtection="1">
      <alignment horizontal="right"/>
    </xf>
  </cellXfs>
  <cellStyles count="6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 2" xfId="61"/>
    <cellStyle name="fa_column_header_bottom_left" xfId="52"/>
    <cellStyle name="fa_column_header_bottom_left 2" xfId="60"/>
    <cellStyle name="fa_column_header_empty" xfId="31"/>
    <cellStyle name="fa_column_header_top" xfId="32"/>
    <cellStyle name="fa_column_header_top 2" xfId="59"/>
    <cellStyle name="fa_column_header_top_left" xfId="33"/>
    <cellStyle name="fa_column_header_top_left 2" xfId="58"/>
    <cellStyle name="fa_data_bold_0_grouped" xfId="55"/>
    <cellStyle name="fa_data_italic_1_grouped" xfId="56"/>
    <cellStyle name="fa_data_standard_0_grouped" xfId="53"/>
    <cellStyle name="fa_data_standard_1_grouped" xfId="57"/>
    <cellStyle name="fa_data_standard_2_grouped" xfId="54"/>
    <cellStyle name="fa_footer_italic" xfId="34"/>
    <cellStyle name="fa_row_header_bold" xfId="35"/>
    <cellStyle name="fa_row_header_bold 2" xfId="62"/>
    <cellStyle name="fa_row_header_italic" xfId="36"/>
    <cellStyle name="fa_row_header_italic 2" xfId="63"/>
    <cellStyle name="fa_row_header_standard" xfId="37"/>
    <cellStyle name="fa_row_header_standard 2" xfId="64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BDP|14464295395865270032</stp>
        <tr r="S21" s="3"/>
      </tp>
      <tp t="s">
        <v>#N/A N/A</v>
        <stp/>
        <stp>BDP|10907602600829734512</stp>
        <tr r="F21" s="3"/>
      </tp>
      <tp t="s">
        <v>#N/A N/A</v>
        <stp/>
        <stp>BDP|17948999312587428296</stp>
        <tr r="X15" s="3"/>
      </tp>
      <tp t="s">
        <v>#N/A N/A</v>
        <stp/>
        <stp>BDP|17891621775878534456</stp>
        <tr r="R9" s="3"/>
      </tp>
      <tp t="s">
        <v>#N/A N/A</v>
        <stp/>
        <stp>BDP|17849953675695606606</stp>
        <tr r="E21" s="3"/>
      </tp>
      <tp t="s">
        <v>#N/A N/A</v>
        <stp/>
        <stp>BDP|15234669585993025209</stp>
        <tr r="O9" s="3"/>
      </tp>
      <tp t="s">
        <v>#N/A N/A</v>
        <stp/>
        <stp>BDP|17385637834459661142</stp>
        <tr r="AI19" s="3"/>
      </tp>
      <tp t="s">
        <v>#N/A N/A</v>
        <stp/>
        <stp>BDH|11247540867629405148</stp>
        <tr r="Q19" s="4"/>
      </tp>
      <tp t="s">
        <v>#N/A N/A</v>
        <stp/>
        <stp>BDH|17998049488767528216</stp>
        <tr r="K40" s="4"/>
      </tp>
      <tp t="s">
        <v>#N/A N/A</v>
        <stp/>
        <stp>BDH|18050515449460122384</stp>
        <tr r="AI40" s="4"/>
      </tp>
      <tp t="s">
        <v>#N/A N/A</v>
        <stp/>
        <stp>BDH|16576800602575609118</stp>
        <tr r="U14" s="4"/>
      </tp>
      <tp t="s">
        <v>#N/A N/A</v>
        <stp/>
        <stp>BDH|12443919814959826991</stp>
        <tr r="C14" s="4"/>
      </tp>
      <tp t="s">
        <v>#N/A N/A</v>
        <stp/>
        <stp>BDH|12393584484366598398</stp>
        <tr r="S10" s="4"/>
      </tp>
      <tp t="s">
        <v>#N/A N/A</v>
        <stp/>
        <stp>BDH|15076904794188564728</stp>
        <tr r="AN26" s="4"/>
      </tp>
      <tp t="s">
        <v>#N/A N/A</v>
        <stp/>
        <stp>BDH|12401862075716227164</stp>
        <tr r="J17" s="2"/>
      </tp>
      <tp t="s">
        <v>#N/A N/A</v>
        <stp/>
        <stp>BDH|14448263452368542161</stp>
        <tr r="AF28" s="4"/>
      </tp>
      <tp t="s">
        <v>#N/A N/A</v>
        <stp/>
        <stp>BDH|13198010655345444931</stp>
        <tr r="X28" s="4"/>
      </tp>
      <tp t="s">
        <v>#N/A N/A</v>
        <stp/>
        <stp>BDH|10781670220048078622</stp>
        <tr r="M42" s="4"/>
      </tp>
      <tp t="s">
        <v>#N/A N/A</v>
        <stp/>
        <stp>BDH|15553923125287950392</stp>
        <tr r="AI14" s="4"/>
      </tp>
      <tp t="s">
        <v>#N/A N/A</v>
        <stp/>
        <stp>BDH|10745903595618764275</stp>
        <tr r="W17" s="2"/>
      </tp>
      <tp t="s">
        <v>#N/A N/A</v>
        <stp/>
        <stp>BDH|11485351246119276514</stp>
        <tr r="C31" s="2"/>
      </tp>
      <tp t="s">
        <v>#N/A N/A</v>
        <stp/>
        <stp>BDH|12540870723244643639</stp>
        <tr r="V17" s="2"/>
      </tp>
      <tp t="s">
        <v>#N/A N/A</v>
        <stp/>
        <stp>BDH|13889102287613259392</stp>
        <tr r="X19" s="2"/>
      </tp>
      <tp t="s">
        <v>#N/A N/A</v>
        <stp/>
        <stp>BDH|14602891167420427082</stp>
        <tr r="AP35" s="2"/>
      </tp>
      <tp t="s">
        <v>#N/A N/A</v>
        <stp/>
        <stp>BDH|13626849462297709009</stp>
        <tr r="AC38" s="4"/>
      </tp>
      <tp t="s">
        <v>#N/A N/A</v>
        <stp/>
        <stp>BDH|11289339657838714574</stp>
        <tr r="AC12" s="4"/>
      </tp>
      <tp t="s">
        <v>#N/A N/A</v>
        <stp/>
        <stp>BDH|10502593107839575677</stp>
        <tr r="D33" s="4"/>
      </tp>
      <tp t="s">
        <v>#N/A N/A</v>
        <stp/>
        <stp>BDH|15240920852041912229</stp>
        <tr r="F10" s="4"/>
      </tp>
      <tp t="s">
        <v>#N/A N/A</v>
        <stp/>
        <stp>BDH|17629892207223383636</stp>
        <tr r="AM23" s="2"/>
      </tp>
      <tp t="s">
        <v>#N/A N/A</v>
        <stp/>
        <stp>BDH|13845220916093545914</stp>
        <tr r="K17" s="4"/>
      </tp>
      <tp t="s">
        <v>#N/A N/A</v>
        <stp/>
        <stp>BDH|12863436231686894991</stp>
        <tr r="Z23" s="2"/>
      </tp>
      <tp t="s">
        <v>#N/A N/A</v>
        <stp/>
        <stp>BDH|12654412092271674499</stp>
        <tr r="AE12" s="4"/>
      </tp>
      <tp t="s">
        <v>#N/A N/A</v>
        <stp/>
        <stp>BDH|14193988446685345669</stp>
        <tr r="AB44" s="4"/>
      </tp>
      <tp t="s">
        <v>#N/A N/A</v>
        <stp/>
        <stp>BDH|12127430556030861967</stp>
        <tr r="AM26" s="4"/>
      </tp>
      <tp t="s">
        <v>#N/A N/A</v>
        <stp/>
        <stp>BDH|15740562088600645225</stp>
        <tr r="AA17" s="4"/>
      </tp>
      <tp t="s">
        <v>#N/A N/A</v>
        <stp/>
        <stp>BDH|13746477280322907747</stp>
        <tr r="R17" s="2"/>
      </tp>
      <tp t="s">
        <v>#N/A N/A</v>
        <stp/>
        <stp>BDH|15242149048969291305</stp>
        <tr r="Z28" s="4"/>
      </tp>
      <tp t="s">
        <v>#N/A N/A</v>
        <stp/>
        <stp>BDH|18078397547093636678</stp>
        <tr r="AA25" s="2"/>
      </tp>
      <tp t="s">
        <v>#N/A N/A</v>
        <stp/>
        <stp>BDH|18354567164594703598</stp>
        <tr r="S31" s="2"/>
      </tp>
      <tp t="s">
        <v>#N/A N/A</v>
        <stp/>
        <stp>BDP|14479089872710229856</stp>
        <tr r="Q21" s="3"/>
      </tp>
      <tp t="s">
        <v>#N/A N/A</v>
        <stp/>
        <stp>BDP|17059632998271502271</stp>
        <tr r="D9" s="3"/>
      </tp>
      <tp t="s">
        <v>#N/A N/A</v>
        <stp/>
        <stp>BDP|17623285480931565711</stp>
        <tr r="W15" s="3"/>
      </tp>
      <tp t="s">
        <v>#N/A N/A</v>
        <stp/>
        <stp>BDP|10239264294139622958</stp>
        <tr r="K21" s="3"/>
      </tp>
      <tp t="s">
        <v>#N/A N/A</v>
        <stp/>
        <stp>BDP|10490569597290241742</stp>
        <tr r="AM13" s="3"/>
      </tp>
      <tp t="s">
        <v>#N/A N/A</v>
        <stp/>
        <stp>BDP|15791725090675617568</stp>
        <tr r="AO13" s="3"/>
      </tp>
      <tp t="s">
        <v>#N/A N/A</v>
        <stp/>
        <stp>BDP|15161756781744923591</stp>
        <tr r="N13" s="3"/>
      </tp>
      <tp t="s">
        <v>#N/A N/A</v>
        <stp/>
        <stp>BDP|14414230313658756446</stp>
        <tr r="Z13" s="3"/>
      </tp>
      <tp t="s">
        <v>#N/A N/A</v>
        <stp/>
        <stp>BDH|14280690921992280991</stp>
        <tr r="AD11" s="2"/>
      </tp>
      <tp t="s">
        <v>#N/A N/A</v>
        <stp/>
        <stp>BDH|13790060791058618979</stp>
        <tr r="AH17" s="4"/>
      </tp>
      <tp t="s">
        <v>#N/A N/A</v>
        <stp/>
        <stp>BDH|11318962354937651169</stp>
        <tr r="K38" s="2"/>
      </tp>
      <tp t="s">
        <v>#N/A N/A</v>
        <stp/>
        <stp>BDH|15299828334566671329</stp>
        <tr r="Q14" s="4"/>
      </tp>
      <tp t="s">
        <v>#N/A N/A</v>
        <stp/>
        <stp>BDH|14488627477866235830</stp>
        <tr r="AO6" s="4"/>
      </tp>
      <tp t="s">
        <v>#N/A N/A</v>
        <stp/>
        <stp>BDH|12800146333703882856</stp>
        <tr r="AE26" s="4"/>
      </tp>
      <tp t="s">
        <v>#N/A N/A</v>
        <stp/>
        <stp>BDH|10747077788634825758</stp>
        <tr r="O19" s="4"/>
      </tp>
      <tp t="s">
        <v>#N/A N/A</v>
        <stp/>
        <stp>BDH|15747833112862756546</stp>
        <tr r="AB35" s="4"/>
      </tp>
      <tp t="s">
        <v>#N/A N/A</v>
        <stp/>
        <stp>BDH|15615929607044679309</stp>
        <tr r="F38" s="2"/>
      </tp>
      <tp t="s">
        <v>#N/A N/A</v>
        <stp/>
        <stp>BDH|14129953131953407653</stp>
        <tr r="AB24" s="4"/>
      </tp>
      <tp t="s">
        <v>#N/A N/A</v>
        <stp/>
        <stp>BDH|11118434054812432967</stp>
        <tr r="AK14" s="4"/>
      </tp>
      <tp t="s">
        <v>#N/A N/A</v>
        <stp/>
        <stp>BDH|15440879134525589057</stp>
        <tr r="V21" s="4"/>
      </tp>
      <tp t="s">
        <v>#N/A N/A</v>
        <stp/>
        <stp>BDH|18173240003029580856</stp>
        <tr r="AP11" s="2"/>
      </tp>
      <tp t="s">
        <v>#N/A N/A</v>
        <stp/>
        <stp>BDH|13277988331483411198</stp>
        <tr r="K31" s="4"/>
      </tp>
      <tp t="s">
        <v>#N/A N/A</v>
        <stp/>
        <stp>BDH|10336982093288077318</stp>
        <tr r="AL26" s="4"/>
      </tp>
      <tp t="s">
        <v>#N/A N/A</v>
        <stp/>
        <stp>BDH|11029133508358645346</stp>
        <tr r="C35" s="4"/>
      </tp>
      <tp t="s">
        <v>#N/A N/A</v>
        <stp/>
        <stp>BDH|13617347008063122821</stp>
        <tr r="AF7" s="2"/>
      </tp>
      <tp t="s">
        <v>#N/A N/A</v>
        <stp/>
        <stp>BDH|10627899715497504547</stp>
        <tr r="T24" s="4"/>
      </tp>
      <tp t="s">
        <v>#N/A N/A</v>
        <stp/>
        <stp>BDH|16186569426298905237</stp>
        <tr r="N17" s="2"/>
      </tp>
      <tp t="s">
        <v>#N/A N/A</v>
        <stp/>
        <stp>BDH|17473254322235888913</stp>
        <tr r="P24" s="4"/>
      </tp>
      <tp t="s">
        <v>#N/A N/A</v>
        <stp/>
        <stp>BDH|17703424593004564590</stp>
        <tr r="AJ28" s="4"/>
      </tp>
      <tp t="s">
        <v>#N/A N/A</v>
        <stp/>
        <stp>BDH|11276011811139033285</stp>
        <tr r="Z24" s="4"/>
      </tp>
      <tp t="s">
        <v>#N/A N/A</v>
        <stp/>
        <stp>BDH|18382573943197906531</stp>
        <tr r="Z8" s="4"/>
      </tp>
      <tp t="s">
        <v>#N/A N/A</v>
        <stp/>
        <stp>BDH|14103751375227488884</stp>
        <tr r="D17" s="4"/>
      </tp>
      <tp t="s">
        <v>#N/A N/A</v>
        <stp/>
        <stp>BDH|16005447482500897137</stp>
        <tr r="O29" s="2"/>
      </tp>
      <tp t="s">
        <v>#N/A N/A</v>
        <stp/>
        <stp>BDH|13479813969393050515</stp>
        <tr r="J6" s="4"/>
      </tp>
      <tp t="s">
        <v>#N/A N/A</v>
        <stp/>
        <stp>BDH|15879921397208244625</stp>
        <tr r="AE23" s="2"/>
      </tp>
      <tp t="s">
        <v>#N/A N/A</v>
        <stp/>
        <stp>BDH|17165085308605863946</stp>
        <tr r="AP33" s="4"/>
      </tp>
      <tp t="s">
        <v>#N/A N/A</v>
        <stp/>
        <stp>BDH|17571375594316833029</stp>
        <tr r="T19" s="4"/>
      </tp>
      <tp t="s">
        <v>#N/A N/A</v>
        <stp/>
        <stp>BDH|10095206049775498813</stp>
        <tr r="AL29" s="2"/>
      </tp>
      <tp t="s">
        <v>#N/A N/A</v>
        <stp/>
        <stp>BDH|14606757709259145170</stp>
        <tr r="U19" s="2"/>
      </tp>
      <tp t="s">
        <v>#N/A N/A</v>
        <stp/>
        <stp>BDH|10126502881424981265</stp>
        <tr r="S12" s="4"/>
      </tp>
      <tp t="s">
        <v>#N/A N/A</v>
        <stp/>
        <stp>BDH|15795633753788909515</stp>
        <tr r="AA23" s="2"/>
      </tp>
      <tp t="s">
        <v>#N/A N/A</v>
        <stp/>
        <stp>BDP|17176012718379699724</stp>
        <tr r="W9" s="3"/>
      </tp>
      <tp t="s">
        <v>#N/A N/A</v>
        <stp/>
        <stp>BDP|17961110007986468857</stp>
        <tr r="H15" s="3"/>
      </tp>
      <tp t="s">
        <v>#N/A N/A</v>
        <stp/>
        <stp>BDP|11507869097019468111</stp>
        <tr r="AK9" s="3"/>
      </tp>
      <tp t="s">
        <v>#N/A N/A</v>
        <stp/>
        <stp>BDP|16986286092940615541</stp>
        <tr r="L19" s="3"/>
      </tp>
      <tp t="s">
        <v>#N/A N/A</v>
        <stp/>
        <stp>BDP|12246277227968556275</stp>
        <tr r="AD11" s="3"/>
      </tp>
      <tp t="s">
        <v>#N/A N/A</v>
        <stp/>
        <stp>BDP|14669007364672206830</stp>
        <tr r="P19" s="3"/>
      </tp>
      <tp t="s">
        <v>#N/A N/A</v>
        <stp/>
        <stp>BDP|14092334396930542621</stp>
        <tr r="AC11" s="3"/>
      </tp>
      <tp t="s">
        <v>#N/A N/A</v>
        <stp/>
        <stp>BDP|14171542493044366474</stp>
        <tr r="AC19" s="3"/>
      </tp>
      <tp t="s">
        <v>#N/A N/A</v>
        <stp/>
        <stp>BDP|12643397188401222001</stp>
        <tr r="U19" s="3"/>
      </tp>
      <tp t="s">
        <v>#N/A N/A</v>
        <stp/>
        <stp>BDH|10735386934761941939</stp>
        <tr r="AA42" s="4"/>
      </tp>
      <tp t="s">
        <v>#N/A N/A</v>
        <stp/>
        <stp>BDH|11078543642790198868</stp>
        <tr r="L25" s="2"/>
      </tp>
      <tp t="s">
        <v>#N/A N/A</v>
        <stp/>
        <stp>BDH|17244808172348566853</stp>
        <tr r="AE44" s="4"/>
      </tp>
      <tp t="s">
        <v>#N/A N/A</v>
        <stp/>
        <stp>BDH|14563243681867163117</stp>
        <tr r="AM7" s="2"/>
      </tp>
      <tp t="s">
        <v>#N/A N/A</v>
        <stp/>
        <stp>BDH|16374924712300022635</stp>
        <tr r="AG21" s="2"/>
      </tp>
      <tp t="s">
        <v>#N/A N/A</v>
        <stp/>
        <stp>BDH|14376899407344499092</stp>
        <tr r="K12" s="4"/>
      </tp>
      <tp t="s">
        <v>#N/A N/A</v>
        <stp/>
        <stp>BDH|15695654227479382074</stp>
        <tr r="G23" s="2"/>
      </tp>
      <tp t="s">
        <v>#N/A N/A</v>
        <stp/>
        <stp>BDH|16347204475012287976</stp>
        <tr r="AF29" s="2"/>
      </tp>
      <tp t="s">
        <v>#N/A N/A</v>
        <stp/>
        <stp>BDH|16781411011582751938</stp>
        <tr r="I19" s="4"/>
      </tp>
      <tp t="s">
        <v>#N/A N/A</v>
        <stp/>
        <stp>BDH|18197254047041997792</stp>
        <tr r="H19" s="4"/>
      </tp>
      <tp t="s">
        <v>#N/A N/A</v>
        <stp/>
        <stp>BDH|16387501364034573905</stp>
        <tr r="X40" s="4"/>
      </tp>
      <tp t="s">
        <v>#N/A N/A</v>
        <stp/>
        <stp>BDH|13000947993139661238</stp>
        <tr r="N19" s="4"/>
      </tp>
      <tp t="s">
        <v>#N/A N/A</v>
        <stp/>
        <stp>BDH|17694804887118516714</stp>
        <tr r="AI21" s="2"/>
      </tp>
      <tp t="s">
        <v>#N/A N/A</v>
        <stp/>
        <stp>BDH|10191325034651238909</stp>
        <tr r="AO40" s="4"/>
      </tp>
      <tp t="s">
        <v>#N/A N/A</v>
        <stp/>
        <stp>BDH|13730916661754623047</stp>
        <tr r="N12" s="4"/>
      </tp>
      <tp t="s">
        <v>#N/A N/A</v>
        <stp/>
        <stp>BDH|13464491352138238281</stp>
        <tr r="AC19" s="4"/>
      </tp>
      <tp t="s">
        <v>#N/A N/A</v>
        <stp/>
        <stp>BDH|14361642009879385398</stp>
        <tr r="Q28" s="4"/>
      </tp>
      <tp t="s">
        <v>#N/A N/A</v>
        <stp/>
        <stp>BDH|13457563290236157148</stp>
        <tr r="J13" s="2"/>
      </tp>
      <tp t="s">
        <v>#N/A N/A</v>
        <stp/>
        <stp>BDH|17362904134042878798</stp>
        <tr r="W37" s="2"/>
      </tp>
      <tp t="s">
        <v>#N/A N/A</v>
        <stp/>
        <stp>BDH|12058537423295133871</stp>
        <tr r="K8" s="4"/>
      </tp>
      <tp t="s">
        <v>#N/A N/A</v>
        <stp/>
        <stp>BDH|14252939529390889781</stp>
        <tr r="L42" s="4"/>
      </tp>
      <tp t="s">
        <v>#N/A N/A</v>
        <stp/>
        <stp>BDH|13702442942358378399</stp>
        <tr r="AO17" s="2"/>
      </tp>
      <tp t="s">
        <v>#N/A N/A</v>
        <stp/>
        <stp>BDH|15060885007914470111</stp>
        <tr r="L26" s="4"/>
      </tp>
      <tp t="s">
        <v>#N/A N/A</v>
        <stp/>
        <stp>BDH|15926914812623344632</stp>
        <tr r="AA35" s="4"/>
      </tp>
      <tp t="s">
        <v>#N/A N/A</v>
        <stp/>
        <stp>BDH|14895900934841536736</stp>
        <tr r="F26" s="4"/>
      </tp>
      <tp t="s">
        <v>#N/A N/A</v>
        <stp/>
        <stp>BDH|15683389283314785272</stp>
        <tr r="AL17" s="4"/>
      </tp>
      <tp t="s">
        <v>#N/A N/A</v>
        <stp/>
        <stp>BDH|10839955630857829593</stp>
        <tr r="E21" s="4"/>
      </tp>
      <tp t="s">
        <v>#N/A N/A</v>
        <stp/>
        <stp>BDH|16829505826719732057</stp>
        <tr r="AO10" s="4"/>
      </tp>
      <tp t="s">
        <v>#N/A N/A</v>
        <stp/>
        <stp>BDH|12855007766525675977</stp>
        <tr r="AH19" s="4"/>
      </tp>
      <tp t="s">
        <v>#N/A N/A</v>
        <stp/>
        <stp>BDP|10541440691795131182</stp>
        <tr r="M11" s="3"/>
      </tp>
      <tp t="s">
        <v>#N/A N/A</v>
        <stp/>
        <stp>BDP|16983505646147578918</stp>
        <tr r="AE15" s="3"/>
      </tp>
      <tp t="s">
        <v>#N/A N/A</v>
        <stp/>
        <stp>BDP|10434477139417248935</stp>
        <tr r="AK13" s="3"/>
      </tp>
      <tp t="s">
        <v>#N/A N/A</v>
        <stp/>
        <stp>BDP|14619895968005568689</stp>
        <tr r="AB9" s="3"/>
      </tp>
      <tp t="s">
        <v>#N/A N/A</v>
        <stp/>
        <stp>BDP|17417978069709220843</stp>
        <tr r="O11" s="3"/>
      </tp>
      <tp t="s">
        <v>#N/A N/A</v>
        <stp/>
        <stp>BDP|16847892163870484179</stp>
        <tr r="AG19" s="3"/>
      </tp>
      <tp t="s">
        <v>#N/A N/A</v>
        <stp/>
        <stp>BDP|10266990745170967473</stp>
        <tr r="V9" s="3"/>
      </tp>
      <tp t="s">
        <v>#N/A N/A</v>
        <stp/>
        <stp>BDP|17596451821670571809</stp>
        <tr r="AB21" s="3"/>
      </tp>
      <tp t="s">
        <v>#N/A N/A</v>
        <stp/>
        <stp>BDP|12497691366629413287</stp>
        <tr r="AE21" s="3"/>
      </tp>
      <tp t="s">
        <v>#N/A N/A</v>
        <stp/>
        <stp>BDP|10923644429615325803</stp>
        <tr r="U13" s="3"/>
      </tp>
      <tp t="s">
        <v>#N/A N/A</v>
        <stp/>
        <stp>BDH|14036820314627354349</stp>
        <tr r="Q37" s="2"/>
      </tp>
      <tp t="s">
        <v>#N/A N/A</v>
        <stp/>
        <stp>BDH|17021719597756408634</stp>
        <tr r="D29" s="2"/>
      </tp>
      <tp t="s">
        <v>#N/A N/A</v>
        <stp/>
        <stp>BDH|18013938684649017963</stp>
        <tr r="M17" s="4"/>
      </tp>
      <tp t="s">
        <v>#N/A N/A</v>
        <stp/>
        <stp>BDH|13982958069452514708</stp>
        <tr r="AI23" s="2"/>
      </tp>
      <tp t="s">
        <v>#N/A N/A</v>
        <stp/>
        <stp>BDH|11828124508238430160</stp>
        <tr r="Q11" s="2"/>
      </tp>
      <tp t="s">
        <v>#N/A N/A</v>
        <stp/>
        <stp>BDH|13965309209539307011</stp>
        <tr r="AC42" s="4"/>
      </tp>
      <tp t="s">
        <v>#N/A N/A</v>
        <stp/>
        <stp>BDH|13474193527048715181</stp>
        <tr r="AB31" s="4"/>
      </tp>
      <tp t="s">
        <v>#N/A N/A</v>
        <stp/>
        <stp>BDH|11960239383686815460</stp>
        <tr r="P44" s="4"/>
      </tp>
      <tp t="s">
        <v>#N/A N/A</v>
        <stp/>
        <stp>BDH|13188667684191089545</stp>
        <tr r="G38" s="4"/>
      </tp>
      <tp t="s">
        <v>#N/A N/A</v>
        <stp/>
        <stp>BDH|14797024283994583153</stp>
        <tr r="AE14" s="4"/>
      </tp>
      <tp t="s">
        <v>#N/A N/A</v>
        <stp/>
        <stp>BDH|16382151615759329698</stp>
        <tr r="AD6" s="4"/>
      </tp>
      <tp t="s">
        <v>#N/A N/A</v>
        <stp/>
        <stp>BDH|15741187940330042975</stp>
        <tr r="U37" s="2"/>
      </tp>
      <tp t="s">
        <v>#N/A N/A</v>
        <stp/>
        <stp>BDH|15209756389450009363</stp>
        <tr r="AA11" s="2"/>
      </tp>
      <tp t="s">
        <v>#N/A N/A</v>
        <stp/>
        <stp>BDH|12539046388313650074</stp>
        <tr r="AF12" s="4"/>
      </tp>
      <tp t="s">
        <v>#N/A N/A</v>
        <stp/>
        <stp>BDH|10404733965409367195</stp>
        <tr r="AG21" s="4"/>
      </tp>
      <tp t="s">
        <v>#N/A N/A</v>
        <stp/>
        <stp>BDH|15121902180815968834</stp>
        <tr r="F31" s="2"/>
      </tp>
      <tp t="s">
        <v>#N/A N/A</v>
        <stp/>
        <stp>BDH|16006411959369483773</stp>
        <tr r="G28" s="4"/>
      </tp>
      <tp t="s">
        <v>#N/A N/A</v>
        <stp/>
        <stp>BDH|16927280629127448872</stp>
        <tr r="F17" s="4"/>
      </tp>
      <tp t="s">
        <v>#N/A N/A</v>
        <stp/>
        <stp>BDH|12234082390861568355</stp>
        <tr r="AO23" s="2"/>
      </tp>
      <tp t="s">
        <v>#N/A N/A</v>
        <stp/>
        <stp>BDH|14527278849502440957</stp>
        <tr r="AB17" s="2"/>
      </tp>
      <tp t="s">
        <v>#N/A N/A</v>
        <stp/>
        <stp>BDH|16967971312197580045</stp>
        <tr r="O6" s="4"/>
      </tp>
      <tp t="s">
        <v>#N/A N/A</v>
        <stp/>
        <stp>BDH|15839256887104362241</stp>
        <tr r="K33" s="4"/>
      </tp>
      <tp t="s">
        <v>#N/A N/A</v>
        <stp/>
        <stp>BDH|18418269302905443695</stp>
        <tr r="AH42" s="4"/>
      </tp>
      <tp t="s">
        <v>#N/A N/A</v>
        <stp/>
        <stp>BDH|10499243224511130897</stp>
        <tr r="AD33" s="4"/>
      </tp>
      <tp t="s">
        <v>#N/A N/A</v>
        <stp/>
        <stp>BDH|15215948491098870437</stp>
        <tr r="Z13" s="2"/>
      </tp>
      <tp t="s">
        <v>#N/A N/A</v>
        <stp/>
        <stp>BDH|15129632384833879120</stp>
        <tr r="O28" s="4"/>
      </tp>
      <tp t="s">
        <v>#N/A N/A</v>
        <stp/>
        <stp>BDH|13917572147208302364</stp>
        <tr r="AM19" s="4"/>
      </tp>
      <tp t="s">
        <v>#N/A N/A</v>
        <stp/>
        <stp>BDH|16724891930440614442</stp>
        <tr r="H24" s="4"/>
      </tp>
      <tp t="s">
        <v>#N/A N/A</v>
        <stp/>
        <stp>BDH|10065560477553824863</stp>
        <tr r="AC19" s="2"/>
      </tp>
      <tp t="s">
        <v>#N/A N/A</v>
        <stp/>
        <stp>BDH|15349539873926880855</stp>
        <tr r="V33" s="4"/>
      </tp>
      <tp t="s">
        <v>#N/A N/A</v>
        <stp/>
        <stp>BDH|11765750081586513182</stp>
        <tr r="J31" s="2"/>
      </tp>
      <tp t="s">
        <v>#N/A N/A</v>
        <stp/>
        <stp>BDH|10493291254239187765</stp>
        <tr r="P37" s="2"/>
      </tp>
      <tp t="s">
        <v>#N/A N/A</v>
        <stp/>
        <stp>BDP|12838639280650736260</stp>
        <tr r="E19" s="3"/>
      </tp>
      <tp t="s">
        <v>#N/A N/A</v>
        <stp/>
        <stp>BDP|15941732152089207077</stp>
        <tr r="S13" s="3"/>
      </tp>
      <tp t="s">
        <v>#N/A N/A</v>
        <stp/>
        <stp>BDP|11779668380074383500</stp>
        <tr r="AP15" s="3"/>
      </tp>
      <tp t="s">
        <v>#N/A N/A</v>
        <stp/>
        <stp>BDP|11903701432002869963</stp>
        <tr r="V19" s="3"/>
      </tp>
      <tp t="s">
        <v>#N/A N/A</v>
        <stp/>
        <stp>BDH|15137502383166344001</stp>
        <tr r="M31" s="4"/>
      </tp>
      <tp t="s">
        <v>#N/A N/A</v>
        <stp/>
        <stp>BDH|10577151897341511729</stp>
        <tr r="V38" s="2"/>
      </tp>
      <tp t="s">
        <v>#N/A N/A</v>
        <stp/>
        <stp>BDH|17514627378561763988</stp>
        <tr r="AN6" s="4"/>
      </tp>
      <tp t="s">
        <v>#N/A N/A</v>
        <stp/>
        <stp>BDH|10275231352281272811</stp>
        <tr r="AL9" s="2"/>
      </tp>
      <tp t="s">
        <v>#N/A N/A</v>
        <stp/>
        <stp>BDH|16373203784490507221</stp>
        <tr r="J21" s="4"/>
      </tp>
      <tp t="s">
        <v>#N/A N/A</v>
        <stp/>
        <stp>BDH|15137959867233530753</stp>
        <tr r="AN24" s="4"/>
      </tp>
      <tp t="s">
        <v>#N/A N/A</v>
        <stp/>
        <stp>BDH|16049856804156275609</stp>
        <tr r="AO38" s="2"/>
      </tp>
      <tp t="s">
        <v>#N/A N/A</v>
        <stp/>
        <stp>BDH|17781021083411086059</stp>
        <tr r="R23" s="2"/>
      </tp>
      <tp t="s">
        <v>#N/A N/A</v>
        <stp/>
        <stp>BDH|17362290817733885975</stp>
        <tr r="K27" s="2"/>
      </tp>
      <tp t="s">
        <v>#N/A N/A</v>
        <stp/>
        <stp>BDH|16610717861670014946</stp>
        <tr r="AL40" s="4"/>
      </tp>
      <tp t="s">
        <v>#N/A N/A</v>
        <stp/>
        <stp>BDH|11785828019144874263</stp>
        <tr r="G12" s="4"/>
      </tp>
      <tp t="s">
        <v>#N/A N/A</v>
        <stp/>
        <stp>BDH|13525438876839667735</stp>
        <tr r="AF31" s="2"/>
      </tp>
      <tp t="s">
        <v>#N/A N/A</v>
        <stp/>
        <stp>BDH|15654437464860634928</stp>
        <tr r="H38" s="2"/>
      </tp>
      <tp t="s">
        <v>#N/A N/A</v>
        <stp/>
        <stp>BDH|17857775095934914368</stp>
        <tr r="V37" s="2"/>
      </tp>
      <tp t="s">
        <v>#N/A N/A</v>
        <stp/>
        <stp>BDH|15366602994303622750</stp>
        <tr r="L9" s="2"/>
      </tp>
      <tp t="s">
        <v>#N/A N/A</v>
        <stp/>
        <stp>BDH|14592587898384455267</stp>
        <tr r="L28" s="4"/>
      </tp>
      <tp t="s">
        <v>#N/A N/A</v>
        <stp/>
        <stp>BDH|12247673455717774806</stp>
        <tr r="AG37" s="2"/>
      </tp>
      <tp t="s">
        <v>#N/A N/A</v>
        <stp/>
        <stp>BDH|13336129506688389431</stp>
        <tr r="AO19" s="4"/>
      </tp>
      <tp t="s">
        <v>#N/A N/A</v>
        <stp/>
        <stp>BDH|16240065486662260266</stp>
        <tr r="AH33" s="4"/>
      </tp>
      <tp t="s">
        <v>#N/A N/A</v>
        <stp/>
        <stp>BDH|17240800482680634907</stp>
        <tr r="Z19" s="2"/>
      </tp>
      <tp t="s">
        <v>#N/A N/A</v>
        <stp/>
        <stp>BDH|10511370086204669140</stp>
        <tr r="R21" s="2"/>
      </tp>
      <tp t="s">
        <v>#N/A N/A</v>
        <stp/>
        <stp>BDH|14624093193152205179</stp>
        <tr r="Y10" s="4"/>
      </tp>
      <tp t="s">
        <v>#N/A N/A</v>
        <stp/>
        <stp>BDH|16427784369131955848</stp>
        <tr r="M25" s="2"/>
      </tp>
      <tp t="s">
        <v>#N/A N/A</v>
        <stp/>
        <stp>BDH|17182708884780471694</stp>
        <tr r="L40" s="4"/>
      </tp>
      <tp t="s">
        <v>#N/A N/A</v>
        <stp/>
        <stp>BDH|13253598590418206927</stp>
        <tr r="N26" s="4"/>
      </tp>
      <tp t="s">
        <v>#N/A N/A</v>
        <stp/>
        <stp>BDH|16418255669218504465</stp>
        <tr r="AE31" s="2"/>
      </tp>
      <tp t="s">
        <v>#N/A N/A</v>
        <stp/>
        <stp>BDH|11797736848944639810</stp>
        <tr r="AO8" s="4"/>
      </tp>
      <tp t="s">
        <v>#N/A N/A</v>
        <stp/>
        <stp>BDH|17842804383780792969</stp>
        <tr r="S38" s="2"/>
      </tp>
      <tp t="s">
        <v>#N/A N/A</v>
        <stp/>
        <stp>BDH|12314084029168980663</stp>
        <tr r="C31" s="4"/>
      </tp>
      <tp t="s">
        <v>#N/A N/A</v>
        <stp/>
        <stp>BDH|10927892340897474585</stp>
        <tr r="Y17" s="2"/>
      </tp>
      <tp t="s">
        <v>#N/A N/A</v>
        <stp/>
        <stp>BDH|12292569859984744867</stp>
        <tr r="E21" s="2"/>
      </tp>
      <tp t="s">
        <v>#N/A N/A</v>
        <stp/>
        <stp>BDH|16258726694900947611</stp>
        <tr r="AD9" s="2"/>
      </tp>
      <tp t="s">
        <v>#N/A N/A</v>
        <stp/>
        <stp>BDH|15381533708788655615</stp>
        <tr r="AG25" s="2"/>
      </tp>
      <tp t="s">
        <v>#N/A N/A</v>
        <stp/>
        <stp>BDH|18302172637003878747</stp>
        <tr r="AB42" s="4"/>
      </tp>
      <tp t="s">
        <v>#N/A N/A</v>
        <stp/>
        <stp>BDH|13076290444038669346</stp>
        <tr r="AP28" s="4"/>
      </tp>
      <tp t="s">
        <v>#N/A N/A</v>
        <stp/>
        <stp>BDH|12217129078422017861</stp>
        <tr r="AA31" s="4"/>
      </tp>
      <tp t="s">
        <v>#N/A N/A</v>
        <stp/>
        <stp>BDH|18363016561692579287</stp>
        <tr r="S6" s="4"/>
      </tp>
      <tp t="s">
        <v>#N/A N/A</v>
        <stp/>
        <stp>BDP|17431474489011394541</stp>
        <tr r="AG21" s="3"/>
      </tp>
      <tp t="s">
        <v>#N/A N/A</v>
        <stp/>
        <stp>BDP|13612124998623468755</stp>
        <tr r="E11" s="3"/>
      </tp>
      <tp t="s">
        <v>#N/A N/A</v>
        <stp/>
        <stp>BDP|13927451717991074844</stp>
        <tr r="AN13" s="3"/>
      </tp>
      <tp t="s">
        <v>#N/A N/A</v>
        <stp/>
        <stp>BDP|17844013040099557531</stp>
        <tr r="M13" s="3"/>
      </tp>
      <tp t="s">
        <v>#N/A N/A</v>
        <stp/>
        <stp>BDP|11825056436369595402</stp>
        <tr r="AG11" s="3"/>
      </tp>
      <tp t="s">
        <v>#N/A N/A</v>
        <stp/>
        <stp>BDP|18059596963457895372</stp>
        <tr r="AO19" s="3"/>
      </tp>
      <tp t="s">
        <v>#N/A N/A</v>
        <stp/>
        <stp>BDP|17490737987316299162</stp>
        <tr r="M19" s="3"/>
      </tp>
      <tp t="s">
        <v>#N/A N/A</v>
        <stp/>
        <stp>BDP|15170224537303104822</stp>
        <tr r="AE11" s="3"/>
      </tp>
      <tp t="s">
        <v>#N/A N/A</v>
        <stp/>
        <stp>BDH|10556139542172753822</stp>
        <tr r="Q12" s="4"/>
      </tp>
      <tp t="s">
        <v>#N/A N/A</v>
        <stp/>
        <stp>BDH|11994612122519255391</stp>
        <tr r="G37" s="2"/>
      </tp>
      <tp t="s">
        <v>#N/A N/A</v>
        <stp/>
        <stp>BDH|18059185375609835840</stp>
        <tr r="AN31" s="2"/>
      </tp>
      <tp t="s">
        <v>#N/A N/A</v>
        <stp/>
        <stp>BDH|11656874140935272705</stp>
        <tr r="U42" s="4"/>
      </tp>
      <tp t="s">
        <v>#N/A N/A</v>
        <stp/>
        <stp>BDH|13297811550560512156</stp>
        <tr r="P8" s="4"/>
      </tp>
      <tp t="s">
        <v>#N/A N/A</v>
        <stp/>
        <stp>BDH|16478635592266372058</stp>
        <tr r="AI38" s="4"/>
      </tp>
      <tp t="s">
        <v>#N/A N/A</v>
        <stp/>
        <stp>BDH|14501512809987660981</stp>
        <tr r="N23" s="2"/>
      </tp>
      <tp t="s">
        <v>#N/A N/A</v>
        <stp/>
        <stp>BDH|10754946949663811101</stp>
        <tr r="AG31" s="2"/>
      </tp>
      <tp t="s">
        <v>#N/A N/A</v>
        <stp/>
        <stp>BDH|12526533175408368750</stp>
        <tr r="G44" s="4"/>
      </tp>
      <tp t="s">
        <v>#N/A N/A</v>
        <stp/>
        <stp>BDH|13414216723628364404</stp>
        <tr r="X33" s="4"/>
      </tp>
      <tp t="s">
        <v>#N/A N/A</v>
        <stp/>
        <stp>BDH|15966653022078904626</stp>
        <tr r="AP42" s="4"/>
      </tp>
      <tp t="s">
        <v>#N/A N/A</v>
        <stp/>
        <stp>BDH|16211187540185676991</stp>
        <tr r="U35" s="2"/>
      </tp>
      <tp t="s">
        <v>#N/A N/A</v>
        <stp/>
        <stp>BDH|12173172880661368519</stp>
        <tr r="V7" s="2"/>
      </tp>
      <tp t="s">
        <v>#N/A N/A</v>
        <stp/>
        <stp>BDH|16699313804958241257</stp>
        <tr r="P19" s="2"/>
      </tp>
      <tp t="s">
        <v>#N/A N/A</v>
        <stp/>
        <stp>BDH|10276485845259113699</stp>
        <tr r="AA44" s="4"/>
      </tp>
      <tp t="s">
        <v>#N/A N/A</v>
        <stp/>
        <stp>BDH|15675849737201297008</stp>
        <tr r="Z31" s="4"/>
      </tp>
      <tp t="s">
        <v>#N/A N/A</v>
        <stp/>
        <stp>BDH|13707086284460926456</stp>
        <tr r="AF17" s="2"/>
      </tp>
      <tp t="s">
        <v>#N/A N/A</v>
        <stp/>
        <stp>BDH|10345808733331626507</stp>
        <tr r="AD21" s="2"/>
      </tp>
      <tp t="s">
        <v>#N/A N/A</v>
        <stp/>
        <stp>BDH|13421713685621136275</stp>
        <tr r="V19" s="4"/>
      </tp>
      <tp t="s">
        <v>#N/A N/A</v>
        <stp/>
        <stp>BDH|10189604360036144994</stp>
        <tr r="AI10" s="4"/>
      </tp>
      <tp t="s">
        <v>#N/A N/A</v>
        <stp/>
        <stp>BDH|14485123232740861959</stp>
        <tr r="T25" s="2"/>
      </tp>
      <tp t="s">
        <v>#N/A N/A</v>
        <stp/>
        <stp>BDH|13231891423635411354</stp>
        <tr r="D9" s="2"/>
      </tp>
      <tp t="s">
        <v>#N/A N/A</v>
        <stp/>
        <stp>BDH|15860973130927719701</stp>
        <tr r="P14" s="4"/>
      </tp>
      <tp t="s">
        <v>#N/A N/A</v>
        <stp/>
        <stp>BDH|12996198459280409955</stp>
        <tr r="AI27" s="2"/>
      </tp>
      <tp t="s">
        <v>#N/A N/A</v>
        <stp/>
        <stp>BDH|15244993002011653246</stp>
        <tr r="M11" s="2"/>
      </tp>
      <tp t="s">
        <v>#N/A N/A</v>
        <stp/>
        <stp>BDH|18163652318979097967</stp>
        <tr r="U44" s="4"/>
      </tp>
      <tp t="s">
        <v>#N/A N/A</v>
        <stp/>
        <stp>BDH|17008259591763713098</stp>
        <tr r="U23" s="2"/>
      </tp>
      <tp t="s">
        <v>#N/A N/A</v>
        <stp/>
        <stp>BDH|12204250849438054347</stp>
        <tr r="Z33" s="4"/>
      </tp>
      <tp t="s">
        <v>#N/A N/A</v>
        <stp/>
        <stp>BDH|15440214038069324244</stp>
        <tr r="I37" s="2"/>
      </tp>
      <tp t="s">
        <v>#N/A N/A</v>
        <stp/>
        <stp>BDH|15985348201000268942</stp>
        <tr r="N21" s="2"/>
      </tp>
      <tp t="s">
        <v>#N/A N/A</v>
        <stp/>
        <stp>BDH|17507006089593358352</stp>
        <tr r="I21" s="2"/>
      </tp>
      <tp t="s">
        <v>#N/A N/A</v>
        <stp/>
        <stp>BDH|10384828292617921967</stp>
        <tr r="AD31" s="2"/>
      </tp>
      <tp t="s">
        <v>#N/A N/A</v>
        <stp/>
        <stp>BDH|16662873501088461981</stp>
        <tr r="AK17" s="2"/>
      </tp>
      <tp t="s">
        <v>#N/A N/A</v>
        <stp/>
        <stp>BDH|12818852754274096468</stp>
        <tr r="AK38" s="2"/>
      </tp>
      <tp t="s">
        <v>#N/A N/A</v>
        <stp/>
        <stp>BDH|15012915160571882471</stp>
        <tr r="X21" s="4"/>
      </tp>
      <tp t="s">
        <v>#N/A N/A</v>
        <stp/>
        <stp>BDP|12838958267908526970</stp>
        <tr r="AH11" s="3"/>
      </tp>
      <tp t="s">
        <v>#N/A N/A</v>
        <stp/>
        <stp>BDP|10398807096119611498</stp>
        <tr r="V11" s="3"/>
      </tp>
      <tp t="s">
        <v>#N/A N/A</v>
        <stp/>
        <stp>BDP|14997847515876844731</stp>
        <tr r="Y11" s="3"/>
      </tp>
      <tp t="s">
        <v>#N/A N/A</v>
        <stp/>
        <stp>BDP|14740994930006844426</stp>
        <tr r="C19" s="3"/>
      </tp>
      <tp t="s">
        <v>#N/A N/A</v>
        <stp/>
        <stp>BDP|16931967760716903327</stp>
        <tr r="J13" s="3"/>
      </tp>
      <tp t="s">
        <v>#N/A N/A</v>
        <stp/>
        <stp>BDP|17317718291742289767</stp>
        <tr r="N9" s="3"/>
      </tp>
      <tp t="s">
        <v>#N/A N/A</v>
        <stp/>
        <stp>BDP|14140318135488328008</stp>
        <tr r="Y19" s="3"/>
      </tp>
      <tp t="s">
        <v>#N/A N/A</v>
        <stp/>
        <stp>BDH|17956316985832900250</stp>
        <tr r="N28" s="4"/>
      </tp>
      <tp t="s">
        <v>#N/A N/A</v>
        <stp/>
        <stp>BDH|12884571075898237499</stp>
        <tr r="AE35" s="2"/>
      </tp>
      <tp t="s">
        <v>#N/A N/A</v>
        <stp/>
        <stp>BDH|10813276519089047671</stp>
        <tr r="AD7" s="2"/>
      </tp>
      <tp t="s">
        <v>#N/A N/A</v>
        <stp/>
        <stp>BDH|13171325996253119645</stp>
        <tr r="AP44" s="4"/>
      </tp>
      <tp t="s">
        <v>#N/A N/A</v>
        <stp/>
        <stp>BDH|14494038098748531991</stp>
        <tr r="J9" s="2"/>
      </tp>
      <tp t="s">
        <v>#N/A N/A</v>
        <stp/>
        <stp>BDH|15261764566089964195</stp>
        <tr r="O9" s="2"/>
      </tp>
      <tp t="s">
        <v>#N/A N/A</v>
        <stp/>
        <stp>BDH|13870683030222772854</stp>
        <tr r="AO11" s="2"/>
      </tp>
      <tp t="s">
        <v>#N/A N/A</v>
        <stp/>
        <stp>BDH|18098764447082698525</stp>
        <tr r="Q29" s="2"/>
      </tp>
      <tp t="s">
        <v>#N/A N/A</v>
        <stp/>
        <stp>BDH|17995419751789811340</stp>
        <tr r="AL14" s="4"/>
      </tp>
      <tp t="s">
        <v>#N/A N/A</v>
        <stp/>
        <stp>BDH|16067729161713002874</stp>
        <tr r="AJ14" s="4"/>
      </tp>
      <tp t="s">
        <v>#N/A N/A</v>
        <stp/>
        <stp>BDH|17365985465100881426</stp>
        <tr r="I24" s="4"/>
      </tp>
      <tp t="s">
        <v>#N/A N/A</v>
        <stp/>
        <stp>BDH|11645061010208541412</stp>
        <tr r="Z9" s="2"/>
      </tp>
      <tp t="s">
        <v>#N/A N/A</v>
        <stp/>
        <stp>BDH|16812194765508516569</stp>
        <tr r="H19" s="2"/>
      </tp>
      <tp t="s">
        <v>#N/A N/A</v>
        <stp/>
        <stp>BDH|11007311590323521433</stp>
        <tr r="V23" s="2"/>
      </tp>
      <tp t="s">
        <v>#N/A N/A</v>
        <stp/>
        <stp>BDH|11924685169504857974</stp>
        <tr r="O21" s="2"/>
      </tp>
      <tp t="s">
        <v>#N/A N/A</v>
        <stp/>
        <stp>BDH|15583449396330536455</stp>
        <tr r="W26" s="4"/>
      </tp>
      <tp t="s">
        <v>#N/A N/A</v>
        <stp/>
        <stp>BDH|10373232891015297255</stp>
        <tr r="AJ17" s="2"/>
      </tp>
      <tp t="s">
        <v>#N/A N/A</v>
        <stp/>
        <stp>BDH|13565248422188250777</stp>
        <tr r="G31" s="4"/>
      </tp>
      <tp t="s">
        <v>#N/A N/A</v>
        <stp/>
        <stp>BDH|15452821829397377459</stp>
        <tr r="R24" s="4"/>
      </tp>
      <tp t="s">
        <v>#N/A N/A</v>
        <stp/>
        <stp>BDH|16325098393992774179</stp>
        <tr r="AF38" s="4"/>
      </tp>
      <tp t="s">
        <v>#N/A N/A</v>
        <stp/>
        <stp>BDH|12326425509299317326</stp>
        <tr r="M31" s="2"/>
      </tp>
      <tp t="s">
        <v>#N/A N/A</v>
        <stp/>
        <stp>BDH|13824955905740039615</stp>
        <tr r="Y35" s="4"/>
      </tp>
      <tp t="s">
        <v>#N/A N/A</v>
        <stp/>
        <stp>BDH|15609352852769021695</stp>
        <tr r="T35" s="2"/>
      </tp>
      <tp t="s">
        <v>#N/A N/A</v>
        <stp/>
        <stp>BDH|15949977270842717530</stp>
        <tr r="AE17" s="2"/>
      </tp>
      <tp t="s">
        <v>#N/A N/A</v>
        <stp/>
        <stp>BDH|14946573163273357849</stp>
        <tr r="AM21" s="4"/>
      </tp>
      <tp t="s">
        <v>#N/A N/A</v>
        <stp/>
        <stp>BDH|12528601663559986759</stp>
        <tr r="Q38" s="4"/>
      </tp>
      <tp t="s">
        <v>#N/A N/A</v>
        <stp/>
        <stp>BDH|11787804448396615743</stp>
        <tr r="L23" s="2"/>
      </tp>
      <tp t="s">
        <v>#N/A N/A</v>
        <stp/>
        <stp>BDH|11975060605275352843</stp>
        <tr r="W40" s="4"/>
      </tp>
      <tp t="s">
        <v>#N/A N/A</v>
        <stp/>
        <stp>BDH|14621942543492951753</stp>
        <tr r="R27" s="2"/>
      </tp>
      <tp t="s">
        <v>#N/A N/A</v>
        <stp/>
        <stp>BDH|11857940613073032631</stp>
        <tr r="Q23" s="2"/>
      </tp>
      <tp t="s">
        <v>#N/A N/A</v>
        <stp/>
        <stp>BDH|11582476217421957930</stp>
        <tr r="AH29" s="2"/>
      </tp>
      <tp t="s">
        <v>#N/A N/A</v>
        <stp/>
        <stp>BDH|13910108225209543575</stp>
        <tr r="I26" s="4"/>
      </tp>
      <tp t="s">
        <v>#N/A N/A</v>
        <stp/>
        <stp>BDH|16141729014668992401</stp>
        <tr r="M9" s="2"/>
      </tp>
      <tp t="s">
        <v>#N/A N/A</v>
        <stp/>
        <stp>BDH|12555922068315956484</stp>
        <tr r="AG44" s="4"/>
      </tp>
      <tp t="s">
        <v>#N/A N/A</v>
        <stp/>
        <stp>BDP|13637508224260914908</stp>
        <tr r="Q19" s="3"/>
      </tp>
      <tp t="s">
        <v>#N/A N/A</v>
        <stp/>
        <stp>BDP|11409866724684571225</stp>
        <tr r="AP19" s="3"/>
      </tp>
      <tp t="s">
        <v>#N/A N/A</v>
        <stp/>
        <stp>BDH|12329330609429086585</stp>
        <tr r="I38" s="4"/>
      </tp>
      <tp t="s">
        <v>#N/A N/A</v>
        <stp/>
        <stp>BDH|17804913516052708099</stp>
        <tr r="AG28" s="4"/>
      </tp>
      <tp t="s">
        <v>#N/A N/A</v>
        <stp/>
        <stp>BDH|13910767698902701216</stp>
        <tr r="AI17" s="2"/>
      </tp>
      <tp t="s">
        <v>#N/A N/A</v>
        <stp/>
        <stp>BDH|15044927926815342661</stp>
        <tr r="AJ40" s="4"/>
      </tp>
      <tp t="s">
        <v>#N/A N/A</v>
        <stp/>
        <stp>BDH|14981595961798351233</stp>
        <tr r="O17" s="4"/>
      </tp>
      <tp t="s">
        <v>#N/A N/A</v>
        <stp/>
        <stp>BDH|13681237805415735971</stp>
        <tr r="R7" s="2"/>
      </tp>
      <tp t="s">
        <v>#N/A N/A</v>
        <stp/>
        <stp>BDH|10620048414825425928</stp>
        <tr r="W21" s="4"/>
      </tp>
      <tp t="s">
        <v>#N/A N/A</v>
        <stp/>
        <stp>BDH|13592475326070059846</stp>
        <tr r="W14" s="4"/>
      </tp>
      <tp t="s">
        <v>#N/A N/A</v>
        <stp/>
        <stp>BDH|15885957497679204185</stp>
        <tr r="AP25" s="2"/>
      </tp>
      <tp t="s">
        <v>#N/A N/A</v>
        <stp/>
        <stp>BDH|13876953609021407607</stp>
        <tr r="R21" s="4"/>
      </tp>
      <tp t="s">
        <v>#N/A N/A</v>
        <stp/>
        <stp>BDH|17180812129663188386</stp>
        <tr r="S27" s="2"/>
      </tp>
      <tp t="s">
        <v>#N/A N/A</v>
        <stp/>
        <stp>BDH|14951618060040326990</stp>
        <tr r="K38" s="4"/>
      </tp>
      <tp t="s">
        <v>#N/A N/A</v>
        <stp/>
        <stp>BDH|17955776569412064952</stp>
        <tr r="V40" s="4"/>
      </tp>
      <tp t="s">
        <v>#N/A N/A</v>
        <stp/>
        <stp>BDH|15060626200806323845</stp>
        <tr r="W17" s="4"/>
      </tp>
      <tp t="s">
        <v>#N/A N/A</v>
        <stp/>
        <stp>BDH|11635385554642701882</stp>
        <tr r="M19" s="2"/>
      </tp>
      <tp t="s">
        <v>#N/A N/A</v>
        <stp/>
        <stp>BDH|16500751471502449901</stp>
        <tr r="K21" s="2"/>
      </tp>
      <tp t="s">
        <v>#N/A N/A</v>
        <stp/>
        <stp>BDH|17084594727225262882</stp>
        <tr r="D11" s="2"/>
      </tp>
      <tp t="s">
        <v>#N/A N/A</v>
        <stp/>
        <stp>BDH|17495500931429720561</stp>
        <tr r="P28" s="4"/>
      </tp>
      <tp t="s">
        <v>#N/A N/A</v>
        <stp/>
        <stp>BDH|14046677697673618529</stp>
        <tr r="AI19" s="4"/>
      </tp>
      <tp t="s">
        <v>#N/A N/A</v>
        <stp/>
        <stp>BDH|16809980174604827181</stp>
        <tr r="J12" s="4"/>
      </tp>
      <tp t="s">
        <v>#N/A N/A</v>
        <stp/>
        <stp>BDH|13708467777648984587</stp>
        <tr r="K25" s="2"/>
      </tp>
      <tp t="s">
        <v>#N/A N/A</v>
        <stp/>
        <stp>BDH|12118006114609041724</stp>
        <tr r="AL35" s="4"/>
      </tp>
      <tp t="s">
        <v>#N/A N/A</v>
        <stp/>
        <stp>BDH|12275182173760859960</stp>
        <tr r="I21" s="4"/>
      </tp>
      <tp t="s">
        <v>#N/A N/A</v>
        <stp/>
        <stp>BDH|12159559937031360866</stp>
        <tr r="AL25" s="2"/>
      </tp>
      <tp t="s">
        <v>#N/A N/A</v>
        <stp/>
        <stp>BDH|18213052270300478257</stp>
        <tr r="D27" s="2"/>
      </tp>
      <tp t="s">
        <v>#N/A N/A</v>
        <stp/>
        <stp>BDH|11343984266371838236</stp>
        <tr r="AF21" s="2"/>
      </tp>
      <tp t="s">
        <v>#N/A N/A</v>
        <stp/>
        <stp>BDH|16579496494630656678</stp>
        <tr r="Y29" s="2"/>
      </tp>
      <tp t="s">
        <v>#N/A N/A</v>
        <stp/>
        <stp>BDH|12645798856909080413</stp>
        <tr r="O19" s="2"/>
      </tp>
      <tp t="s">
        <v>#N/A N/A</v>
        <stp/>
        <stp>BDH|13467923529342176761</stp>
        <tr r="AD28" s="4"/>
      </tp>
      <tp t="s">
        <v>#N/A N/A</v>
        <stp/>
        <stp>BDH|16124993200775491775</stp>
        <tr r="AC29" s="2"/>
      </tp>
      <tp t="s">
        <v>#N/A N/A</v>
        <stp/>
        <stp>BDH|16973260340554582919</stp>
        <tr r="AD23" s="2"/>
      </tp>
      <tp t="s">
        <v>#N/A N/A</v>
        <stp/>
        <stp>BDH|12516360136997888866</stp>
        <tr r="X31" s="2"/>
      </tp>
      <tp t="s">
        <v>#N/A N/A</v>
        <stp/>
        <stp>BDH|12991521618299049295</stp>
        <tr r="AC35" s="4"/>
      </tp>
      <tp t="s">
        <v>#N/A N/A</v>
        <stp/>
        <stp>BDH|11152087196044683132</stp>
        <tr r="C7" s="2"/>
      </tp>
      <tp t="s">
        <v>#N/A N/A</v>
        <stp/>
        <stp>BDH|14281625228579667440</stp>
        <tr r="U21" s="2"/>
      </tp>
      <tp t="s">
        <v>#N/A N/A</v>
        <stp/>
        <stp>BDH|12947891160882926355</stp>
        <tr r="AK37" s="2"/>
      </tp>
      <tp t="s">
        <v>#N/A N/A</v>
        <stp/>
        <stp>BDH|14825082881309948846</stp>
        <tr r="Y24" s="4"/>
      </tp>
      <tp t="s">
        <v>#N/A N/A</v>
        <stp/>
        <stp>BDH|16425281832279281332</stp>
        <tr r="R40" s="4"/>
      </tp>
      <tp t="s">
        <v>#N/A N/A</v>
        <stp/>
        <stp>BDH|12936728962726706815</stp>
        <tr r="R31" s="4"/>
      </tp>
      <tp t="s">
        <v>#N/A N/A</v>
        <stp/>
        <stp>BDH|12805380358670766903</stp>
        <tr r="AN19" s="2"/>
      </tp>
      <tp t="s">
        <v>#N/A N/A</v>
        <stp/>
        <stp>BDH|16800866245790479707</stp>
        <tr r="E7" s="2"/>
      </tp>
      <tp t="s">
        <v>#N/A N/A</v>
        <stp/>
        <stp>BDH|16642641628156565912</stp>
        <tr r="AK25" s="2"/>
      </tp>
      <tp t="s">
        <v>#N/A N/A</v>
        <stp/>
        <stp>BDH|10651088234196628829</stp>
        <tr r="O37" s="2"/>
      </tp>
      <tp t="s">
        <v>#N/A N/A</v>
        <stp/>
        <stp>BDP|13802126023016553418</stp>
        <tr r="F13" s="3"/>
      </tp>
      <tp t="s">
        <v>#N/A N/A</v>
        <stp/>
        <stp>BDP|13300493573991752336</stp>
        <tr r="S15" s="3"/>
      </tp>
      <tp t="s">
        <v>#N/A N/A</v>
        <stp/>
        <stp>BDP|17434745859787186046</stp>
        <tr r="AC13" s="3"/>
      </tp>
      <tp t="s">
        <v>#N/A N/A</v>
        <stp/>
        <stp>BDP|12576107644364742192</stp>
        <tr r="AF9" s="3"/>
      </tp>
      <tp t="s">
        <v>#N/A N/A</v>
        <stp/>
        <stp>BDP|11282449446152948187</stp>
        <tr r="W19" s="3"/>
      </tp>
      <tp t="s">
        <v>#N/A N/A</v>
        <stp/>
        <stp>BDP|11440464544623159066</stp>
        <tr r="R19" s="3"/>
      </tp>
      <tp t="s">
        <v>#N/A N/A</v>
        <stp/>
        <stp>BDP|14083639194908037146</stp>
        <tr r="J21" s="3"/>
      </tp>
      <tp t="s">
        <v>#N/A N/A</v>
        <stp/>
        <stp>BDP|11195383642430918418</stp>
        <tr r="AE13" s="3"/>
      </tp>
      <tp t="s">
        <v>#N/A N/A</v>
        <stp/>
        <stp>BDP|12713722543743123053</stp>
        <tr r="W13" s="3"/>
      </tp>
      <tp t="s">
        <v>#N/A N/A</v>
        <stp/>
        <stp>BDP|10114715965083208050</stp>
        <tr r="AB19" s="3"/>
      </tp>
      <tp t="s">
        <v>#N/A N/A</v>
        <stp/>
        <stp>BDP|11221734244381037104</stp>
        <tr r="AM15" s="3"/>
      </tp>
      <tp t="s">
        <v>#N/A N/A</v>
        <stp/>
        <stp>BDP|17893658256994826249</stp>
        <tr r="AH9" s="3"/>
      </tp>
      <tp t="s">
        <v>#N/A N/A</v>
        <stp/>
        <stp>BDP|16597963109908557587</stp>
        <tr r="T19" s="3"/>
      </tp>
      <tp t="s">
        <v>#N/A N/A</v>
        <stp/>
        <stp>BDH|17195977834007729842</stp>
        <tr r="F6" s="4"/>
      </tp>
      <tp t="s">
        <v>#N/A N/A</v>
        <stp/>
        <stp>BDH|10626774132373600544</stp>
        <tr r="AF25" s="2"/>
      </tp>
      <tp t="s">
        <v>#N/A N/A</v>
        <stp/>
        <stp>BDH|13083664876889845997</stp>
        <tr r="S42" s="4"/>
      </tp>
      <tp t="s">
        <v>#N/A N/A</v>
        <stp/>
        <stp>BDH|11733347676223414415</stp>
        <tr r="E17" s="2"/>
      </tp>
      <tp t="s">
        <v>#N/A N/A</v>
        <stp/>
        <stp>BDH|18351814300261579375</stp>
        <tr r="AB31" s="2"/>
      </tp>
      <tp t="s">
        <v>#N/A N/A</v>
        <stp/>
        <stp>BDH|16308866352601405835</stp>
        <tr r="N44" s="4"/>
      </tp>
      <tp t="s">
        <v>#N/A N/A</v>
        <stp/>
        <stp>BDH|12490737912390510637</stp>
        <tr r="O31" s="4"/>
      </tp>
      <tp t="s">
        <v>#N/A N/A</v>
        <stp/>
        <stp>BDH|14883533272167247385</stp>
        <tr r="E37" s="2"/>
      </tp>
      <tp t="s">
        <v>#N/A N/A</v>
        <stp/>
        <stp>BDH|14366874940893110968</stp>
        <tr r="N31" s="4"/>
      </tp>
      <tp t="s">
        <v>#N/A N/A</v>
        <stp/>
        <stp>BDH|11032518235875258056</stp>
        <tr r="Q7" s="2"/>
      </tp>
      <tp t="s">
        <v>#N/A N/A</v>
        <stp/>
        <stp>BDH|12910512226312942544</stp>
        <tr r="M35" s="2"/>
      </tp>
      <tp t="s">
        <v>#N/A N/A</v>
        <stp/>
        <stp>BDH|17211710521898474858</stp>
        <tr r="AG40" s="4"/>
      </tp>
      <tp t="s">
        <v>#N/A N/A</v>
        <stp/>
        <stp>BDH|14491041574725339457</stp>
        <tr r="Y37" s="2"/>
      </tp>
      <tp t="s">
        <v>#N/A N/A</v>
        <stp/>
        <stp>BDH|10481132524131806090</stp>
        <tr r="AD26" s="4"/>
      </tp>
      <tp t="s">
        <v>#N/A N/A</v>
        <stp/>
        <stp>BDH|11431789747227034796</stp>
        <tr r="AK26" s="4"/>
      </tp>
      <tp t="s">
        <v>#N/A N/A</v>
        <stp/>
        <stp>BDH|16765652363026764244</stp>
        <tr r="AK17" s="4"/>
      </tp>
      <tp t="s">
        <v>#N/A N/A</v>
        <stp/>
        <stp>BDH|14338131660240590102</stp>
        <tr r="N7" s="2"/>
      </tp>
      <tp t="s">
        <v>#N/A N/A</v>
        <stp/>
        <stp>BDH|15701369651649719827</stp>
        <tr r="S21" s="2"/>
      </tp>
      <tp t="s">
        <v>#N/A N/A</v>
        <stp/>
        <stp>BDH|15084506637887558672</stp>
        <tr r="E35" s="2"/>
      </tp>
      <tp t="s">
        <v>#N/A N/A</v>
        <stp/>
        <stp>BDH|12426792834602851659</stp>
        <tr r="G19" s="4"/>
      </tp>
      <tp t="s">
        <v>#N/A N/A</v>
        <stp/>
        <stp>BDH|10488566407636983185</stp>
        <tr r="AA13" s="2"/>
      </tp>
      <tp t="s">
        <v>#N/A N/A</v>
        <stp/>
        <stp>BDH|15759177367670397034</stp>
        <tr r="AH8" s="4"/>
      </tp>
      <tp t="s">
        <v>#N/A N/A</v>
        <stp/>
        <stp>BDH|16995791336620991096</stp>
        <tr r="D35" s="4"/>
      </tp>
      <tp t="s">
        <v>#N/A N/A</v>
        <stp/>
        <stp>BDH|16344559587679784002</stp>
        <tr r="P35" s="2"/>
      </tp>
      <tp t="s">
        <v>#N/A N/A</v>
        <stp/>
        <stp>BDH|12594870292821466020</stp>
        <tr r="E23" s="2"/>
      </tp>
      <tp t="s">
        <v>#N/A N/A</v>
        <stp/>
        <stp>BDH|17832823281784838150</stp>
        <tr r="G26" s="4"/>
      </tp>
      <tp t="s">
        <v>#N/A N/A</v>
        <stp/>
        <stp>BDH|10621656982629146599</stp>
        <tr r="Y19" s="2"/>
      </tp>
      <tp t="s">
        <v>#N/A N/A</v>
        <stp/>
        <stp>BDH|10497990893982512027</stp>
        <tr r="J42" s="4"/>
      </tp>
      <tp t="s">
        <v>#N/A N/A</v>
        <stp/>
        <stp>BDH|16555174619416027222</stp>
        <tr r="AK44" s="4"/>
      </tp>
      <tp t="s">
        <v>#N/A N/A</v>
        <stp/>
        <stp>BDH|15123430130589282984</stp>
        <tr r="H9" s="2"/>
      </tp>
      <tp t="s">
        <v>#N/A N/A</v>
        <stp/>
        <stp>BDH|18338965157345377398</stp>
        <tr r="AN35" s="2"/>
      </tp>
      <tp t="s">
        <v>#N/A N/A</v>
        <stp/>
        <stp>BDH|14396158117636096094</stp>
        <tr r="H26" s="4"/>
      </tp>
      <tp t="s">
        <v>#N/A N/A</v>
        <stp/>
        <stp>BDH|12296458959407188678</stp>
        <tr r="Y38" s="4"/>
      </tp>
      <tp t="s">
        <v>#N/A N/A</v>
        <stp/>
        <stp>BDH|15496633616085923537</stp>
        <tr r="O27" s="2"/>
      </tp>
      <tp t="s">
        <v>#N/A N/A</v>
        <stp/>
        <stp>BDH|12543894235569786253</stp>
        <tr r="H21" s="4"/>
      </tp>
      <tp t="s">
        <v>#N/A N/A</v>
        <stp/>
        <stp>BDH|10225685393465463868</stp>
        <tr r="M21" s="2"/>
      </tp>
      <tp t="s">
        <v>#N/A N/A</v>
        <stp/>
        <stp>BDH|14381971009167775812</stp>
        <tr r="AA9" s="2"/>
      </tp>
      <tp t="s">
        <v>#N/A N/A</v>
        <stp/>
        <stp>BDH|11242428025400855503</stp>
        <tr r="I35" s="4"/>
      </tp>
      <tp t="s">
        <v>#N/A N/A</v>
        <stp/>
        <stp>BDH|12047925321683886869</stp>
        <tr r="O33" s="4"/>
      </tp>
      <tp t="s">
        <v>#N/A N/A</v>
        <stp/>
        <stp>BDH|14351061383358245681</stp>
        <tr r="M40" s="4"/>
      </tp>
      <tp t="s">
        <v>#N/A N/A</v>
        <stp/>
        <stp>BDH|14326037026074290088</stp>
        <tr r="J35" s="4"/>
      </tp>
      <tp t="s">
        <v>#N/A N/A</v>
        <stp/>
        <stp>BDH|18005734377708892232</stp>
        <tr r="T23" s="2"/>
      </tp>
      <tp t="s">
        <v>#N/A N/A</v>
        <stp/>
        <stp>BDH|14622497707196335445</stp>
        <tr r="AM38" s="4"/>
      </tp>
      <tp t="s">
        <v>#N/A N/A</v>
        <stp/>
        <stp>BDH|15542584140142206407</stp>
        <tr r="AK38" s="4"/>
      </tp>
      <tp t="s">
        <v>#N/A N/A</v>
        <stp/>
        <stp>BDH|13887449931353752552</stp>
        <tr r="C33" s="4"/>
      </tp>
      <tp t="s">
        <v>#N/A N/A</v>
        <stp/>
        <stp>BDH|16313384811721164740</stp>
        <tr r="M37" s="2"/>
      </tp>
      <tp t="s">
        <v>#N/A N/A</v>
        <stp/>
        <stp>BDH|10910413367831245134</stp>
        <tr r="C37" s="2"/>
      </tp>
      <tp t="s">
        <v>#N/A N/A</v>
        <stp/>
        <stp>BDH|14864162924653303670</stp>
        <tr r="AH44" s="4"/>
      </tp>
      <tp t="s">
        <v>#N/A N/A</v>
        <stp/>
        <stp>BDH|11871616144922630359</stp>
        <tr r="S31" s="4"/>
      </tp>
      <tp t="s">
        <v>#N/A N/A</v>
        <stp/>
        <stp>BDH|12705572176580918213</stp>
        <tr r="U9" s="2"/>
      </tp>
      <tp t="s">
        <v>#N/A N/A</v>
        <stp/>
        <stp>BDP|17022831288225275134</stp>
        <tr r="C21" s="3"/>
      </tp>
      <tp t="s">
        <v>#N/A N/A</v>
        <stp/>
        <stp>BDP|10373950889296537468</stp>
        <tr r="AN9" s="3"/>
      </tp>
      <tp t="s">
        <v>#N/A N/A</v>
        <stp/>
        <stp>BDP|12912470350979991998</stp>
        <tr r="I13" s="3"/>
      </tp>
      <tp t="s">
        <v>#N/A N/A</v>
        <stp/>
        <stp>BDP|10077295118810873070</stp>
        <tr r="F15" s="3"/>
      </tp>
      <tp t="s">
        <v>#N/A N/A</v>
        <stp/>
        <stp>BDP|13454038582439206143</stp>
        <tr r="T15" s="3"/>
      </tp>
      <tp t="s">
        <v>#N/A N/A</v>
        <stp/>
        <stp>BDP|16273750139494964557</stp>
        <tr r="AA9" s="3"/>
      </tp>
      <tp t="s">
        <v>#N/A N/A</v>
        <stp/>
        <stp>BDP|18004843646233347468</stp>
        <tr r="M9" s="3"/>
      </tp>
      <tp t="s">
        <v>#N/A N/A</v>
        <stp/>
        <stp>BDH|11063378638213689184</stp>
        <tr r="AF37" s="2"/>
      </tp>
      <tp t="s">
        <v>#N/A N/A</v>
        <stp/>
        <stp>BDH|12023057662304200346</stp>
        <tr r="AE10" s="4"/>
      </tp>
      <tp t="s">
        <v>#N/A N/A</v>
        <stp/>
        <stp>BDH|17475439848595742199</stp>
        <tr r="Z14" s="4"/>
      </tp>
      <tp t="s">
        <v>#N/A N/A</v>
        <stp/>
        <stp>BDH|11081046347040731658</stp>
        <tr r="AP38" s="4"/>
      </tp>
      <tp t="s">
        <v>#N/A N/A</v>
        <stp/>
        <stp>BDH|12753132602954632406</stp>
        <tr r="E12" s="4"/>
      </tp>
      <tp t="s">
        <v>#N/A N/A</v>
        <stp/>
        <stp>BDH|10194264767646014105</stp>
        <tr r="I19" s="2"/>
      </tp>
      <tp t="s">
        <v>#N/A N/A</v>
        <stp/>
        <stp>BDH|10807895352429790746</stp>
        <tr r="D12" s="4"/>
      </tp>
      <tp t="s">
        <v>#N/A N/A</v>
        <stp/>
        <stp>BDH|17075244147804333609</stp>
        <tr r="X23" s="2"/>
      </tp>
      <tp t="s">
        <v>#N/A N/A</v>
        <stp/>
        <stp>BDH|15711634640215242163</stp>
        <tr r="AP14" s="4"/>
      </tp>
      <tp t="s">
        <v>#N/A N/A</v>
        <stp/>
        <stp>BDH|16589223900985737206</stp>
        <tr r="AB10" s="4"/>
      </tp>
      <tp t="s">
        <v>#N/A N/A</v>
        <stp/>
        <stp>BDH|14034720806187209767</stp>
        <tr r="V26" s="4"/>
      </tp>
      <tp t="s">
        <v>#N/A N/A</v>
        <stp/>
        <stp>BDH|11058649813451438407</stp>
        <tr r="AB21" s="2"/>
      </tp>
      <tp t="s">
        <v>#N/A N/A</v>
        <stp/>
        <stp>BDH|14140534245395757331</stp>
        <tr r="U8" s="4"/>
      </tp>
      <tp t="s">
        <v>#N/A N/A</v>
        <stp/>
        <stp>BDH|13652619671526481716</stp>
        <tr r="C44" s="4"/>
      </tp>
      <tp t="s">
        <v>#N/A N/A</v>
        <stp/>
        <stp>BDH|17105942199817962369</stp>
        <tr r="T13" s="2"/>
      </tp>
      <tp t="s">
        <v>#N/A N/A</v>
        <stp/>
        <stp>BDH|11535039532614498531</stp>
        <tr r="J21" s="2"/>
      </tp>
      <tp t="s">
        <v>#N/A N/A</v>
        <stp/>
        <stp>BDH|16761968650640614952</stp>
        <tr r="Y23" s="2"/>
      </tp>
      <tp t="s">
        <v>#N/A N/A</v>
        <stp/>
        <stp>BDH|12332608945585572610</stp>
        <tr r="R37" s="2"/>
      </tp>
      <tp t="s">
        <v>#N/A N/A</v>
        <stp/>
        <stp>BDH|16862164849717390763</stp>
        <tr r="Q27" s="2"/>
      </tp>
      <tp t="s">
        <v>#N/A N/A</v>
        <stp/>
        <stp>BDH|14363328641947727756</stp>
        <tr r="AG8" s="4"/>
      </tp>
      <tp t="s">
        <v>#N/A N/A</v>
        <stp/>
        <stp>BDH|10134850490941384328</stp>
        <tr r="D28" s="4"/>
      </tp>
      <tp t="s">
        <v>#N/A N/A</v>
        <stp/>
        <stp>BDH|10715182028972466277</stp>
        <tr r="AL7" s="2"/>
      </tp>
      <tp t="s">
        <v>#N/A N/A</v>
        <stp/>
        <stp>BDH|12940739763117470793</stp>
        <tr r="D19" s="4"/>
      </tp>
      <tp t="s">
        <v>#N/A N/A</v>
        <stp/>
        <stp>BDH|10468157871404476100</stp>
        <tr r="R28" s="4"/>
      </tp>
      <tp t="s">
        <v>#N/A N/A</v>
        <stp/>
        <stp>BDH|16750742249942993476</stp>
        <tr r="S28" s="4"/>
      </tp>
      <tp t="s">
        <v>#N/A N/A</v>
        <stp/>
        <stp>BDH|13190313386519523278</stp>
        <tr r="S21" s="4"/>
      </tp>
      <tp t="s">
        <v>#N/A N/A</v>
        <stp/>
        <stp>BDH|12661288838099258934</stp>
        <tr r="P10" s="4"/>
      </tp>
      <tp t="s">
        <v>#N/A N/A</v>
        <stp/>
        <stp>BDH|10744611562235712644</stp>
        <tr r="AN23" s="2"/>
      </tp>
      <tp t="s">
        <v>#N/A N/A</v>
        <stp/>
        <stp>BDH|18166369955694507909</stp>
        <tr r="H6" s="4"/>
      </tp>
      <tp t="s">
        <v>#N/A N/A</v>
        <stp/>
        <stp>BDH|12346373299869980232</stp>
        <tr r="O13" s="2"/>
      </tp>
      <tp t="s">
        <v>#N/A N/A</v>
        <stp/>
        <stp>BDH|14245430065426308319</stp>
        <tr r="AL13" s="2"/>
      </tp>
      <tp t="s">
        <v>#N/A N/A</v>
        <stp/>
        <stp>BDH|17758986780913945607</stp>
        <tr r="AH40" s="4"/>
      </tp>
      <tp t="s">
        <v>#N/A N/A</v>
        <stp/>
        <stp>BDH|15041394065462235189</stp>
        <tr r="AN12" s="4"/>
      </tp>
      <tp t="s">
        <v>#N/A N/A</v>
        <stp/>
        <stp>BDH|12253102345001932588</stp>
        <tr r="AH24" s="4"/>
      </tp>
      <tp t="s">
        <v>#N/A N/A</v>
        <stp/>
        <stp>BDH|13158379171056386220</stp>
        <tr r="AM31" s="2"/>
      </tp>
      <tp t="s">
        <v>#N/A N/A</v>
        <stp/>
        <stp>BDH|15981613672545252211</stp>
        <tr r="AM12" s="4"/>
      </tp>
      <tp t="s">
        <v>#N/A N/A</v>
        <stp/>
        <stp>BDH|13979579216766266222</stp>
        <tr r="J25" s="2"/>
      </tp>
      <tp t="s">
        <v>#N/A N/A</v>
        <stp/>
        <stp>BDH|10040691518016863212</stp>
        <tr r="N37" s="2"/>
      </tp>
      <tp t="s">
        <v>#N/A N/A</v>
        <stp/>
        <stp>BDH|14461272773375850704</stp>
        <tr r="AC37" s="2"/>
      </tp>
      <tp t="s">
        <v>#N/A N/A</v>
        <stp/>
        <stp>BDH|12399346171735570096</stp>
        <tr r="Z10" s="4"/>
      </tp>
      <tp t="s">
        <v>#N/A N/A</v>
        <stp/>
        <stp>BDH|13114756873953425393</stp>
        <tr r="AB25" s="2"/>
      </tp>
      <tp t="s">
        <v>#N/A N/A</v>
        <stp/>
        <stp>BDH|14461899712397615932</stp>
        <tr r="J37" s="2"/>
      </tp>
      <tp t="s">
        <v>#N/A N/A</v>
        <stp/>
        <stp>BDH|16946659226065133411</stp>
        <tr r="Y12" s="4"/>
      </tp>
      <tp t="s">
        <v>#N/A N/A</v>
        <stp/>
        <stp>BDH|17268115728713921485</stp>
        <tr r="Q6" s="4"/>
      </tp>
      <tp t="s">
        <v>#N/A N/A</v>
        <stp/>
        <stp>BDH|11738380911908266812</stp>
        <tr r="D37" s="2"/>
      </tp>
      <tp t="s">
        <v>#N/A N/A</v>
        <stp/>
        <stp>BDH|15341074068026153609</stp>
        <tr r="C26" s="4"/>
      </tp>
      <tp t="s">
        <v>#N/A N/A</v>
        <stp/>
        <stp>BDH|18136927149573424533</stp>
        <tr r="AG35" s="4"/>
      </tp>
      <tp t="s">
        <v>#N/A N/A</v>
        <stp/>
        <stp>BDH|16619394243594402650</stp>
        <tr r="G6" s="4"/>
      </tp>
      <tp t="s">
        <v>#N/A N/A</v>
        <stp/>
        <stp>BDH|17266190250022339246</stp>
        <tr r="V42" s="4"/>
      </tp>
      <tp t="s">
        <v>#N/A N/A</v>
        <stp/>
        <stp>BDH|11869058731965219427</stp>
        <tr r="H38" s="4"/>
      </tp>
      <tp t="s">
        <v>#N/A N/A</v>
        <stp/>
        <stp>BDH|12075693403814692303</stp>
        <tr r="AP9" s="2"/>
      </tp>
      <tp t="s">
        <v>#N/A N/A</v>
        <stp/>
        <stp>BDH|15902701015792545256</stp>
        <tr r="R11" s="2"/>
      </tp>
      <tp t="s">
        <v>#N/A N/A</v>
        <stp/>
        <stp>BDH|15617439812317122490</stp>
        <tr r="AA10" s="4"/>
      </tp>
      <tp t="s">
        <v>#N/A N/A</v>
        <stp/>
        <stp>BDH|14211369727017845145</stp>
        <tr r="G10" s="4"/>
      </tp>
      <tp t="s">
        <v>#N/A N/A</v>
        <stp/>
        <stp>BDH|13459565036202972428</stp>
        <tr r="R33" s="4"/>
      </tp>
      <tp t="s">
        <v>#N/A N/A</v>
        <stp/>
        <stp>BDH|13449224651404952316</stp>
        <tr r="AC31" s="2"/>
      </tp>
      <tp t="s">
        <v>#N/A N/A</v>
        <stp/>
        <stp>BDH|14927778810455063400</stp>
        <tr r="C21" s="4"/>
      </tp>
    </main>
    <main first="bofaddin.rtdserver">
      <tp t="s">
        <v>#N/A N/A</v>
        <stp/>
        <stp>BDP|10517797233790789453</stp>
        <tr r="F11" s="3"/>
      </tp>
      <tp t="s">
        <v>#N/A N/A</v>
        <stp/>
        <stp>BDP|14725306419455907354</stp>
        <tr r="L9" s="3"/>
      </tp>
      <tp t="s">
        <v>#N/A N/A</v>
        <stp/>
        <stp>BDP|11977103583730718898</stp>
        <tr r="H21" s="3"/>
      </tp>
      <tp t="s">
        <v>#N/A N/A</v>
        <stp/>
        <stp>BDH|11911130998131666855</stp>
        <tr r="AH37" s="2"/>
      </tp>
      <tp t="s">
        <v>#N/A N/A</v>
        <stp/>
        <stp>BDH|12076285942784822036</stp>
        <tr r="AF19" s="2"/>
      </tp>
      <tp t="s">
        <v>#N/A N/A</v>
        <stp/>
        <stp>BDH|16000440826872608259</stp>
        <tr r="I17" s="2"/>
      </tp>
      <tp t="s">
        <v>#N/A N/A</v>
        <stp/>
        <stp>BDH|12858108009095211601</stp>
        <tr r="H21" s="2"/>
      </tp>
      <tp t="s">
        <v>#N/A N/A</v>
        <stp/>
        <stp>BDH|15546040442953420243</stp>
        <tr r="AM25" s="2"/>
      </tp>
      <tp t="s">
        <v>#N/A N/A</v>
        <stp/>
        <stp>BDH|14477789749201147679</stp>
        <tr r="AN17" s="2"/>
      </tp>
      <tp t="s">
        <v>#N/A N/A</v>
        <stp/>
        <stp>BDH|17931066823677979260</stp>
        <tr r="AB11" s="2"/>
      </tp>
      <tp t="s">
        <v>#N/A N/A</v>
        <stp/>
        <stp>BDH|15236322660199431966</stp>
        <tr r="T42" s="4"/>
      </tp>
      <tp t="s">
        <v>#N/A N/A</v>
        <stp/>
        <stp>BDH|13423002547022190573</stp>
        <tr r="F19" s="2"/>
      </tp>
      <tp t="s">
        <v>#N/A N/A</v>
        <stp/>
        <stp>BDH|14622533481381445854</stp>
        <tr r="AJ24" s="4"/>
      </tp>
      <tp t="s">
        <v>#N/A N/A</v>
        <stp/>
        <stp>BDH|11029025125391336201</stp>
        <tr r="Y9" s="2"/>
      </tp>
      <tp t="s">
        <v>#N/A N/A</v>
        <stp/>
        <stp>BDH|10762916344094281971</stp>
        <tr r="X31" s="4"/>
      </tp>
      <tp t="s">
        <v>#N/A N/A</v>
        <stp/>
        <stp>BDH|18364123039799836372</stp>
        <tr r="U26" s="4"/>
      </tp>
      <tp t="s">
        <v>#N/A N/A</v>
        <stp/>
        <stp>BDH|14036569948487878219</stp>
        <tr r="D14" s="4"/>
      </tp>
      <tp t="s">
        <v>#N/A N/A</v>
        <stp/>
        <stp>BDH|12392799669512634120</stp>
        <tr r="AO13" s="2"/>
      </tp>
      <tp t="s">
        <v>#N/A N/A</v>
        <stp/>
        <stp>BDH|14160749200780416371</stp>
        <tr r="AL38" s="2"/>
      </tp>
      <tp t="s">
        <v>#N/A N/A</v>
        <stp/>
        <stp>BDH|12877712790664752887</stp>
        <tr r="C10" s="4"/>
      </tp>
      <tp t="s">
        <v>#N/A N/A</v>
        <stp/>
        <stp>BDH|17856676242466797332</stp>
        <tr r="J14" s="4"/>
      </tp>
      <tp t="s">
        <v>#N/A N/A</v>
        <stp/>
        <stp>BDH|18305116129188448360</stp>
        <tr r="AJ31" s="2"/>
      </tp>
      <tp t="s">
        <v>#N/A N/A</v>
        <stp/>
        <stp>BDH|13706926179345310865</stp>
        <tr r="AI9" s="2"/>
      </tp>
      <tp t="s">
        <v>#N/A N/A</v>
        <stp/>
        <stp>BDH|17384325060064185688</stp>
        <tr r="AN13" s="2"/>
      </tp>
      <tp t="s">
        <v>#N/A N/A</v>
        <stp/>
        <stp>BDH|17242818129104443956</stp>
        <tr r="AN42" s="4"/>
      </tp>
      <tp t="s">
        <v>#N/A N/A</v>
        <stp/>
        <stp>BDH|11334434739454411260</stp>
        <tr r="X13" s="2"/>
      </tp>
      <tp t="s">
        <v>#N/A N/A</v>
        <stp/>
        <stp>BDH|16907669401709607923</stp>
        <tr r="AN10" s="4"/>
      </tp>
      <tp t="s">
        <v>#N/A N/A</v>
        <stp/>
        <stp>BDH|14373354578605552566</stp>
        <tr r="N6" s="4"/>
      </tp>
      <tp t="s">
        <v>#N/A N/A</v>
        <stp/>
        <stp>BDH|17218470332625340597</stp>
        <tr r="X29" s="2"/>
      </tp>
      <tp t="s">
        <v>#N/A N/A</v>
        <stp/>
        <stp>BDH|14913131847634952588</stp>
        <tr r="U25" s="2"/>
      </tp>
      <tp t="s">
        <v>#N/A N/A</v>
        <stp/>
        <stp>BDH|16345369658048349825</stp>
        <tr r="AI17" s="4"/>
      </tp>
      <tp t="s">
        <v>#N/A N/A</v>
        <stp/>
        <stp>BDH|12521051621039549980</stp>
        <tr r="Q40" s="4"/>
      </tp>
      <tp t="s">
        <v>#N/A N/A</v>
        <stp/>
        <stp>BDH|11096716308893142545</stp>
        <tr r="H29" s="2"/>
      </tp>
      <tp t="s">
        <v>#N/A N/A</v>
        <stp/>
        <stp>BDH|12355225093861534883</stp>
        <tr r="F9" s="2"/>
      </tp>
      <tp t="s">
        <v>#N/A N/A</v>
        <stp/>
        <stp>BDH|10895349553362382435</stp>
        <tr r="AD10" s="4"/>
      </tp>
      <tp t="s">
        <v>#N/A N/A</v>
        <stp/>
        <stp>BDH|16784025408945460361</stp>
        <tr r="Q31" s="4"/>
      </tp>
      <tp t="s">
        <v>#N/A N/A</v>
        <stp/>
        <stp>BDH|12361707369230366366</stp>
        <tr r="AD13" s="2"/>
      </tp>
      <tp t="s">
        <v>#N/A N/A</v>
        <stp/>
        <stp>BDH|13370440851664152686</stp>
        <tr r="AJ27" s="2"/>
      </tp>
      <tp t="s">
        <v>#N/A N/A</v>
        <stp/>
        <stp>BDH|10055400958389425827</stp>
        <tr r="C11" s="2"/>
      </tp>
      <tp t="s">
        <v>#N/A N/A</v>
        <stp/>
        <stp>BDP|16600563239368246931</stp>
        <tr r="P13" s="3"/>
      </tp>
      <tp t="s">
        <v>#N/A N/A</v>
        <stp/>
        <stp>BDP|11509509422687464094</stp>
        <tr r="AL15" s="3"/>
      </tp>
      <tp t="s">
        <v>#N/A N/A</v>
        <stp/>
        <stp>BDP|15052818796662400796</stp>
        <tr r="AO9" s="3"/>
      </tp>
      <tp t="s">
        <v>#N/A N/A</v>
        <stp/>
        <stp>BDP|11915854574468456766</stp>
        <tr r="AI15" s="3"/>
      </tp>
      <tp t="s">
        <v>#N/A N/A</v>
        <stp/>
        <stp>BDP|13245124064412872714</stp>
        <tr r="T11" s="3"/>
      </tp>
      <tp t="s">
        <v>#N/A N/A</v>
        <stp/>
        <stp>BDP|11029779008661611667</stp>
        <tr r="O21" s="3"/>
      </tp>
      <tp t="s">
        <v>#N/A N/A</v>
        <stp/>
        <stp>BDP|13453473764358905810</stp>
        <tr r="P11" s="3"/>
      </tp>
      <tp t="s">
        <v>#N/A N/A</v>
        <stp/>
        <stp>BDP|14818798331990704158</stp>
        <tr r="E13" s="3"/>
      </tp>
      <tp t="s">
        <v>#N/A N/A</v>
        <stp/>
        <stp>BDP|14328270903557384018</stp>
        <tr r="AL13" s="3"/>
      </tp>
      <tp t="s">
        <v>#N/A N/A</v>
        <stp/>
        <stp>BDP|14547464324370374311</stp>
        <tr r="AE19" s="3"/>
      </tp>
      <tp t="s">
        <v>#N/A N/A</v>
        <stp/>
        <stp>BDP|17634525018914256689</stp>
        <tr r="D11" s="3"/>
      </tp>
      <tp t="s">
        <v>#N/A N/A</v>
        <stp/>
        <stp>BDH|13767129947954146328</stp>
        <tr r="AI31" s="2"/>
      </tp>
      <tp t="s">
        <v>#N/A N/A</v>
        <stp/>
        <stp>BDH|13080440811124020344</stp>
        <tr r="AJ6" s="4"/>
      </tp>
      <tp t="s">
        <v>#N/A N/A</v>
        <stp/>
        <stp>BDH|12386367232917536438</stp>
        <tr r="I33" s="4"/>
      </tp>
      <tp t="s">
        <v>#N/A N/A</v>
        <stp/>
        <stp>BDH|18237896050170851423</stp>
        <tr r="Z35" s="4"/>
      </tp>
      <tp t="s">
        <v>#N/A N/A</v>
        <stp/>
        <stp>BDH|10734219628142653398</stp>
        <tr r="O38" s="2"/>
      </tp>
      <tp t="s">
        <v>#N/A N/A</v>
        <stp/>
        <stp>BDH|13432355462474004339</stp>
        <tr r="X8" s="4"/>
      </tp>
      <tp t="s">
        <v>#N/A N/A</v>
        <stp/>
        <stp>BDH|11391007557597627223</stp>
        <tr r="N29" s="2"/>
      </tp>
      <tp t="s">
        <v>#N/A N/A</v>
        <stp/>
        <stp>BDH|17156464725190455069</stp>
        <tr r="AN21" s="2"/>
      </tp>
      <tp t="s">
        <v>#N/A N/A</v>
        <stp/>
        <stp>BDH|15077766358223663581</stp>
        <tr r="Y31" s="2"/>
      </tp>
      <tp t="s">
        <v>#N/A N/A</v>
        <stp/>
        <stp>BDH|16351747907494349408</stp>
        <tr r="F24" s="4"/>
      </tp>
      <tp t="s">
        <v>#N/A N/A</v>
        <stp/>
        <stp>BDH|15520739774586670278</stp>
        <tr r="W24" s="4"/>
      </tp>
      <tp t="s">
        <v>#N/A N/A</v>
        <stp/>
        <stp>BDH|10408430722220653716</stp>
        <tr r="Z12" s="4"/>
      </tp>
      <tp t="s">
        <v>#N/A N/A</v>
        <stp/>
        <stp>BDH|10104120111165300449</stp>
        <tr r="W19" s="4"/>
      </tp>
      <tp t="s">
        <v>#N/A N/A</v>
        <stp/>
        <stp>BDH|14024001278447525589</stp>
        <tr r="I13" s="2"/>
      </tp>
      <tp t="s">
        <v>#N/A N/A</v>
        <stp/>
        <stp>BDH|16741141313002568502</stp>
        <tr r="AA17" s="2"/>
      </tp>
      <tp t="s">
        <v>#N/A N/A</v>
        <stp/>
        <stp>BDH|16606163773739157871</stp>
        <tr r="L12" s="4"/>
      </tp>
      <tp t="s">
        <v>#N/A N/A</v>
        <stp/>
        <stp>BDH|16179760749696890222</stp>
        <tr r="C23" s="2"/>
      </tp>
      <tp t="s">
        <v>#N/A N/A</v>
        <stp/>
        <stp>BDH|17957158352537962531</stp>
        <tr r="AG6" s="4"/>
      </tp>
      <tp t="s">
        <v>#N/A N/A</v>
        <stp/>
        <stp>BDH|15718570021997616439</stp>
        <tr r="AK9" s="2"/>
      </tp>
      <tp t="s">
        <v>#N/A N/A</v>
        <stp/>
        <stp>BDH|12635731763867791557</stp>
        <tr r="S19" s="4"/>
      </tp>
      <tp t="s">
        <v>#N/A N/A</v>
        <stp/>
        <stp>BDH|12655197658296711179</stp>
        <tr r="AB38" s="4"/>
      </tp>
      <tp t="s">
        <v>#N/A N/A</v>
        <stp/>
        <stp>BDH|17965125179891019152</stp>
        <tr r="AD40" s="4"/>
      </tp>
      <tp t="s">
        <v>#N/A N/A</v>
        <stp/>
        <stp>BDH|15388506063906201151</stp>
        <tr r="R14" s="4"/>
      </tp>
      <tp t="s">
        <v>#N/A N/A</v>
        <stp/>
        <stp>BDH|16451519104327758508</stp>
        <tr r="AO28" s="4"/>
      </tp>
      <tp t="s">
        <v>#N/A N/A</v>
        <stp/>
        <stp>BDH|12821017759936270049</stp>
        <tr r="AF31" s="4"/>
      </tp>
      <tp t="s">
        <v>#N/A N/A</v>
        <stp/>
        <stp>BDH|16963109438002851708</stp>
        <tr r="AC21" s="4"/>
      </tp>
      <tp t="s">
        <v>#N/A N/A</v>
        <stp/>
        <stp>BDH|12944791322366208090</stp>
        <tr r="Y25" s="2"/>
      </tp>
      <tp t="s">
        <v>#N/A N/A</v>
        <stp/>
        <stp>BDH|17280882002099701774</stp>
        <tr r="W44" s="4"/>
      </tp>
      <tp t="s">
        <v>#N/A N/A</v>
        <stp/>
        <stp>BDH|13985832133671427853</stp>
        <tr r="M24" s="4"/>
      </tp>
      <tp t="s">
        <v>#N/A N/A</v>
        <stp/>
        <stp>BDH|10512169768151345709</stp>
        <tr r="Z21" s="4"/>
      </tp>
      <tp t="s">
        <v>#N/A N/A</v>
        <stp/>
        <stp>BDH|13545351579541282700</stp>
        <tr r="AM38" s="2"/>
      </tp>
      <tp t="s">
        <v>#N/A N/A</v>
        <stp/>
        <stp>BDH|17333942715879003791</stp>
        <tr r="Z44" s="4"/>
      </tp>
      <tp t="s">
        <v>#N/A N/A</v>
        <stp/>
        <stp>BDH|10327697306787459037</stp>
        <tr r="H13" s="2"/>
      </tp>
      <tp t="s">
        <v>#N/A N/A</v>
        <stp/>
        <stp>BDH|14801623534008435806</stp>
        <tr r="Q13" s="2"/>
      </tp>
      <tp t="s">
        <v>#N/A N/A</v>
        <stp/>
        <stp>BDH|12666218695010946863</stp>
        <tr r="AJ42" s="4"/>
      </tp>
      <tp t="s">
        <v>#N/A N/A</v>
        <stp/>
        <stp>BDH|18031229017473063985</stp>
        <tr r="F40" s="4"/>
      </tp>
      <tp t="s">
        <v>#N/A N/A</v>
        <stp/>
        <stp>BDH|17776170551356418481</stp>
        <tr r="R38" s="2"/>
      </tp>
      <tp t="s">
        <v>#N/A N/A</v>
        <stp/>
        <stp>BDH|10920045700307177609</stp>
        <tr r="K29" s="2"/>
      </tp>
      <tp t="s">
        <v>#N/A N/A</v>
        <stp/>
        <stp>BDH|16905005886987879882</stp>
        <tr r="AO19" s="2"/>
      </tp>
      <tp t="s">
        <v>#N/A N/A</v>
        <stp/>
        <stp>BDH|14643193370931970294</stp>
        <tr r="AN27" s="2"/>
      </tp>
      <tp t="s">
        <v>#N/A N/A</v>
        <stp/>
        <stp>BDH|17726183322164746158</stp>
        <tr r="C40" s="4"/>
      </tp>
      <tp t="s">
        <v>#N/A N/A</v>
        <stp/>
        <stp>BDH|16787908050369102291</stp>
        <tr r="Q21" s="4"/>
      </tp>
      <tp t="s">
        <v>#N/A N/A</v>
        <stp/>
        <stp>BDH|16932919374978596177</stp>
        <tr r="Q19" s="2"/>
      </tp>
      <tp t="s">
        <v>#N/A N/A</v>
        <stp/>
        <stp>BDH|13217475263456158694</stp>
        <tr r="AB6" s="4"/>
      </tp>
      <tp t="s">
        <v>#N/A N/A</v>
        <stp/>
        <stp>BDP|12064930598064681057</stp>
        <tr r="AI13" s="3"/>
      </tp>
      <tp t="s">
        <v>#N/A N/A</v>
        <stp/>
        <stp>BDP|15704664725903401481</stp>
        <tr r="T21" s="3"/>
      </tp>
      <tp t="s">
        <v>#N/A N/A</v>
        <stp/>
        <stp>BDP|14942961660868304576</stp>
        <tr r="AE9" s="3"/>
      </tp>
      <tp t="s">
        <v>#N/A N/A</v>
        <stp/>
        <stp>BDP|10340830381575816368</stp>
        <tr r="AC21" s="3"/>
      </tp>
      <tp t="s">
        <v>#N/A N/A</v>
        <stp/>
        <stp>BDP|15826720110090215598</stp>
        <tr r="S11" s="3"/>
      </tp>
      <tp t="s">
        <v>#N/A N/A</v>
        <stp/>
        <stp>BDP|13001220596608335669</stp>
        <tr r="Z15" s="3"/>
      </tp>
      <tp t="s">
        <v>#N/A N/A</v>
        <stp/>
        <stp>BDP|13286038242687123615</stp>
        <tr r="AA19" s="3"/>
      </tp>
      <tp t="s">
        <v>#N/A N/A</v>
        <stp/>
        <stp>BDP|16489856411938736144</stp>
        <tr r="AO21" s="3"/>
      </tp>
      <tp t="s">
        <v>#N/A N/A</v>
        <stp/>
        <stp>BDP|16821642528984933081</stp>
        <tr r="J15" s="3"/>
      </tp>
      <tp t="s">
        <v>#N/A N/A</v>
        <stp/>
        <stp>BDP|10146593332244989461</stp>
        <tr r="X19" s="3"/>
      </tp>
      <tp t="s">
        <v>#N/A N/A</v>
        <stp/>
        <stp>BDP|12882289566146282603</stp>
        <tr r="AJ19" s="3"/>
      </tp>
      <tp t="s">
        <v>#N/A N/A</v>
        <stp/>
        <stp>BDP|15116379004993374358</stp>
        <tr r="Z21" s="3"/>
      </tp>
      <tp t="s">
        <v>#N/A N/A</v>
        <stp/>
        <stp>BDH|12845390437922754607</stp>
        <tr r="AP19" s="2"/>
      </tp>
      <tp t="s">
        <v>#N/A N/A</v>
        <stp/>
        <stp>BDH|10210031442304482668</stp>
        <tr r="L10" s="4"/>
      </tp>
      <tp t="s">
        <v>#N/A N/A</v>
        <stp/>
        <stp>BDH|12765462928997828514</stp>
        <tr r="AL37" s="2"/>
      </tp>
      <tp t="s">
        <v>#N/A N/A</v>
        <stp/>
        <stp>BDH|12736329015365812382</stp>
        <tr r="Q31" s="2"/>
      </tp>
      <tp t="s">
        <v>#N/A N/A</v>
        <stp/>
        <stp>BDH|15280361037947409478</stp>
        <tr r="W7" s="2"/>
      </tp>
      <tp t="s">
        <v>#N/A N/A</v>
        <stp/>
        <stp>BDH|17724238460080602527</stp>
        <tr r="M14" s="4"/>
      </tp>
      <tp t="s">
        <v>#N/A N/A</v>
        <stp/>
        <stp>BDH|13125632323403929283</stp>
        <tr r="AB27" s="2"/>
      </tp>
      <tp t="s">
        <v>#N/A N/A</v>
        <stp/>
        <stp>BDH|13145804441569269026</stp>
        <tr r="AJ9" s="2"/>
      </tp>
      <tp t="s">
        <v>#N/A N/A</v>
        <stp/>
        <stp>BDH|12848768354680145680</stp>
        <tr r="AB26" s="4"/>
      </tp>
      <tp t="s">
        <v>#N/A N/A</v>
        <stp/>
        <stp>BDH|13133416544677459235</stp>
        <tr r="AH13" s="2"/>
      </tp>
      <tp t="s">
        <v>#N/A N/A</v>
        <stp/>
        <stp>BDH|16510356256756661034</stp>
        <tr r="Q38" s="2"/>
      </tp>
      <tp t="s">
        <v>#N/A N/A</v>
        <stp/>
        <stp>BDH|14254025765531172575</stp>
        <tr r="AG17" s="4"/>
      </tp>
      <tp t="s">
        <v>#N/A N/A</v>
        <stp/>
        <stp>BDH|15262472574214381405</stp>
        <tr r="Y11" s="2"/>
      </tp>
      <tp t="s">
        <v>#N/A N/A</v>
        <stp/>
        <stp>BDH|16549594178991111373</stp>
        <tr r="AE35" s="4"/>
      </tp>
      <tp t="s">
        <v>#N/A N/A</v>
        <stp/>
        <stp>BDH|15317759578015496682</stp>
        <tr r="AG27" s="2"/>
      </tp>
      <tp t="s">
        <v>#N/A N/A</v>
        <stp/>
        <stp>BDH|15102446589929688685</stp>
        <tr r="AG19" s="4"/>
      </tp>
      <tp t="s">
        <v>#N/A N/A</v>
        <stp/>
        <stp>BDH|10033236652863128228</stp>
        <tr r="Z29" s="2"/>
      </tp>
      <tp t="s">
        <v>#N/A N/A</v>
        <stp/>
        <stp>BDH|16070325362626259304</stp>
        <tr r="M8" s="4"/>
      </tp>
      <tp t="s">
        <v>#N/A N/A</v>
        <stp/>
        <stp>BDH|10144107611945464369</stp>
        <tr r="H14" s="4"/>
      </tp>
      <tp t="s">
        <v>#N/A N/A</v>
        <stp/>
        <stp>BDH|15724870416698569216</stp>
        <tr r="AO31" s="2"/>
      </tp>
      <tp t="s">
        <v>#N/A N/A</v>
        <stp/>
        <stp>BDH|13790299050125893737</stp>
        <tr r="G7" s="2"/>
      </tp>
      <tp t="s">
        <v>#N/A N/A</v>
        <stp/>
        <stp>BDH|11290153257686235578</stp>
        <tr r="AE19" s="2"/>
      </tp>
      <tp t="s">
        <v>#N/A N/A</v>
        <stp/>
        <stp>BDH|12381454161487044135</stp>
        <tr r="AD35" s="4"/>
      </tp>
      <tp t="s">
        <v>#N/A N/A</v>
        <stp/>
        <stp>BDH|15513696050875119591</stp>
        <tr r="E40" s="4"/>
      </tp>
      <tp t="s">
        <v>#N/A N/A</v>
        <stp/>
        <stp>BDH|14456056930014034554</stp>
        <tr r="Q24" s="4"/>
      </tp>
      <tp t="s">
        <v>#N/A N/A</v>
        <stp/>
        <stp>BDH|17263537052389398873</stp>
        <tr r="I31" s="4"/>
      </tp>
      <tp t="s">
        <v>#N/A N/A</v>
        <stp/>
        <stp>BDH|12722939837879582715</stp>
        <tr r="AC31" s="4"/>
      </tp>
      <tp t="s">
        <v>#N/A N/A</v>
        <stp/>
        <stp>BDH|17293346106763934128</stp>
        <tr r="AG13" s="2"/>
      </tp>
      <tp t="s">
        <v>#N/A N/A</v>
        <stp/>
        <stp>BDH|16370587753653740342</stp>
        <tr r="L35" s="2"/>
      </tp>
      <tp t="s">
        <v>#N/A N/A</v>
        <stp/>
        <stp>BDH|17201489303093297610</stp>
        <tr r="T21" s="2"/>
      </tp>
      <tp t="s">
        <v>#N/A N/A</v>
        <stp/>
        <stp>BDH|15035697509400309597</stp>
        <tr r="AF17" s="4"/>
      </tp>
      <tp t="s">
        <v>#N/A N/A</v>
        <stp/>
        <stp>BDH|13564647743551800601</stp>
        <tr r="E44" s="4"/>
      </tp>
      <tp t="s">
        <v>#N/A N/A</v>
        <stp/>
        <stp>BDH|13541111369805071706</stp>
        <tr r="AH35" s="4"/>
      </tp>
      <tp t="s">
        <v>#N/A N/A</v>
        <stp/>
        <stp>BDH|12729291134744201153</stp>
        <tr r="AH35" s="2"/>
      </tp>
      <tp t="s">
        <v>#N/A N/A</v>
        <stp/>
        <stp>BDH|16206907681518763982</stp>
        <tr r="AF44" s="4"/>
      </tp>
      <tp t="s">
        <v>#N/A N/A</v>
        <stp/>
        <stp>BDH|15534381861207671158</stp>
        <tr r="W27" s="2"/>
      </tp>
      <tp t="s">
        <v>#N/A N/A</v>
        <stp/>
        <stp>BDH|11071581630172058373</stp>
        <tr r="AJ21" s="2"/>
      </tp>
      <tp t="s">
        <v>#N/A N/A</v>
        <stp/>
        <stp>BDH|11051095655254329606</stp>
        <tr r="O38" s="4"/>
      </tp>
      <tp t="s">
        <v>#N/A N/A</v>
        <stp/>
        <stp>BDP|10686337733610840776</stp>
        <tr r="C13" s="3"/>
      </tp>
      <tp t="s">
        <v>#N/A N/A</v>
        <stp/>
        <stp>BDP|15043930485831841264</stp>
        <tr r="AA15" s="3"/>
      </tp>
      <tp t="s">
        <v>#N/A N/A</v>
        <stp/>
        <stp>BDP|15468453499538450720</stp>
        <tr r="R21" s="3"/>
      </tp>
      <tp t="s">
        <v>#N/A N/A</v>
        <stp/>
        <stp>BDP|15408486177435997422</stp>
        <tr r="U15" s="3"/>
      </tp>
      <tp t="s">
        <v>#N/A N/A</v>
        <stp/>
        <stp>BDP|17076966684102493327</stp>
        <tr r="V13" s="3"/>
      </tp>
      <tp t="s">
        <v>#N/A N/A</v>
        <stp/>
        <stp>BDH|17583609816031066629</stp>
        <tr r="F35" s="2"/>
      </tp>
      <tp t="s">
        <v>#N/A N/A</v>
        <stp/>
        <stp>BDH|10991889394123568514</stp>
        <tr r="V14" s="4"/>
      </tp>
      <tp t="s">
        <v>#N/A N/A</v>
        <stp/>
        <stp>BDH|13478862132378784770</stp>
        <tr r="AD44" s="4"/>
      </tp>
      <tp t="s">
        <v>#N/A N/A</v>
        <stp/>
        <stp>BDH|14230071506943447072</stp>
        <tr r="AH31" s="2"/>
      </tp>
      <tp t="s">
        <v>#N/A N/A</v>
        <stp/>
        <stp>BDH|14089862123268234178</stp>
        <tr r="L14" s="4"/>
      </tp>
      <tp t="s">
        <v>#N/A N/A</v>
        <stp/>
        <stp>BDH|16377870263256703906</stp>
        <tr r="AJ31" s="4"/>
      </tp>
      <tp t="s">
        <v>#N/A N/A</v>
        <stp/>
        <stp>BDH|15776363583090214902</stp>
        <tr r="H31" s="2"/>
      </tp>
      <tp t="s">
        <v>#N/A N/A</v>
        <stp/>
        <stp>BDH|10667647992910781876</stp>
        <tr r="U35" s="4"/>
      </tp>
      <tp t="s">
        <v>#N/A N/A</v>
        <stp/>
        <stp>BDH|16909556460211400380</stp>
        <tr r="AC6" s="4"/>
      </tp>
      <tp t="s">
        <v>#N/A N/A</v>
        <stp/>
        <stp>BDH|14827345778487086071</stp>
        <tr r="W21" s="2"/>
      </tp>
      <tp t="s">
        <v>#N/A N/A</v>
        <stp/>
        <stp>BDH|15731123694853720946</stp>
        <tr r="O40" s="4"/>
      </tp>
      <tp t="s">
        <v>#N/A N/A</v>
        <stp/>
        <stp>BDH|18433784096669989863</stp>
        <tr r="AD38" s="2"/>
      </tp>
      <tp t="s">
        <v>#N/A N/A</v>
        <stp/>
        <stp>BDH|17728988992748838802</stp>
        <tr r="V24" s="4"/>
      </tp>
      <tp t="s">
        <v>#N/A N/A</v>
        <stp/>
        <stp>BDH|14972221808998121969</stp>
        <tr r="O21" s="4"/>
      </tp>
      <tp t="s">
        <v>#N/A N/A</v>
        <stp/>
        <stp>BDH|16168767537430566529</stp>
        <tr r="X38" s="2"/>
      </tp>
      <tp t="s">
        <v>#N/A N/A</v>
        <stp/>
        <stp>BDH|12755467085858264115</stp>
        <tr r="AM19" s="2"/>
      </tp>
      <tp t="s">
        <v>#N/A N/A</v>
        <stp/>
        <stp>BDH|11685070776035134414</stp>
        <tr r="AC10" s="4"/>
      </tp>
      <tp t="s">
        <v>#N/A N/A</v>
        <stp/>
        <stp>BDH|17887703729751298445</stp>
        <tr r="L11" s="2"/>
      </tp>
      <tp t="s">
        <v>#N/A N/A</v>
        <stp/>
        <stp>BDH|12033323300366219074</stp>
        <tr r="Y17" s="4"/>
      </tp>
      <tp t="s">
        <v>#N/A N/A</v>
        <stp/>
        <stp>BDH|10486234338343913504</stp>
        <tr r="F28" s="4"/>
      </tp>
      <tp t="s">
        <v>#N/A N/A</v>
        <stp/>
        <stp>BDH|11746866856908814392</stp>
        <tr r="AB7" s="2"/>
      </tp>
      <tp t="s">
        <v>#N/A N/A</v>
        <stp/>
        <stp>BDH|14187732248779867945</stp>
        <tr r="C8" s="4"/>
      </tp>
      <tp t="s">
        <v>#N/A N/A</v>
        <stp/>
        <stp>BDH|10924172640547146594</stp>
        <tr r="AD17" s="2"/>
      </tp>
      <tp t="s">
        <v>#N/A N/A</v>
        <stp/>
        <stp>BDH|13813783760275849012</stp>
        <tr r="C19" s="4"/>
      </tp>
      <tp t="s">
        <v>#N/A N/A</v>
        <stp/>
        <stp>BDH|12468959259419671065</stp>
        <tr r="O8" s="4"/>
      </tp>
      <tp t="s">
        <v>#N/A N/A</v>
        <stp/>
        <stp>BDH|16442853211279833139</stp>
        <tr r="X17" s="4"/>
      </tp>
      <tp t="s">
        <v>#N/A N/A</v>
        <stp/>
        <stp>BDH|15867421523075799153</stp>
        <tr r="C25" s="2"/>
      </tp>
      <tp t="s">
        <v>#N/A N/A</v>
        <stp/>
        <stp>BDH|15947613241965061532</stp>
        <tr r="R8" s="4"/>
      </tp>
      <tp t="s">
        <v>#N/A N/A</v>
        <stp/>
        <stp>BDH|11793596043327079075</stp>
        <tr r="T10" s="4"/>
      </tp>
      <tp t="s">
        <v>#N/A N/A</v>
        <stp/>
        <stp>BDH|15477380362781720635</stp>
        <tr r="AI19" s="2"/>
      </tp>
      <tp t="s">
        <v>#N/A N/A</v>
        <stp/>
        <stp>BDH|15847606166251297305</stp>
        <tr r="AM6" s="4"/>
      </tp>
      <tp t="s">
        <v>#N/A N/A</v>
        <stp/>
        <stp>BDH|13324687232243569203</stp>
        <tr r="W38" s="2"/>
      </tp>
      <tp t="s">
        <v>#N/A N/A</v>
        <stp/>
        <stp>BDH|13525255068059490938</stp>
        <tr r="AN28" s="4"/>
      </tp>
      <tp t="s">
        <v>#N/A N/A</v>
        <stp/>
        <stp>BDP|15960635961344312516</stp>
        <tr r="T9" s="3"/>
      </tp>
      <tp t="s">
        <v>#N/A N/A</v>
        <stp/>
        <stp>BDP|10605713639924486418</stp>
        <tr r="AJ21" s="3"/>
      </tp>
      <tp t="s">
        <v>#N/A N/A</v>
        <stp/>
        <stp>BDP|14206758634613831765</stp>
        <tr r="AM11" s="3"/>
      </tp>
      <tp t="s">
        <v>#N/A N/A</v>
        <stp/>
        <stp>BDP|15141769342915887717</stp>
        <tr r="AD13" s="3"/>
      </tp>
      <tp t="s">
        <v>#N/A N/A</v>
        <stp/>
        <stp>BDP|10424014591828172554</stp>
        <tr r="Y21" s="3"/>
      </tp>
      <tp t="s">
        <v>#N/A N/A</v>
        <stp/>
        <stp>BDP|14977054369977040173</stp>
        <tr r="Z19" s="3"/>
      </tp>
      <tp t="s">
        <v>#N/A N/A</v>
        <stp/>
        <stp>BDP|15027594510960619582</stp>
        <tr r="Q9" s="3"/>
      </tp>
      <tp t="s">
        <v>#N/A N/A</v>
        <stp/>
        <stp>BDH|12238678510561669031</stp>
        <tr r="H35" s="2"/>
      </tp>
      <tp t="s">
        <v>#N/A N/A</v>
        <stp/>
        <stp>BDH|14620216922157425715</stp>
        <tr r="AC23" s="2"/>
      </tp>
      <tp t="s">
        <v>#N/A N/A</v>
        <stp/>
        <stp>BDH|13578732334691617244</stp>
        <tr r="AJ44" s="4"/>
      </tp>
      <tp t="s">
        <v>#N/A N/A</v>
        <stp/>
        <stp>BDH|16255119724233735208</stp>
        <tr r="J38" s="2"/>
      </tp>
      <tp t="s">
        <v>#N/A N/A</v>
        <stp/>
        <stp>BDH|12757219255535808482</stp>
        <tr r="N8" s="4"/>
      </tp>
      <tp t="s">
        <v>#N/A N/A</v>
        <stp/>
        <stp>BDH|15459041855802063660</stp>
        <tr r="S13" s="2"/>
      </tp>
      <tp t="s">
        <v>#N/A N/A</v>
        <stp/>
        <stp>BDH|15196557431344360358</stp>
        <tr r="H37" s="2"/>
      </tp>
      <tp t="s">
        <v>#N/A N/A</v>
        <stp/>
        <stp>BDH|16520369301503387223</stp>
        <tr r="Y21" s="4"/>
      </tp>
      <tp t="s">
        <v>#N/A N/A</v>
        <stp/>
        <stp>BDH|14691664616132313572</stp>
        <tr r="U7" s="2"/>
      </tp>
      <tp t="s">
        <v>#N/A N/A</v>
        <stp/>
        <stp>BDH|18370938284794041961</stp>
        <tr r="AB37" s="2"/>
      </tp>
      <tp t="s">
        <v>#N/A N/A</v>
        <stp/>
        <stp>BDH|15265567166511516329</stp>
        <tr r="R44" s="4"/>
      </tp>
      <tp t="s">
        <v>#N/A N/A</v>
        <stp/>
        <stp>BDH|15513662323291640437</stp>
        <tr r="AL31" s="4"/>
      </tp>
      <tp t="s">
        <v>#N/A N/A</v>
        <stp/>
        <stp>BDH|14549042281648632036</stp>
        <tr r="M26" s="4"/>
      </tp>
      <tp t="s">
        <v>#N/A N/A</v>
        <stp/>
        <stp>BDH|10485162311520304441</stp>
        <tr r="AG14" s="4"/>
      </tp>
      <tp t="s">
        <v>#N/A N/A</v>
        <stp/>
        <stp>BDH|12201187318035097368</stp>
        <tr r="T40" s="4"/>
      </tp>
      <tp t="s">
        <v>#N/A N/A</v>
        <stp/>
        <stp>BDH|13759004540833950094</stp>
        <tr r="M38" s="4"/>
      </tp>
      <tp t="s">
        <v>#N/A N/A</v>
        <stp/>
        <stp>BDH|15220046812925140526</stp>
        <tr r="I42" s="4"/>
      </tp>
      <tp t="s">
        <v>#N/A N/A</v>
        <stp/>
        <stp>BDH|11510363345990311226</stp>
        <tr r="AP8" s="4"/>
      </tp>
      <tp t="s">
        <v>#N/A N/A</v>
        <stp/>
        <stp>BDH|18303571343988812597</stp>
        <tr r="Y27" s="2"/>
      </tp>
      <tp t="s">
        <v>#N/A N/A</v>
        <stp/>
        <stp>BDH|14530446621045667301</stp>
        <tr r="AI6" s="4"/>
      </tp>
      <tp t="s">
        <v>#N/A N/A</v>
        <stp/>
        <stp>BDH|11444799924933465344</stp>
        <tr r="V12" s="4"/>
      </tp>
      <tp t="s">
        <v>#N/A N/A</v>
        <stp/>
        <stp>BDH|11913885458130846899</stp>
        <tr r="D21" s="2"/>
      </tp>
      <tp t="s">
        <v>#N/A N/A</v>
        <stp/>
        <stp>BDH|17439334707578970815</stp>
        <tr r="X7" s="2"/>
      </tp>
      <tp t="s">
        <v>#N/A N/A</v>
        <stp/>
        <stp>BDH|17425465991048990615</stp>
        <tr r="AJ37" s="2"/>
      </tp>
      <tp t="s">
        <v>#N/A N/A</v>
        <stp/>
        <stp>BDH|13403868590753107580</stp>
        <tr r="AK27" s="2"/>
      </tp>
      <tp t="s">
        <v>#N/A N/A</v>
        <stp/>
        <stp>BDH|16607037721822801270</stp>
        <tr r="Y42" s="4"/>
      </tp>
      <tp t="s">
        <v>#N/A N/A</v>
        <stp/>
        <stp>BDH|11627659058973463542</stp>
        <tr r="L21" s="4"/>
      </tp>
      <tp t="s">
        <v>#N/A N/A</v>
        <stp/>
        <stp>BDH|16806311914883273357</stp>
        <tr r="AE31" s="4"/>
      </tp>
      <tp t="s">
        <v>#N/A N/A</v>
        <stp/>
        <stp>BDH|13986872302677864891</stp>
        <tr r="AP17" s="2"/>
      </tp>
      <tp t="s">
        <v>#N/A N/A</v>
        <stp/>
        <stp>BDH|13087429079910665405</stp>
        <tr r="AC17" s="2"/>
      </tp>
      <tp t="s">
        <v>#N/A N/A</v>
        <stp/>
        <stp>BDH|16318294825411017320</stp>
        <tr r="AN38" s="4"/>
      </tp>
      <tp t="s">
        <v>#N/A N/A</v>
        <stp/>
        <stp>BDH|10750096344311603110</stp>
        <tr r="AN31" s="4"/>
      </tp>
      <tp t="s">
        <v>#N/A N/A</v>
        <stp/>
        <stp>BDH|15818576644181689108</stp>
        <tr r="V31" s="2"/>
      </tp>
      <tp t="s">
        <v>#N/A N/A</v>
        <stp/>
        <stp>BDH|16224839367878867422</stp>
        <tr r="F14" s="4"/>
      </tp>
      <tp t="s">
        <v>#N/A N/A</v>
        <stp/>
        <stp>BDH|18343906919427212370</stp>
        <tr r="AB29" s="2"/>
      </tp>
      <tp t="s">
        <v>#N/A N/A</v>
        <stp/>
        <stp>BDH|10640068656787007681</stp>
        <tr r="M28" s="4"/>
      </tp>
      <tp t="s">
        <v>#N/A N/A</v>
        <stp/>
        <stp>BDH|14546487119063278681</stp>
        <tr r="R38" s="4"/>
      </tp>
      <tp t="s">
        <v>#N/A N/A</v>
        <stp/>
        <stp>BDP|15323376193078962244</stp>
        <tr r="L11" s="3"/>
      </tp>
      <tp t="s">
        <v>#N/A N/A</v>
        <stp/>
        <stp>BDP|18184773620791690904</stp>
        <tr r="C9" s="3"/>
      </tp>
      <tp t="s">
        <v>#N/A N/A</v>
        <stp/>
        <stp>BDP|14703247776294729011</stp>
        <tr r="O15" s="3"/>
      </tp>
      <tp t="s">
        <v>#N/A N/A</v>
        <stp/>
        <stp>BDP|10810231779884704471</stp>
        <tr r="AK21" s="3"/>
      </tp>
      <tp t="s">
        <v>#N/A N/A</v>
        <stp/>
        <stp>BDP|16026806396955526744</stp>
        <tr r="AB15" s="3"/>
      </tp>
      <tp t="s">
        <v>#N/A N/A</v>
        <stp/>
        <stp>BDH|14761809893238677823</stp>
        <tr r="AP35" s="4"/>
      </tp>
      <tp t="s">
        <v>#N/A N/A</v>
        <stp/>
        <stp>BDH|18424096344221909800</stp>
        <tr r="O7" s="2"/>
      </tp>
      <tp t="s">
        <v>#N/A N/A</v>
        <stp/>
        <stp>BDH|14913312079810189539</stp>
        <tr r="AF23" s="2"/>
      </tp>
      <tp t="s">
        <v>#N/A N/A</v>
        <stp/>
        <stp>BDH|17049253039304909766</stp>
        <tr r="AM9" s="2"/>
      </tp>
      <tp t="s">
        <v>#N/A N/A</v>
        <stp/>
        <stp>BDH|15163907894310900090</stp>
        <tr r="X11" s="2"/>
      </tp>
      <tp t="s">
        <v>#N/A N/A</v>
        <stp/>
        <stp>BDH|10641350341125172778</stp>
        <tr r="AN21" s="4"/>
      </tp>
      <tp t="s">
        <v>#N/A N/A</v>
        <stp/>
        <stp>BDH|17455205877483283452</stp>
        <tr r="T38" s="2"/>
      </tp>
      <tp t="s">
        <v>#N/A N/A</v>
        <stp/>
        <stp>BDH|18174426813000724830</stp>
        <tr r="AP10" s="4"/>
      </tp>
      <tp t="s">
        <v>#N/A N/A</v>
        <stp/>
        <stp>BDH|14328771427782456637</stp>
        <tr r="S29" s="2"/>
      </tp>
      <tp t="s">
        <v>#N/A N/A</v>
        <stp/>
        <stp>BDH|15751745924742785774</stp>
        <tr r="AI25" s="2"/>
      </tp>
      <tp t="s">
        <v>#N/A N/A</v>
        <stp/>
        <stp>BDH|11057449154886054379</stp>
        <tr r="AG10" s="4"/>
      </tp>
      <tp t="s">
        <v>#N/A N/A</v>
        <stp/>
        <stp>BDH|12563859687766109117</stp>
        <tr r="AH27" s="2"/>
      </tp>
      <tp t="s">
        <v>#N/A N/A</v>
        <stp/>
        <stp>BDH|18270293588145179247</stp>
        <tr r="AF11" s="2"/>
      </tp>
      <tp t="s">
        <v>#N/A N/A</v>
        <stp/>
        <stp>BDH|11272213051113546014</stp>
        <tr r="E11" s="2"/>
      </tp>
      <tp t="s">
        <v>#N/A N/A</v>
        <stp/>
        <stp>BDH|16170660649699295840</stp>
        <tr r="E31" s="4"/>
      </tp>
      <tp t="s">
        <v>#N/A N/A</v>
        <stp/>
        <stp>BDH|11621336945175138695</stp>
        <tr r="X38" s="4"/>
      </tp>
      <tp t="s">
        <v>#N/A N/A</v>
        <stp/>
        <stp>BDH|12912546627340267002</stp>
        <tr r="J31" s="4"/>
      </tp>
      <tp t="s">
        <v>#N/A N/A</v>
        <stp/>
        <stp>BDH|12984435423425780461</stp>
        <tr r="N35" s="4"/>
      </tp>
      <tp t="s">
        <v>#N/A N/A</v>
        <stp/>
        <stp>BDH|17638487421086368245</stp>
        <tr r="W13" s="2"/>
      </tp>
      <tp t="s">
        <v>#N/A N/A</v>
        <stp/>
        <stp>BDH|12193100587968906674</stp>
        <tr r="AF26" s="4"/>
      </tp>
      <tp t="s">
        <v>#N/A N/A</v>
        <stp/>
        <stp>BDH|12350594994032576909</stp>
        <tr r="E33" s="4"/>
      </tp>
      <tp t="s">
        <v>#N/A N/A</v>
        <stp/>
        <stp>BDH|11708661149274497264</stp>
        <tr r="V10" s="4"/>
      </tp>
      <tp t="s">
        <v>#N/A N/A</v>
        <stp/>
        <stp>BDH|10572315576674066586</stp>
        <tr r="G40" s="4"/>
      </tp>
      <tp t="s">
        <v>#N/A N/A</v>
        <stp/>
        <stp>BDH|17601498437735587000</stp>
        <tr r="AA8" s="4"/>
      </tp>
      <tp t="s">
        <v>#N/A N/A</v>
        <stp/>
        <stp>BDH|14282409358709599935</stp>
        <tr r="AN19" s="4"/>
      </tp>
      <tp t="s">
        <v>#N/A N/A</v>
        <stp/>
        <stp>BDH|14941469253401559150</stp>
        <tr r="S37" s="2"/>
      </tp>
      <tp t="s">
        <v>#N/A N/A</v>
        <stp/>
        <stp>BDH|12975434607900077336</stp>
        <tr r="J7" s="2"/>
      </tp>
    </main>
    <main first="bofaddin.rtdserver">
      <tp t="s">
        <v>#N/A N/A</v>
        <stp/>
        <stp>BDH|8662029690186655</stp>
        <tr r="AE37" s="2"/>
      </tp>
    </main>
    <main first="bofaddin.rtdserver">
      <tp t="s">
        <v>#N/A N/A</v>
        <stp/>
        <stp>BDH|8964273067498608854</stp>
        <tr r="U21" s="4"/>
      </tp>
      <tp t="s">
        <v>#N/A N/A</v>
        <stp/>
        <stp>BDH|9579790753366278160</stp>
        <tr r="H11" s="2"/>
      </tp>
      <tp t="s">
        <v>#N/A N/A</v>
        <stp/>
        <stp>BDH|9516341968029552940</stp>
        <tr r="AC14" s="4"/>
      </tp>
      <tp t="s">
        <v>#N/A N/A</v>
        <stp/>
        <stp>BDH|2522484599051467284</stp>
        <tr r="AA31" s="2"/>
      </tp>
      <tp t="s">
        <v>#N/A N/A</v>
        <stp/>
        <stp>BDH|9253301208923080528</stp>
        <tr r="L35" s="4"/>
      </tp>
      <tp t="s">
        <v>#N/A N/A</v>
        <stp/>
        <stp>BDH|3537515821951805950</stp>
        <tr r="T38" s="4"/>
      </tp>
      <tp t="s">
        <v>#N/A N/A</v>
        <stp/>
        <stp>BDH|4425563929117573869</stp>
        <tr r="O23" s="2"/>
      </tp>
      <tp t="s">
        <v>#N/A N/A</v>
        <stp/>
        <stp>BDP|2515611193506984706</stp>
        <tr r="D13" s="3"/>
      </tp>
      <tp t="s">
        <v>#N/A N/A</v>
        <stp/>
        <stp>BDH|2109930805555992208</stp>
        <tr r="AL31" s="2"/>
      </tp>
      <tp t="s">
        <v>#N/A N/A</v>
        <stp/>
        <stp>BDP|9811422272777164163</stp>
        <tr r="AG9" s="3"/>
      </tp>
      <tp t="s">
        <v>#N/A N/A</v>
        <stp/>
        <stp>BDP|7109129508123129958</stp>
        <tr r="AN19" s="3"/>
      </tp>
      <tp t="s">
        <v>#N/A N/A</v>
        <stp/>
        <stp>BDH|5073100375049971636</stp>
        <tr r="V13" s="2"/>
      </tp>
      <tp t="s">
        <v>#N/A N/A</v>
        <stp/>
        <stp>BDH|5668386280194806697</stp>
        <tr r="AM10" s="4"/>
      </tp>
      <tp t="s">
        <v>#N/A N/A</v>
        <stp/>
        <stp>BDH|9462270948013172064</stp>
        <tr r="AK7" s="2"/>
      </tp>
      <tp t="s">
        <v>#N/A N/A</v>
        <stp/>
        <stp>BDH|9866177935843636405</stp>
        <tr r="AM17" s="4"/>
      </tp>
      <tp t="s">
        <v>#N/A N/A</v>
        <stp/>
        <stp>BDH|9119852099481707569</stp>
        <tr r="K37" s="2"/>
      </tp>
      <tp t="s">
        <v>#N/A N/A</v>
        <stp/>
        <stp>BDP|4637840209220759010</stp>
        <tr r="AI9" s="3"/>
      </tp>
      <tp t="s">
        <v>#N/A N/A</v>
        <stp/>
        <stp>BDH|8119442478316150117</stp>
        <tr r="K42" s="4"/>
      </tp>
      <tp t="s">
        <v>#N/A N/A</v>
        <stp/>
        <stp>BDH|3111168298423203408</stp>
        <tr r="W25" s="2"/>
      </tp>
      <tp t="s">
        <v>#N/A N/A</v>
        <stp/>
        <stp>BDH|3531457088716067558</stp>
        <tr r="AF10" s="4"/>
      </tp>
      <tp t="s">
        <v>#N/A N/A</v>
        <stp/>
        <stp>BDH|1549418631273924913</stp>
        <tr r="AM8" s="4"/>
      </tp>
      <tp t="s">
        <v>#N/A N/A</v>
        <stp/>
        <stp>BDH|5885220983293300074</stp>
        <tr r="K44" s="4"/>
      </tp>
      <tp t="s">
        <v>#N/A N/A</v>
        <stp/>
        <stp>BDP|8583254247845368761</stp>
        <tr r="S9" s="3"/>
      </tp>
      <tp t="s">
        <v>#N/A N/A</v>
        <stp/>
        <stp>BDP|6693388287775251494</stp>
        <tr r="Z9" s="3"/>
      </tp>
      <tp t="s">
        <v>#N/A N/A</v>
        <stp/>
        <stp>BDH|8238049551424728524</stp>
        <tr r="AL24" s="4"/>
      </tp>
      <tp t="s">
        <v>#N/A N/A</v>
        <stp/>
        <stp>BDH|2696874537311462419</stp>
        <tr r="AD38" s="4"/>
      </tp>
      <tp t="s">
        <v>#N/A N/A</v>
        <stp/>
        <stp>BDH|9696016045352019311</stp>
        <tr r="J29" s="2"/>
      </tp>
      <tp t="s">
        <v>#N/A N/A</v>
        <stp/>
        <stp>BDH|3556500023998783016</stp>
        <tr r="R35" s="4"/>
      </tp>
      <tp t="s">
        <v>#N/A N/A</v>
        <stp/>
        <stp>BDH|3890819703670230780</stp>
        <tr r="V21" s="2"/>
      </tp>
      <tp t="s">
        <v>#N/A N/A</v>
        <stp/>
        <stp>BDH|8573167697238054443</stp>
        <tr r="AA6" s="4"/>
      </tp>
      <tp t="s">
        <v>#N/A N/A</v>
        <stp/>
        <stp>BDH|7944524689663440564</stp>
        <tr r="AF6" s="4"/>
      </tp>
      <tp t="s">
        <v>#N/A N/A</v>
        <stp/>
        <stp>BDH|2291673721472487817</stp>
        <tr r="W8" s="4"/>
      </tp>
      <tp t="s">
        <v>#N/A N/A</v>
        <stp/>
        <stp>BDH|3392919905633345553</stp>
        <tr r="W35" s="2"/>
      </tp>
      <tp t="s">
        <v>#N/A N/A</v>
        <stp/>
        <stp>BDH|7680912242373234569</stp>
        <tr r="AI44" s="4"/>
      </tp>
      <tp t="s">
        <v>#N/A N/A</v>
        <stp/>
        <stp>BDH|8471221485249164737</stp>
        <tr r="AK42" s="4"/>
      </tp>
      <tp t="s">
        <v>#N/A N/A</v>
        <stp/>
        <stp>BDH|5261563707389502570</stp>
        <tr r="AG11" s="2"/>
      </tp>
      <tp t="s">
        <v>#N/A N/A</v>
        <stp/>
        <stp>BDH|7562741593681566468</stp>
        <tr r="H7" s="2"/>
      </tp>
      <tp t="s">
        <v>#N/A N/A</v>
        <stp/>
        <stp>BDH|5030830477007161136</stp>
        <tr r="Z27" s="2"/>
      </tp>
      <tp t="s">
        <v>#N/A N/A</v>
        <stp/>
        <stp>BDH|1714930443998884897</stp>
        <tr r="L38" s="4"/>
      </tp>
      <tp t="s">
        <v>#N/A N/A</v>
        <stp/>
        <stp>BDH|5406657483974445301</stp>
        <tr r="AO12" s="4"/>
      </tp>
      <tp t="s">
        <v>#N/A N/A</v>
        <stp/>
        <stp>BDH|7794228511319397114</stp>
        <tr r="U24" s="4"/>
      </tp>
      <tp t="s">
        <v>#N/A N/A</v>
        <stp/>
        <stp>BDH|8709601510772125115</stp>
        <tr r="C35" s="2"/>
      </tp>
      <tp t="s">
        <v>#N/A N/A</v>
        <stp/>
        <stp>BDH|7357205472589691703</stp>
        <tr r="I31" s="2"/>
      </tp>
      <tp t="s">
        <v>#N/A N/A</v>
        <stp/>
        <stp>BDH|2568384192064840039</stp>
        <tr r="I9" s="2"/>
      </tp>
      <tp t="s">
        <v>#N/A N/A</v>
        <stp/>
        <stp>BDP|6092542694104406213</stp>
        <tr r="E15" s="3"/>
      </tp>
      <tp t="s">
        <v>#N/A N/A</v>
        <stp/>
        <stp>BDP|9533017294634482817</stp>
        <tr r="AD15" s="3"/>
      </tp>
      <tp t="s">
        <v>#N/A N/A</v>
        <stp/>
        <stp>BDH|14853459519434539</stp>
        <tr r="M35" s="4"/>
      </tp>
      <tp t="s">
        <v>#N/A N/A</v>
        <stp/>
        <stp>BDP|1366973214417905333</stp>
        <tr r="AM9" s="3"/>
      </tp>
      <tp t="s">
        <v>#N/A N/A</v>
        <stp/>
        <stp>BDH|9502614271143948669</stp>
        <tr r="W33" s="4"/>
      </tp>
      <tp t="s">
        <v>#N/A N/A</v>
        <stp/>
        <stp>BDH|6038762806634334884</stp>
        <tr r="H35" s="4"/>
      </tp>
      <tp t="s">
        <v>#N/A N/A</v>
        <stp/>
        <stp>BDH|9175699821506391618</stp>
        <tr r="AP37" s="2"/>
      </tp>
      <tp t="s">
        <v>#N/A N/A</v>
        <stp/>
        <stp>BDP|6665605892864986048</stp>
        <tr r="R11" s="3"/>
      </tp>
      <tp t="s">
        <v>#N/A N/A</v>
        <stp/>
        <stp>BDP|7393460475398806116</stp>
        <tr r="AP21" s="3"/>
      </tp>
      <tp t="s">
        <v>#N/A N/A</v>
        <stp/>
        <stp>BDH|9006807997623861663</stp>
        <tr r="AO29" s="2"/>
      </tp>
      <tp t="s">
        <v>#N/A N/A</v>
        <stp/>
        <stp>BDH|4908820385911432836</stp>
        <tr r="U40" s="4"/>
      </tp>
      <tp t="s">
        <v>#N/A N/A</v>
        <stp/>
        <stp>BDH|3831834473643545237</stp>
        <tr r="X25" s="2"/>
      </tp>
      <tp t="s">
        <v>#N/A N/A</v>
        <stp/>
        <stp>BDH|4195980847031500546</stp>
        <tr r="AJ35" s="4"/>
      </tp>
      <tp t="s">
        <v>#N/A N/A</v>
        <stp/>
        <stp>BDH|2442702420608874239</stp>
        <tr r="N38" s="2"/>
      </tp>
      <tp t="s">
        <v>#N/A N/A</v>
        <stp/>
        <stp>BDH|9371513026044830700</stp>
        <tr r="O42" s="4"/>
      </tp>
      <tp t="s">
        <v>#N/A N/A</v>
        <stp/>
        <stp>BDP|3633102786325491298</stp>
        <tr r="AF19" s="3"/>
      </tp>
      <tp t="s">
        <v>#N/A N/A</v>
        <stp/>
        <stp>BDH|6048185081284547610</stp>
        <tr r="AE13" s="2"/>
      </tp>
      <tp t="s">
        <v>#N/A N/A</v>
        <stp/>
        <stp>BDP|1361522486429612832</stp>
        <tr r="Z11" s="3"/>
      </tp>
      <tp t="s">
        <v>#N/A N/A</v>
        <stp/>
        <stp>BDP|8522091298954314843</stp>
        <tr r="N21" s="3"/>
      </tp>
      <tp t="s">
        <v>#N/A N/A</v>
        <stp/>
        <stp>BDH|3312525169265303883</stp>
        <tr r="AH9" s="2"/>
      </tp>
      <tp t="s">
        <v>#N/A N/A</v>
        <stp/>
        <stp>BDH|7697444291954813389</stp>
        <tr r="C28" s="4"/>
      </tp>
      <tp t="s">
        <v>#N/A N/A</v>
        <stp/>
        <stp>BDH|6727406590647640112</stp>
        <tr r="K10" s="4"/>
      </tp>
      <tp t="s">
        <v>#N/A N/A</v>
        <stp/>
        <stp>BDH|2737618290572490220</stp>
        <tr r="AO33" s="4"/>
      </tp>
      <tp t="s">
        <v>#N/A N/A</v>
        <stp/>
        <stp>BDH|4976635309149347618</stp>
        <tr r="V8" s="4"/>
      </tp>
      <tp t="s">
        <v>#N/A N/A</v>
        <stp/>
        <stp>BDP|8756780505847877541</stp>
        <tr r="AC15" s="3"/>
      </tp>
      <tp t="s">
        <v>#N/A N/A</v>
        <stp/>
        <stp>BDH|1787478836648437345</stp>
        <tr r="AE11" s="2"/>
      </tp>
      <tp t="s">
        <v>#N/A N/A</v>
        <stp/>
        <stp>BDH|9926398036584483044</stp>
        <tr r="Z7" s="2"/>
      </tp>
      <tp t="s">
        <v>#N/A N/A</v>
        <stp/>
        <stp>BDH|4530746257442932994</stp>
        <tr r="AC11" s="2"/>
      </tp>
      <tp t="s">
        <v>#N/A N/A</v>
        <stp/>
        <stp>BDH|5004970251614157018</stp>
        <tr r="AE8" s="4"/>
      </tp>
      <tp t="s">
        <v>#N/A N/A</v>
        <stp/>
        <stp>BDH|2666868654045549775</stp>
        <tr r="AP23" s="2"/>
      </tp>
      <tp t="s">
        <v>#N/A N/A</v>
        <stp/>
        <stp>BDP|2090826236921188522</stp>
        <tr r="AN11" s="3"/>
      </tp>
      <tp t="s">
        <v>#N/A N/A</v>
        <stp/>
        <stp>BDP|8711189235626997148</stp>
        <tr r="K9" s="3"/>
      </tp>
      <tp t="s">
        <v>#N/A N/A</v>
        <stp/>
        <stp>BDH|5697981945652495786</stp>
        <tr r="E25" s="2"/>
      </tp>
      <tp t="s">
        <v>#N/A N/A</v>
        <stp/>
        <stp>BDH|3412246483461041544</stp>
        <tr r="AK29" s="2"/>
      </tp>
      <tp t="s">
        <v>#N/A N/A</v>
        <stp/>
        <stp>BDH|5307927241431101461</stp>
        <tr r="Z26" s="4"/>
      </tp>
      <tp t="s">
        <v>#N/A N/A</v>
        <stp/>
        <stp>BDH|3225605835702441941</stp>
        <tr r="T6" s="4"/>
      </tp>
      <tp t="s">
        <v>#N/A N/A</v>
        <stp/>
        <stp>BDH|9787740277042733647</stp>
        <tr r="AH25" s="2"/>
      </tp>
      <tp t="s">
        <v>#N/A N/A</v>
        <stp/>
        <stp>BDH|2785972246315295700</stp>
        <tr r="AB13" s="2"/>
      </tp>
      <tp t="s">
        <v>#N/A N/A</v>
        <stp/>
        <stp>BDP|4770920807378173863</stp>
        <tr r="AN15" s="3"/>
      </tp>
      <tp t="s">
        <v>#N/A N/A</v>
        <stp/>
        <stp>BDP|8554000954183519310</stp>
        <tr r="R15" s="3"/>
      </tp>
      <tp t="s">
        <v>#N/A N/A</v>
        <stp/>
        <stp>BDH|8436233237172256677</stp>
        <tr r="P11" s="2"/>
      </tp>
      <tp t="s">
        <v>#N/A N/A</v>
        <stp/>
        <stp>BDH|5949466167772832854</stp>
        <tr r="AI13" s="2"/>
      </tp>
      <tp t="s">
        <v>#N/A N/A</v>
        <stp/>
        <stp>BDH|5597496075433454882</stp>
        <tr r="R10" s="4"/>
      </tp>
      <tp t="s">
        <v>#N/A N/A</v>
        <stp/>
        <stp>BDH|3015668060908084636</stp>
        <tr r="AJ11" s="2"/>
      </tp>
    </main>
    <main first="bofaddin.rtdserver">
      <tp t="s">
        <v>#N/A N/A</v>
        <stp/>
        <stp>BDH|52267691682305992</stp>
        <tr r="H42" s="4"/>
      </tp>
      <tp t="s">
        <v>#N/A N/A</v>
        <stp/>
        <stp>BDH|4414980970585319156</stp>
        <tr r="AE21" s="4"/>
      </tp>
      <tp t="s">
        <v>#N/A N/A</v>
        <stp/>
        <stp>BDH|4812750920398314756</stp>
        <tr r="V25" s="2"/>
      </tp>
      <tp t="s">
        <v>#N/A N/A</v>
        <stp/>
        <stp>BDH|8936402526887276764</stp>
        <tr r="W23" s="2"/>
      </tp>
      <tp t="s">
        <v>#N/A N/A</v>
        <stp/>
        <stp>BDH|1077869509270309724</stp>
        <tr r="H17" s="2"/>
      </tp>
      <tp t="s">
        <v>#N/A N/A</v>
        <stp/>
        <stp>BDH|5017248579506107822</stp>
        <tr r="Q35" s="2"/>
      </tp>
      <tp t="s">
        <v>#N/A N/A</v>
        <stp/>
        <stp>BDH|4214074467458433493</stp>
        <tr r="AN38" s="2"/>
      </tp>
      <tp t="s">
        <v>#N/A N/A</v>
        <stp/>
        <stp>BDH|2790708895117443597</stp>
        <tr r="K9" s="2"/>
      </tp>
      <tp t="s">
        <v>#N/A N/A</v>
        <stp/>
        <stp>BDH|4663820618191224210</stp>
        <tr r="L19" s="2"/>
      </tp>
      <tp t="s">
        <v>#N/A N/A</v>
        <stp/>
        <stp>BDH|1929412391584073668</stp>
        <tr r="AA28" s="4"/>
      </tp>
      <tp t="s">
        <v>#N/A N/A</v>
        <stp/>
        <stp>BDH|3920203482556600129</stp>
        <tr r="Q10" s="4"/>
      </tp>
      <tp t="s">
        <v>#N/A N/A</v>
        <stp/>
        <stp>BDP|6884472062989577346</stp>
        <tr r="I19" s="3"/>
      </tp>
      <tp t="s">
        <v>#N/A N/A</v>
        <stp/>
        <stp>BDH|1807965381667550977</stp>
        <tr r="O35" s="4"/>
      </tp>
      <tp t="s">
        <v>#N/A N/A</v>
        <stp/>
        <stp>BDH|7604266183466873561</stp>
        <tr r="P29" s="2"/>
      </tp>
      <tp t="s">
        <v>#N/A N/A</v>
        <stp/>
        <stp>BDH|3608857951394973467</stp>
        <tr r="N25" s="2"/>
      </tp>
      <tp t="s">
        <v>#N/A N/A</v>
        <stp/>
        <stp>BDH|2985832886014663870</stp>
        <tr r="I17" s="4"/>
      </tp>
      <tp t="s">
        <v>#N/A N/A</v>
        <stp/>
        <stp>BDH|8327156687709378600</stp>
        <tr r="AK23" s="2"/>
      </tp>
      <tp t="s">
        <v>#N/A N/A</v>
        <stp/>
        <stp>BDH|4040425584702404401</stp>
        <tr r="AG7" s="2"/>
      </tp>
      <tp t="s">
        <v>#N/A N/A</v>
        <stp/>
        <stp>BDH|9430445976445674123</stp>
        <tr r="C17" s="4"/>
      </tp>
      <tp t="s">
        <v>#N/A N/A</v>
        <stp/>
        <stp>BDH|7960064586693215281</stp>
        <tr r="AI7" s="2"/>
      </tp>
      <tp t="s">
        <v>#N/A N/A</v>
        <stp/>
        <stp>BDP|2240756037170313835</stp>
        <tr r="V15" s="3"/>
      </tp>
      <tp t="s">
        <v>#N/A N/A</v>
        <stp/>
        <stp>BDH|9114936795364603316</stp>
        <tr r="AL11" s="2"/>
      </tp>
      <tp t="s">
        <v>#N/A N/A</v>
        <stp/>
        <stp>BDH|6923881164640511600</stp>
        <tr r="AN8" s="4"/>
      </tp>
      <tp t="s">
        <v>#N/A N/A</v>
        <stp/>
        <stp>BDH|2129450004031642961</stp>
        <tr r="N14" s="4"/>
      </tp>
      <tp t="s">
        <v>#N/A N/A</v>
        <stp/>
        <stp>BDH|4868306988800937192</stp>
        <tr r="D13" s="2"/>
      </tp>
      <tp t="s">
        <v>#N/A N/A</v>
        <stp/>
        <stp>BDH|3101869987378529554</stp>
        <tr r="AO42" s="4"/>
      </tp>
      <tp t="s">
        <v>#N/A N/A</v>
        <stp/>
        <stp>BDP|5105714094352621748</stp>
        <tr r="I15" s="3"/>
      </tp>
      <tp t="s">
        <v>#N/A N/A</v>
        <stp/>
        <stp>BDH|6568774407038740741</stp>
        <tr r="T12" s="4"/>
      </tp>
      <tp t="s">
        <v>#N/A N/A</v>
        <stp/>
        <stp>BDH|2812752940309269685</stp>
        <tr r="U17" s="2"/>
      </tp>
      <tp t="s">
        <v>#N/A N/A</v>
        <stp/>
        <stp>BDH|4549296083239945910</stp>
        <tr r="AJ38" s="2"/>
      </tp>
      <tp t="s">
        <v>#N/A N/A</v>
        <stp/>
        <stp>BDH|3850062249289768075</stp>
        <tr r="F21" s="4"/>
      </tp>
      <tp t="s">
        <v>#N/A N/A</v>
        <stp/>
        <stp>BDH|3080284591520644682</stp>
        <tr r="AA19" s="2"/>
      </tp>
      <tp t="s">
        <v>#N/A N/A</v>
        <stp/>
        <stp>BDH|5430242853245177965</stp>
        <tr r="I8" s="4"/>
      </tp>
      <tp t="s">
        <v>#N/A N/A</v>
        <stp/>
        <stp>BDH|8493099542510201291</stp>
        <tr r="AG26" s="4"/>
      </tp>
      <tp t="s">
        <v>#N/A N/A</v>
        <stp/>
        <stp>BDH|8765442632067287678</stp>
        <tr r="F35" s="4"/>
      </tp>
      <tp t="s">
        <v>#N/A N/A</v>
        <stp/>
        <stp>BDH|8562135413952669478</stp>
        <tr r="AK13" s="2"/>
      </tp>
      <tp t="s">
        <v>#N/A N/A</v>
        <stp/>
        <stp>BDH|7363325905982411859</stp>
        <tr r="D23" s="2"/>
      </tp>
      <tp t="s">
        <v>#N/A N/A</v>
        <stp/>
        <stp>BDH|7843369488914765647</stp>
        <tr r="R35" s="2"/>
      </tp>
      <tp t="s">
        <v>#N/A N/A</v>
        <stp/>
        <stp>BDH|2037644403062154836</stp>
        <tr r="F42" s="4"/>
      </tp>
      <tp t="s">
        <v>#N/A N/A</v>
        <stp/>
        <stp>BDH|4053962087738438304</stp>
        <tr r="AA37" s="2"/>
      </tp>
      <tp t="s">
        <v>#N/A N/A</v>
        <stp/>
        <stp>BDH|4698420149179014382</stp>
        <tr r="U12" s="4"/>
      </tp>
      <tp t="s">
        <v>#N/A N/A</v>
        <stp/>
        <stp>BDH|1640188864888068103</stp>
        <tr r="L27" s="2"/>
      </tp>
      <tp t="s">
        <v>#N/A N/A</v>
        <stp/>
        <stp>BDH|9419732374200902619</stp>
        <tr r="AA14" s="4"/>
      </tp>
      <tp t="s">
        <v>#N/A N/A</v>
        <stp/>
        <stp>BDH|5319110809418373339</stp>
        <tr r="I40" s="4"/>
      </tp>
      <tp t="s">
        <v>#N/A N/A</v>
        <stp/>
        <stp>BDH|5792839520806730687</stp>
        <tr r="D38" s="4"/>
      </tp>
      <tp t="s">
        <v>#N/A N/A</v>
        <stp/>
        <stp>BDH|8294393939593811410</stp>
        <tr r="M19" s="4"/>
      </tp>
      <tp t="s">
        <v>#N/A N/A</v>
        <stp/>
        <stp>BDP|2691168068349076300</stp>
        <tr r="Y13" s="3"/>
      </tp>
      <tp t="s">
        <v>#N/A N/A</v>
        <stp/>
        <stp>BDH|4287274548659775422</stp>
        <tr r="L24" s="4"/>
      </tp>
      <tp t="s">
        <v>#N/A N/A</v>
        <stp/>
        <stp>BDH|3768236642288800270</stp>
        <tr r="X26" s="4"/>
      </tp>
      <tp t="s">
        <v>#N/A N/A</v>
        <stp/>
        <stp>BDH|8940570986172168801</stp>
        <tr r="AM33" s="4"/>
      </tp>
      <tp t="s">
        <v>#N/A N/A</v>
        <stp/>
        <stp>BDH|7515203291906552588</stp>
        <tr r="AL27" s="2"/>
      </tp>
      <tp t="s">
        <v>#N/A N/A</v>
        <stp/>
        <stp>BDH|9872291477954845776</stp>
        <tr r="W38" s="4"/>
      </tp>
      <tp t="s">
        <v>#N/A N/A</v>
        <stp/>
        <stp>BDP|9055187211161033762</stp>
        <tr r="X13" s="3"/>
      </tp>
      <tp t="s">
        <v>#N/A N/A</v>
        <stp/>
        <stp>BDH|3660295887121623714</stp>
        <tr r="J11" s="2"/>
      </tp>
      <tp t="s">
        <v>#N/A N/A</v>
        <stp/>
        <stp>BDH|2101947809137003305</stp>
        <tr r="R12" s="4"/>
      </tp>
      <tp t="s">
        <v>#N/A N/A</v>
        <stp/>
        <stp>BDH|9828340088035891808</stp>
        <tr r="Y7" s="2"/>
      </tp>
      <tp t="s">
        <v>#N/A N/A</v>
        <stp/>
        <stp>BDH|9341092290566360951</stp>
        <tr r="AB33" s="4"/>
      </tp>
      <tp t="s">
        <v>#N/A N/A</v>
        <stp/>
        <stp>BDH|9795699121967240516</stp>
        <tr r="AA38" s="4"/>
      </tp>
      <tp t="s">
        <v>#N/A N/A</v>
        <stp/>
        <stp>BDH|1194388997511287506</stp>
        <tr r="L33" s="4"/>
      </tp>
      <tp t="s">
        <v>#N/A N/A</v>
        <stp/>
        <stp>BDH|8440797714551768034</stp>
        <tr r="V19" s="2"/>
      </tp>
      <tp t="s">
        <v>#N/A N/A</v>
        <stp/>
        <stp>BDH|8615621718877287739</stp>
        <tr r="AF35" s="4"/>
      </tp>
      <tp t="s">
        <v>#N/A N/A</v>
        <stp/>
        <stp>BDH|9715649358122658705</stp>
        <tr r="E13" s="2"/>
      </tp>
      <tp t="s">
        <v>#N/A N/A</v>
        <stp/>
        <stp>BDH|8488037057466239404</stp>
        <tr r="F19" s="4"/>
      </tp>
      <tp t="s">
        <v>#N/A N/A</v>
        <stp/>
        <stp>BDH|5377491288840535653</stp>
        <tr r="AG38" s="2"/>
      </tp>
      <tp t="s">
        <v>#N/A N/A</v>
        <stp/>
        <stp>BDP|1319454145756265824</stp>
        <tr r="D15" s="3"/>
      </tp>
      <tp t="s">
        <v>#N/A N/A</v>
        <stp/>
        <stp>BDH|2345804606766101374</stp>
        <tr r="AA38" s="2"/>
      </tp>
      <tp t="s">
        <v>#N/A N/A</v>
        <stp/>
        <stp>BDH|4075836242743360415</stp>
        <tr r="AJ10" s="4"/>
      </tp>
      <tp t="s">
        <v>#N/A N/A</v>
        <stp/>
        <stp>BDH|8647521023130737033</stp>
        <tr r="AD8" s="4"/>
      </tp>
      <tp t="s">
        <v>#N/A N/A</v>
        <stp/>
        <stp>BDH|7911210888960026233</stp>
        <tr r="P6" s="4"/>
      </tp>
      <tp t="s">
        <v>#N/A N/A</v>
        <stp/>
        <stp>BDH|1678170045493487836</stp>
        <tr r="AK21" s="4"/>
      </tp>
      <tp t="s">
        <v>#N/A N/A</v>
        <stp/>
        <stp>BDP|8178471833428677832</stp>
        <tr r="D21" s="3"/>
      </tp>
      <tp t="s">
        <v>#N/A N/A</v>
        <stp/>
        <stp>BDH|1253526501428532344</stp>
        <tr r="AJ13" s="2"/>
      </tp>
      <tp t="s">
        <v>#N/A N/A</v>
        <stp/>
        <stp>BDH|5502979046002775538</stp>
        <tr r="Y19" s="4"/>
      </tp>
      <tp t="s">
        <v>#N/A N/A</v>
        <stp/>
        <stp>BDH|9012552585289583250</stp>
        <tr r="U13" s="2"/>
      </tp>
      <tp t="s">
        <v>#N/A N/A</v>
        <stp/>
        <stp>BDH|2348459870208601607</stp>
        <tr r="AL21" s="2"/>
      </tp>
      <tp t="s">
        <v>#N/A N/A</v>
        <stp/>
        <stp>BDH|2677752469218987430</stp>
        <tr r="V31" s="4"/>
      </tp>
      <tp t="s">
        <v>#N/A N/A</v>
        <stp/>
        <stp>BDH|6649127311579535013</stp>
        <tr r="AE9" s="2"/>
      </tp>
      <tp t="s">
        <v>#N/A N/A</v>
        <stp/>
        <stp>BDH|5470949615823287165</stp>
        <tr r="AJ7" s="2"/>
      </tp>
      <tp t="s">
        <v>#N/A N/A</v>
        <stp/>
        <stp>BDP|9999046420164894038</stp>
        <tr r="L13" s="3"/>
      </tp>
      <tp t="s">
        <v>#N/A N/A</v>
        <stp/>
        <stp>BDP|3950762339120007802</stp>
        <tr r="AI11" s="3"/>
      </tp>
      <tp t="s">
        <v>#N/A N/A</v>
        <stp/>
        <stp>BDH|2942042443558149190</stp>
        <tr r="S14" s="4"/>
      </tp>
      <tp t="s">
        <v>#N/A N/A</v>
        <stp/>
        <stp>BDH|8275176547086783420</stp>
        <tr r="F13" s="2"/>
      </tp>
      <tp t="s">
        <v>#N/A N/A</v>
        <stp/>
        <stp>BDH|7126032596953062209</stp>
        <tr r="AP38" s="2"/>
      </tp>
      <tp t="s">
        <v>#N/A N/A</v>
        <stp/>
        <stp>BDH|2992347195923561499</stp>
        <tr r="T7" s="2"/>
      </tp>
      <tp t="s">
        <v>#N/A N/A</v>
        <stp/>
        <stp>BDH|3399630541076206863</stp>
        <tr r="F21" s="2"/>
      </tp>
    </main>
    <main first="bofaddin.rtdserver">
      <tp t="s">
        <v>#N/A N/A</v>
        <stp/>
        <stp>BDH|6182974574805147585</stp>
        <tr r="R6" s="4"/>
      </tp>
      <tp t="s">
        <v>#N/A N/A</v>
        <stp/>
        <stp>BDH|4518198623358255762</stp>
        <tr r="R26" s="4"/>
      </tp>
      <tp t="s">
        <v>#N/A N/A</v>
        <stp/>
        <stp>BDP|4094689928188849002</stp>
        <tr r="G11" s="3"/>
      </tp>
      <tp t="s">
        <v>#N/A N/A</v>
        <stp/>
        <stp>BDH|9760297468711704496</stp>
        <tr r="N17" s="4"/>
      </tp>
      <tp t="s">
        <v>#N/A N/A</v>
        <stp/>
        <stp>BDH|1542804133951824360</stp>
        <tr r="R9" s="2"/>
      </tp>
      <tp t="s">
        <v>#N/A N/A</v>
        <stp/>
        <stp>BDH|1703295809632986966</stp>
        <tr r="S24" s="4"/>
      </tp>
      <tp t="s">
        <v>#N/A N/A</v>
        <stp/>
        <stp>BDP|9935867815448515068</stp>
        <tr r="AB13" s="3"/>
      </tp>
      <tp t="s">
        <v>#N/A N/A</v>
        <stp/>
        <stp>BDH|8890892538072208922</stp>
        <tr r="N11" s="2"/>
      </tp>
      <tp t="s">
        <v>#N/A N/A</v>
        <stp/>
        <stp>BDH|1304478589572253766</stp>
        <tr r="E42" s="4"/>
      </tp>
      <tp t="s">
        <v>#N/A N/A</v>
        <stp/>
        <stp>BDH|7976864098419889761</stp>
        <tr r="AP40" s="4"/>
      </tp>
      <tp t="s">
        <v>#N/A N/A</v>
        <stp/>
        <stp>BDH|5170886436303266537</stp>
        <tr r="AF35" s="2"/>
      </tp>
      <tp t="s">
        <v>#N/A N/A</v>
        <stp/>
        <stp>BDH|3053190697560786371</stp>
        <tr r="AL42" s="4"/>
      </tp>
      <tp t="s">
        <v>#N/A N/A</v>
        <stp/>
        <stp>BDH|8177618288519796718</stp>
        <tr r="E35" s="4"/>
      </tp>
      <tp t="s">
        <v>#N/A N/A</v>
        <stp/>
        <stp>BDH|4550217954623762899</stp>
        <tr r="Y21" s="2"/>
      </tp>
      <tp t="s">
        <v>#N/A N/A</v>
        <stp/>
        <stp>BDH|6582376335299141784</stp>
        <tr r="C21" s="2"/>
      </tp>
      <tp t="s">
        <v>#N/A N/A</v>
        <stp/>
        <stp>BDH|7032661084489413894</stp>
        <tr r="AN14" s="4"/>
      </tp>
      <tp t="s">
        <v>#N/A N/A</v>
        <stp/>
        <stp>BDH|8206689066198931897</stp>
        <tr r="AC33" s="4"/>
      </tp>
      <tp t="s">
        <v>#N/A N/A</v>
        <stp/>
        <stp>BDH|5995818168960507389</stp>
        <tr r="AI12" s="4"/>
      </tp>
      <tp t="s">
        <v>#N/A N/A</v>
        <stp/>
        <stp>BDH|1467887441712726779</stp>
        <tr r="AM13" s="2"/>
      </tp>
      <tp t="s">
        <v>#N/A N/A</v>
        <stp/>
        <stp>BDP|4289750586287516463</stp>
        <tr r="S19" s="3"/>
      </tp>
      <tp t="s">
        <v>#N/A N/A</v>
        <stp/>
        <stp>BDH|2536896974972324798</stp>
        <tr r="E29" s="2"/>
      </tp>
      <tp t="s">
        <v>#N/A N/A</v>
        <stp/>
        <stp>BDH|5178437601938941182</stp>
        <tr r="W42" s="4"/>
      </tp>
      <tp t="s">
        <v>#N/A N/A</v>
        <stp/>
        <stp>BDP|5812106289745296109</stp>
        <tr r="C15" s="3"/>
      </tp>
      <tp t="s">
        <v>#N/A N/A</v>
        <stp/>
        <stp>BDH|2603643774643677831</stp>
        <tr r="O24" s="4"/>
      </tp>
      <tp t="s">
        <v>#N/A N/A</v>
        <stp/>
        <stp>BDH|8476005870302001573</stp>
        <tr r="J33" s="4"/>
      </tp>
      <tp t="s">
        <v>#N/A N/A</v>
        <stp/>
        <stp>BDH|5346309477659734005</stp>
        <tr r="T21" s="4"/>
      </tp>
      <tp t="s">
        <v>#N/A N/A</v>
        <stp/>
        <stp>BDH|6074358383603328656</stp>
        <tr r="AA19" s="4"/>
      </tp>
      <tp t="s">
        <v>#N/A N/A</v>
        <stp/>
        <stp>BDH|2786545880373275416</stp>
        <tr r="AL35" s="2"/>
      </tp>
      <tp t="s">
        <v>#N/A N/A</v>
        <stp/>
        <stp>BDH|9276637033714050036</stp>
        <tr r="X10" s="4"/>
      </tp>
      <tp t="s">
        <v>#N/A N/A</v>
        <stp/>
        <stp>BDH|1967132668086314803</stp>
        <tr r="I35" s="2"/>
      </tp>
      <tp t="s">
        <v>#N/A N/A</v>
        <stp/>
        <stp>BDH|4661267101596159860</stp>
        <tr r="U38" s="4"/>
      </tp>
      <tp t="s">
        <v>#N/A N/A</v>
        <stp/>
        <stp>BDH|3583345535819160231</stp>
        <tr r="V9" s="2"/>
      </tp>
      <tp t="s">
        <v>#N/A N/A</v>
        <stp/>
        <stp>BDH|7664935033157719277</stp>
        <tr r="AI8" s="4"/>
      </tp>
      <tp t="s">
        <v>#N/A N/A</v>
        <stp/>
        <stp>BDH|8334670816714614321</stp>
        <tr r="G29" s="2"/>
      </tp>
      <tp t="s">
        <v>#N/A N/A</v>
        <stp/>
        <stp>BDH|9062469366141425221</stp>
        <tr r="Q8" s="4"/>
      </tp>
      <tp t="s">
        <v>#N/A N/A</v>
        <stp/>
        <stp>BDH|5484636297825212748</stp>
        <tr r="AK21" s="2"/>
      </tp>
      <tp t="s">
        <v>#N/A N/A</v>
        <stp/>
        <stp>BDH|1481405763762951991</stp>
        <tr r="AA21" s="2"/>
      </tp>
      <tp t="s">
        <v>#N/A N/A</v>
        <stp/>
        <stp>BDH|4330608874304426979</stp>
        <tr r="AH19" s="2"/>
      </tp>
      <tp t="s">
        <v>#N/A N/A</v>
        <stp/>
        <stp>BDH|5907828119567177373</stp>
        <tr r="G9" s="2"/>
      </tp>
      <tp t="s">
        <v>#N/A N/A</v>
        <stp/>
        <stp>BDH|1224277639431012992</stp>
        <tr r="W9" s="2"/>
      </tp>
      <tp t="s">
        <v>#N/A N/A</v>
        <stp/>
        <stp>BDH|2427857066990608440</stp>
        <tr r="H25" s="2"/>
      </tp>
      <tp t="s">
        <v>#N/A N/A</v>
        <stp/>
        <stp>BDH|2278840676241942530</stp>
        <tr r="AA40" s="4"/>
      </tp>
      <tp t="s">
        <v>#N/A N/A</v>
        <stp/>
        <stp>BDH|3489337866176337985</stp>
        <tr r="AP24" s="4"/>
      </tp>
      <tp t="s">
        <v>#N/A N/A</v>
        <stp/>
        <stp>BDH|1032350443107454888</stp>
        <tr r="F8" s="4"/>
      </tp>
      <tp t="s">
        <v>#N/A N/A</v>
        <stp/>
        <stp>BDP|2802418860949016021</stp>
        <tr r="AL9" s="3"/>
      </tp>
      <tp t="s">
        <v>#N/A N/A</v>
        <stp/>
        <stp>BDH|8903911961808248608</stp>
        <tr r="AK19" s="2"/>
      </tp>
      <tp t="s">
        <v>#N/A N/A</v>
        <stp/>
        <stp>BDH|9912431732904541356</stp>
        <tr r="AJ25" s="2"/>
      </tp>
      <tp t="s">
        <v>#N/A N/A</v>
        <stp/>
        <stp>BDH|5882113487441343456</stp>
        <tr r="V38" s="4"/>
      </tp>
      <tp t="s">
        <v>#N/A N/A</v>
        <stp/>
        <stp>BDH|6199896083987031839</stp>
        <tr r="H31" s="4"/>
      </tp>
      <tp t="s">
        <v>#N/A N/A</v>
        <stp/>
        <stp>BDP|2389540330834929977</stp>
        <tr r="U9" s="3"/>
      </tp>
      <tp t="s">
        <v>#N/A N/A</v>
        <stp/>
        <stp>BDH|4228608419929607340</stp>
        <tr r="P17" s="4"/>
      </tp>
      <tp t="s">
        <v>#N/A N/A</v>
        <stp/>
        <stp>BDH|6361989779972841339</stp>
        <tr r="L31" s="4"/>
      </tp>
      <tp t="s">
        <v>#N/A N/A</v>
        <stp/>
        <stp>BDH|2438179528280639839</stp>
        <tr r="AO21" s="2"/>
      </tp>
      <tp t="s">
        <v>#N/A N/A</v>
        <stp/>
        <stp>BDH|5253318269190191957</stp>
        <tr r="AG31" s="4"/>
      </tp>
      <tp t="s">
        <v>#N/A N/A</v>
        <stp/>
        <stp>BDH|1655848325637079581</stp>
        <tr r="Y33" s="4"/>
      </tp>
      <tp t="s">
        <v>#N/A N/A</v>
        <stp/>
        <stp>BDH|3139498824495316903</stp>
        <tr r="Q26" s="4"/>
      </tp>
      <tp t="s">
        <v>#N/A N/A</v>
        <stp/>
        <stp>BDP|4989357016378558737</stp>
        <tr r="AG15" s="3"/>
      </tp>
      <tp t="s">
        <v>#N/A N/A</v>
        <stp/>
        <stp>BDH|8169129249325718118</stp>
        <tr r="AL28" s="4"/>
      </tp>
      <tp t="s">
        <v>#N/A N/A</v>
        <stp/>
        <stp>BDH|4245998521856138097</stp>
        <tr r="AM29" s="2"/>
      </tp>
      <tp t="s">
        <v>#N/A N/A</v>
        <stp/>
        <stp>BDH|3914236387253630398</stp>
        <tr r="AD24" s="4"/>
      </tp>
      <tp t="s">
        <v>#N/A N/A</v>
        <stp/>
        <stp>BDH|9836071032902679188</stp>
        <tr r="AD31" s="4"/>
      </tp>
      <tp t="s">
        <v>#N/A N/A</v>
        <stp/>
        <stp>BDP|9192445185815849980</stp>
        <tr r="D19" s="3"/>
      </tp>
      <tp t="s">
        <v>#N/A N/A</v>
        <stp/>
        <stp>BDP|3393652991972367741</stp>
        <tr r="M21" s="3"/>
      </tp>
      <tp t="s">
        <v>#N/A N/A</v>
        <stp/>
        <stp>BDH|1411963815947663714</stp>
        <tr r="AF38" s="2"/>
      </tp>
      <tp t="s">
        <v>#N/A N/A</v>
        <stp/>
        <stp>BDH|5348934401057292232</stp>
        <tr r="P33" s="4"/>
      </tp>
      <tp t="s">
        <v>#N/A N/A</v>
        <stp/>
        <stp>BDH|3420127786603787077</stp>
        <tr r="AC21" s="2"/>
      </tp>
      <tp t="s">
        <v>#N/A N/A</v>
        <stp/>
        <stp>BDH|1363941078203742590</stp>
        <tr r="J38" s="4"/>
      </tp>
      <tp t="s">
        <v>#N/A N/A</v>
        <stp/>
        <stp>BDH|2740410256398672276</stp>
        <tr r="N13" s="2"/>
      </tp>
      <tp t="s">
        <v>#N/A N/A</v>
        <stp/>
        <stp>BDP|9569598309352139724</stp>
        <tr r="AK19" s="3"/>
      </tp>
      <tp t="s">
        <v>#N/A N/A</v>
        <stp/>
        <stp>BDH|8877075169893438448</stp>
        <tr r="AN17" s="4"/>
      </tp>
      <tp t="s">
        <v>#N/A N/A</v>
        <stp/>
        <stp>BDH|7252868845981609312</stp>
        <tr r="AP12" s="4"/>
      </tp>
      <tp t="s">
        <v>#N/A N/A</v>
        <stp/>
        <stp>BDH|7484942014273236506</stp>
        <tr r="H28" s="4"/>
      </tp>
      <tp t="s">
        <v>#N/A N/A</v>
        <stp/>
        <stp>BDP|8551430833385556376</stp>
        <tr r="Y9" s="3"/>
      </tp>
      <tp t="s">
        <v>#N/A N/A</v>
        <stp/>
        <stp>BDP|7598419109423219983</stp>
        <tr r="L21" s="3"/>
      </tp>
      <tp t="s">
        <v>#N/A N/A</v>
        <stp/>
        <stp>BDH|4743747965969582542</stp>
        <tr r="M21" s="4"/>
      </tp>
      <tp t="s">
        <v>#N/A N/A</v>
        <stp/>
        <stp>BDH|4706588491614950509</stp>
        <tr r="L29" s="2"/>
      </tp>
      <tp t="s">
        <v>#N/A N/A</v>
        <stp/>
        <stp>BDH|4288544031252034904</stp>
        <tr r="Q33" s="4"/>
      </tp>
      <tp t="s">
        <v>#N/A N/A</v>
        <stp/>
        <stp>BDH|5430956510351622537</stp>
        <tr r="X12" s="4"/>
      </tp>
      <tp t="s">
        <v>#N/A N/A</v>
        <stp/>
        <stp>BDH|3769103391115224704</stp>
        <tr r="AB38" s="2"/>
      </tp>
      <tp t="s">
        <v>#N/A N/A</v>
        <stp/>
        <stp>BDH|7249903755775555762</stp>
        <tr r="AP7" s="2"/>
      </tp>
      <tp t="s">
        <v>#N/A N/A</v>
        <stp/>
        <stp>BDH|6014690053139918578</stp>
        <tr r="AM42" s="4"/>
      </tp>
      <tp t="s">
        <v>#N/A N/A</v>
        <stp/>
        <stp>BDH|9301860395652220375</stp>
        <tr r="X27" s="2"/>
      </tp>
      <tp t="s">
        <v>#N/A N/A</v>
        <stp/>
        <stp>BDH|7019455289740816210</stp>
        <tr r="P40" s="4"/>
      </tp>
      <tp t="s">
        <v>#N/A N/A</v>
        <stp/>
        <stp>BDH|4465315605486292878</stp>
        <tr r="AI35" s="4"/>
      </tp>
      <tp t="s">
        <v>#N/A N/A</v>
        <stp/>
        <stp>BDH|2117747890724430149</stp>
        <tr r="AG19" s="2"/>
      </tp>
      <tp t="s">
        <v>#N/A N/A</v>
        <stp/>
        <stp>BDH|79321395469790792</stp>
        <tr r="AO26" s="4"/>
      </tp>
      <tp t="s">
        <v>#N/A N/A</v>
        <stp/>
        <stp>BDH|5856860704152774571</stp>
        <tr r="AI31" s="4"/>
      </tp>
      <tp t="s">
        <v>#N/A N/A</v>
        <stp/>
        <stp>BDH|4270725563286916912</stp>
        <tr r="S8" s="4"/>
      </tp>
      <tp t="s">
        <v>#N/A N/A</v>
        <stp/>
        <stp>BDH|7288855512330841467</stp>
        <tr r="R17" s="4"/>
      </tp>
      <tp t="s">
        <v>#N/A N/A</v>
        <stp/>
        <stp>BDH|8458415539706297368</stp>
        <tr r="AM37" s="2"/>
      </tp>
      <tp t="s">
        <v>#N/A N/A</v>
        <stp/>
        <stp>BDP|1032984328548118880</stp>
        <tr r="Y15" s="3"/>
      </tp>
      <tp t="s">
        <v>#N/A N/A</v>
        <stp/>
        <stp>BDH|8326694668031965323</stp>
        <tr r="AP17" s="4"/>
      </tp>
      <tp t="s">
        <v>#N/A N/A</v>
        <stp/>
        <stp>BDH|2266549537258058680</stp>
        <tr r="I28" s="4"/>
      </tp>
      <tp t="s">
        <v>#N/A N/A</v>
        <stp/>
        <stp>BDH|8118037282588173289</stp>
        <tr r="AG23" s="2"/>
      </tp>
      <tp t="s">
        <v>#N/A N/A</v>
        <stp/>
        <stp>BDH|9548428445260851334</stp>
        <tr r="O12" s="4"/>
      </tp>
      <tp t="s">
        <v>#N/A N/A</v>
        <stp/>
        <stp>BDH|4851655114380439931</stp>
        <tr r="Z35" s="2"/>
      </tp>
      <tp t="s">
        <v>#N/A N/A</v>
        <stp/>
        <stp>BDH|1411166973725947866</stp>
        <tr r="P26" s="4"/>
      </tp>
      <tp t="s">
        <v>#N/A N/A</v>
        <stp/>
        <stp>BDH|2951241213219352225</stp>
        <tr r="V17" s="4"/>
      </tp>
      <tp t="s">
        <v>#N/A N/A</v>
        <stp/>
        <stp>BDH|7878929503365552109</stp>
        <tr r="S40" s="4"/>
      </tp>
      <tp t="s">
        <v>#N/A N/A</v>
        <stp/>
        <stp>BDH|4945133789404861375</stp>
        <tr r="AB19" s="4"/>
      </tp>
      <tp t="s">
        <v>#N/A N/A</v>
        <stp/>
        <stp>BDH|1813489359159160343</stp>
        <tr r="V28" s="4"/>
      </tp>
      <tp t="s">
        <v>#N/A N/A</v>
        <stp/>
        <stp>BDP|3553730888317269111</stp>
        <tr r="AJ11" s="3"/>
      </tp>
      <tp t="s">
        <v>#N/A N/A</v>
        <stp/>
        <stp>BDP|1642585704449706701</stp>
        <tr r="AL11" s="3"/>
      </tp>
      <tp t="s">
        <v>#N/A N/A</v>
        <stp/>
        <stp>BDH|9837012966057675244</stp>
        <tr r="Q21" s="2"/>
      </tp>
      <tp t="s">
        <v>#N/A N/A</v>
        <stp/>
        <stp>BDH|5694826441471193299</stp>
        <tr r="AK24" s="4"/>
      </tp>
      <tp t="s">
        <v>#N/A N/A</v>
        <stp/>
        <stp>BDH|6518765799470785203</stp>
        <tr r="H44" s="4"/>
      </tp>
      <tp t="s">
        <v>#N/A N/A</v>
        <stp/>
        <stp>BDH|5988450476465629913</stp>
        <tr r="L6" s="4"/>
      </tp>
      <tp t="s">
        <v>#N/A N/A</v>
        <stp/>
        <stp>BDH|1796448568461103881</stp>
        <tr r="AO9" s="2"/>
      </tp>
      <tp t="s">
        <v>#N/A N/A</v>
        <stp/>
        <stp>BDH|8023480231880847532</stp>
        <tr r="L44" s="4"/>
      </tp>
      <tp t="s">
        <v>#N/A N/A</v>
        <stp/>
        <stp>BDP|6606880015811843407</stp>
        <tr r="K13" s="3"/>
      </tp>
      <tp t="s">
        <v>#N/A N/A</v>
        <stp/>
        <stp>BDH|4471771807139069075</stp>
        <tr r="AL17" s="2"/>
      </tp>
      <tp t="s">
        <v>#N/A N/A</v>
        <stp/>
        <stp>BDH|7092952962960037247</stp>
        <tr r="Q9" s="2"/>
      </tp>
      <tp t="s">
        <v>#N/A N/A</v>
        <stp/>
        <stp>BDH|2237858254646255310</stp>
        <tr r="N38" s="4"/>
      </tp>
      <tp t="s">
        <v>#N/A N/A</v>
        <stp/>
        <stp>BDH|7693136584313646773</stp>
        <tr r="AN9" s="2"/>
      </tp>
      <tp t="s">
        <v>#N/A N/A</v>
        <stp/>
        <stp>BDP|9749577029760097485</stp>
        <tr r="AB11" s="3"/>
      </tp>
      <tp t="s">
        <v>#N/A N/A</v>
        <stp/>
        <stp>BDH|9429140185763286962</stp>
        <tr r="H40" s="4"/>
      </tp>
      <tp t="s">
        <v>#N/A N/A</v>
        <stp/>
        <stp>BDH|5078965096476067960</stp>
        <tr r="J19" s="4"/>
      </tp>
      <tp t="s">
        <v>#N/A N/A</v>
        <stp/>
        <stp>BDH|9000255907774571517</stp>
        <tr r="AM40" s="4"/>
      </tp>
      <tp t="s">
        <v>#N/A N/A</v>
        <stp/>
        <stp>BDH|1601058024511299836</stp>
        <tr r="AL21" s="4"/>
      </tp>
      <tp t="s">
        <v>#N/A N/A</v>
        <stp/>
        <stp>BDH|4860565833331868932</stp>
        <tr r="U17" s="4"/>
      </tp>
      <tp t="s">
        <v>#N/A N/A</v>
        <stp/>
        <stp>BDH|5768489983600912331</stp>
        <tr r="R29" s="2"/>
      </tp>
      <tp t="s">
        <v>#N/A N/A</v>
        <stp/>
        <stp>BDP|2639264564934282817</stp>
        <tr r="AF11" s="3"/>
      </tp>
      <tp t="s">
        <v>#N/A N/A</v>
        <stp/>
        <stp>BDH|9550270950506162246</stp>
        <tr r="AK31" s="2"/>
      </tp>
      <tp t="s">
        <v>#N/A N/A</v>
        <stp/>
        <stp>BDH|7899045216684586886</stp>
        <tr r="AI38" s="2"/>
      </tp>
      <tp t="s">
        <v>#N/A N/A</v>
        <stp/>
        <stp>BDH|7207413449949989445</stp>
        <tr r="O11" s="2"/>
      </tp>
      <tp t="s">
        <v>#N/A N/A</v>
        <stp/>
        <stp>BDH|9476885509749512272</stp>
        <tr r="D31" s="2"/>
      </tp>
      <tp t="s">
        <v>#N/A N/A</v>
        <stp/>
        <stp>BDH|6920478360618079696</stp>
        <tr r="Z19" s="4"/>
      </tp>
      <tp t="s">
        <v>#N/A N/A</v>
        <stp/>
        <stp>BDH|4067652833953447868</stp>
        <tr r="F27" s="2"/>
      </tp>
      <tp t="s">
        <v>#N/A N/A</v>
        <stp/>
        <stp>BDH|8500398260720887716</stp>
        <tr r="AF33" s="4"/>
      </tp>
      <tp t="s">
        <v>#N/A N/A</v>
        <stp/>
        <stp>BDH|2518240213669652212</stp>
        <tr r="I27" s="2"/>
      </tp>
      <tp t="s">
        <v>#N/A N/A</v>
        <stp/>
        <stp>BDH|5935317467022838823</stp>
        <tr r="D19" s="2"/>
      </tp>
      <tp t="s">
        <v>#N/A N/A</v>
        <stp/>
        <stp>BDH|9414020026084727525</stp>
        <tr r="T27" s="2"/>
      </tp>
      <tp t="s">
        <v>#N/A N/A</v>
        <stp/>
        <stp>BDH|3306314762969397568</stp>
        <tr r="Z37" s="2"/>
      </tp>
      <tp t="s">
        <v>#N/A N/A</v>
        <stp/>
        <stp>BDH|1375962231303773390</stp>
        <tr r="O17" s="2"/>
      </tp>
      <tp t="s">
        <v>#N/A N/A</v>
        <stp/>
        <stp>BDH|8950773823717190169</stp>
        <tr r="I14" s="4"/>
      </tp>
      <tp t="s">
        <v>#N/A N/A</v>
        <stp/>
        <stp>BDH|3811384198077258504</stp>
        <tr r="I44" s="4"/>
      </tp>
      <tp t="s">
        <v>#N/A N/A</v>
        <stp/>
        <stp>BDH|9454007747007053191</stp>
        <tr r="W10" s="4"/>
      </tp>
      <tp t="s">
        <v>#N/A N/A</v>
        <stp/>
        <stp>BDH|8300198705637093540</stp>
        <tr r="I12" s="4"/>
      </tp>
      <tp t="s">
        <v>#N/A N/A</v>
        <stp/>
        <stp>BDH|6007718991330343383</stp>
        <tr r="T31" s="4"/>
      </tp>
      <tp t="s">
        <v>#N/A N/A</v>
        <stp/>
        <stp>BDH|7679818595039925435</stp>
        <tr r="AC25" s="2"/>
      </tp>
      <tp t="s">
        <v>#N/A N/A</v>
        <stp/>
        <stp>BDH|9091996776964427823</stp>
        <tr r="D24" s="4"/>
      </tp>
      <tp t="s">
        <v>#N/A N/A</v>
        <stp/>
        <stp>BDH|4998983698669348649</stp>
        <tr r="AO27" s="2"/>
      </tp>
      <tp t="s">
        <v>#N/A N/A</v>
        <stp/>
        <stp>BDP|2146079289038695966</stp>
        <tr r="H9" s="3"/>
      </tp>
      <tp t="s">
        <v>#N/A N/A</v>
        <stp/>
        <stp>BDH|1503782893247434357</stp>
        <tr r="P42" s="4"/>
      </tp>
      <tp t="s">
        <v>#N/A N/A</v>
        <stp/>
        <stp>BDH|4685115869668727060</stp>
        <tr r="P17" s="2"/>
      </tp>
      <tp t="s">
        <v>#N/A N/A</v>
        <stp/>
        <stp>BDH|3801438287240163424</stp>
        <tr r="AK10" s="4"/>
      </tp>
      <tp t="s">
        <v>#N/A N/A</v>
        <stp/>
        <stp>BDP|9061985789841927254</stp>
        <tr r="C11" s="3"/>
      </tp>
      <tp t="s">
        <v>#N/A N/A</v>
        <stp/>
        <stp>BDH|4794130434639193436</stp>
        <tr r="Y28" s="4"/>
      </tp>
      <tp t="s">
        <v>#N/A N/A</v>
        <stp/>
        <stp>BDH|3144313616942085846</stp>
        <tr r="T19" s="2"/>
      </tp>
      <tp t="s">
        <v>#N/A N/A</v>
        <stp/>
        <stp>BDH|5905802830632957728</stp>
        <tr r="AM21" s="2"/>
      </tp>
      <tp t="s">
        <v>#N/A N/A</v>
        <stp/>
        <stp>BDP|8634751075827463415</stp>
        <tr r="AL21" s="3"/>
      </tp>
      <tp t="s">
        <v>#N/A N/A</v>
        <stp/>
        <stp>BDH|2823917115596826773</stp>
        <tr r="N10" s="4"/>
      </tp>
      <tp t="s">
        <v>#N/A N/A</v>
        <stp/>
        <stp>BDH|6026351699800959762</stp>
        <tr r="AD35" s="2"/>
      </tp>
      <tp t="s">
        <v>#N/A N/A</v>
        <stp/>
        <stp>BDP|8932223304585977468</stp>
        <tr r="W21" s="3"/>
      </tp>
      <tp t="s">
        <v>#N/A N/A</v>
        <stp/>
        <stp>BDH|5458665553189779477</stp>
        <tr r="AP26" s="4"/>
      </tp>
      <tp t="s">
        <v>#N/A N/A</v>
        <stp/>
        <stp>BDH|5721268812055393817</stp>
        <tr r="W28" s="4"/>
      </tp>
      <tp t="s">
        <v>#N/A N/A</v>
        <stp/>
        <stp>BDH|9882409725796862249</stp>
        <tr r="AN44" s="4"/>
      </tp>
      <tp t="s">
        <v>#N/A N/A</v>
        <stp/>
        <stp>BDP|3269118722212089976</stp>
        <tr r="Q15" s="3"/>
      </tp>
      <tp t="s">
        <v>#N/A N/A</v>
        <stp/>
        <stp>BDH|7940248396516814146</stp>
        <tr r="S7" s="2"/>
      </tp>
      <tp t="s">
        <v>#N/A N/A</v>
        <stp/>
        <stp>BDH|8974192604975754772</stp>
        <tr r="AO37" s="2"/>
      </tp>
      <tp t="s">
        <v>#N/A N/A</v>
        <stp/>
        <stp>BDP|3176838451731325458</stp>
        <tr r="AN21" s="3"/>
      </tp>
      <tp t="s">
        <v>#N/A N/A</v>
        <stp/>
        <stp>BDH|4335352486066593203</stp>
        <tr r="G31" s="2"/>
      </tp>
      <tp t="s">
        <v>#N/A N/A</v>
        <stp/>
        <stp>BDH|1618644545869172137</stp>
        <tr r="U28" s="4"/>
      </tp>
      <tp t="s">
        <v>#N/A N/A</v>
        <stp/>
        <stp>BDH|6186660137977950037</stp>
        <tr r="M29" s="2"/>
      </tp>
      <tp t="s">
        <v>#N/A N/A</v>
        <stp/>
        <stp>BDH|2871280454838608982</stp>
        <tr r="L38" s="2"/>
      </tp>
      <tp t="s">
        <v>#N/A N/A</v>
        <stp/>
        <stp>BDH|1495705104222810023</stp>
        <tr r="C27" s="2"/>
      </tp>
      <tp t="s">
        <v>#N/A N/A</v>
        <stp/>
        <stp>BDH|1353519900474832419</stp>
        <tr r="Y8" s="4"/>
      </tp>
      <tp t="s">
        <v>#N/A N/A</v>
        <stp/>
        <stp>BDH|9796569628083551944</stp>
        <tr r="AD37" s="2"/>
      </tp>
      <tp t="s">
        <v>#N/A N/A</v>
        <stp/>
        <stp>BDH|1577420409506529731</stp>
        <tr r="P23" s="2"/>
      </tp>
      <tp t="s">
        <v>#N/A N/A</v>
        <stp/>
        <stp>BDH|9069992303062316611</stp>
        <tr r="F38" s="4"/>
      </tp>
      <tp t="s">
        <v>#N/A N/A</v>
        <stp/>
        <stp>BDH|3261474138687330769</stp>
        <tr r="Y14" s="4"/>
      </tp>
      <tp t="s">
        <v>#N/A N/A</v>
        <stp/>
        <stp>BDH|9966656881497017447</stp>
        <tr r="G21" s="4"/>
      </tp>
      <tp t="s">
        <v>#N/A N/A</v>
        <stp/>
        <stp>BDH|2731285347524113407</stp>
        <tr r="G8" s="4"/>
      </tp>
      <tp t="s">
        <v>#N/A N/A</v>
        <stp/>
        <stp>BDP|4347198446644244104</stp>
        <tr r="O19" s="3"/>
      </tp>
      <tp t="s">
        <v>#N/A N/A</v>
        <stp/>
        <stp>BDP|3753385750806765761</stp>
        <tr r="AO15" s="3"/>
      </tp>
      <tp t="s">
        <v>#N/A N/A</v>
        <stp/>
        <stp>BDP|4100822493130856165</stp>
        <tr r="AD21" s="3"/>
      </tp>
      <tp t="s">
        <v>#N/A N/A</v>
        <stp/>
        <stp>BDH|7046623242416621781</stp>
        <tr r="AD19" s="4"/>
      </tp>
      <tp t="s">
        <v>#N/A N/A</v>
        <stp/>
        <stp>BDP|6330676001570369499</stp>
        <tr r="P21" s="3"/>
      </tp>
      <tp t="s">
        <v>#N/A N/A</v>
        <stp/>
        <stp>BDH|7060459650890302292</stp>
        <tr r="M23" s="2"/>
      </tp>
      <tp t="s">
        <v>#N/A N/A</v>
        <stp/>
        <stp>BDH|4495240030937629696</stp>
        <tr r="P31" s="4"/>
      </tp>
      <tp t="s">
        <v>#N/A N/A</v>
        <stp/>
        <stp>BDH|2783710419098605860</stp>
        <tr r="AL33" s="4"/>
      </tp>
      <tp t="s">
        <v>#N/A N/A</v>
        <stp/>
        <stp>BDH|7035423549351118258</stp>
        <tr r="I10" s="4"/>
      </tp>
      <tp t="s">
        <v>#N/A N/A</v>
        <stp/>
        <stp>BDH|1987126791535745823</stp>
        <tr r="F44" s="4"/>
      </tp>
      <tp t="s">
        <v>#N/A N/A</v>
        <stp/>
        <stp>BDH|2815389438713717539</stp>
        <tr r="X35" s="4"/>
      </tp>
      <tp t="s">
        <v>#N/A N/A</v>
        <stp/>
        <stp>BDH|6704408047241592386</stp>
        <tr r="U10" s="4"/>
      </tp>
      <tp t="s">
        <v>#N/A N/A</v>
        <stp/>
        <stp>BDH|1587977239567219841</stp>
        <tr r="AE42" s="4"/>
      </tp>
      <tp t="s">
        <v>#N/A N/A</v>
        <stp/>
        <stp>BDH|6936961318373091958</stp>
        <tr r="AE17" s="4"/>
      </tp>
      <tp t="s">
        <v>#N/A N/A</v>
        <stp/>
        <stp>BDH|3839807670578259086</stp>
        <tr r="AJ19" s="2"/>
      </tp>
      <tp t="s">
        <v>#N/A N/A</v>
        <stp/>
        <stp>BDH|8701980836364900225</stp>
        <tr r="AN29" s="2"/>
      </tp>
      <tp t="s">
        <v>#N/A N/A</v>
        <stp/>
        <stp>BDH|9021525022583322916</stp>
        <tr r="AE38" s="2"/>
      </tp>
      <tp t="s">
        <v>#N/A N/A</v>
        <stp/>
        <stp>BDH|3263214030830593653</stp>
        <tr r="AK40" s="4"/>
      </tp>
      <tp t="s">
        <v>#N/A N/A</v>
        <stp/>
        <stp>BDH|6622937870155048962</stp>
        <tr r="H8" s="4"/>
      </tp>
      <tp t="s">
        <v>#N/A N/A</v>
        <stp/>
        <stp>BDH|3711292918994597004</stp>
        <tr r="AB12" s="4"/>
      </tp>
      <tp t="s">
        <v>#N/A N/A</v>
        <stp/>
        <stp>BDH|6946394759652223689</stp>
        <tr r="AG33" s="4"/>
      </tp>
      <tp t="s">
        <v>#N/A N/A</v>
        <stp/>
        <stp>BDH|1404908989846742298</stp>
        <tr r="AB28" s="4"/>
      </tp>
      <tp t="s">
        <v>#N/A N/A</v>
        <stp/>
        <stp>BDH|8104527732299370323</stp>
        <tr r="AE27" s="2"/>
      </tp>
      <tp t="s">
        <v>#N/A N/A</v>
        <stp/>
        <stp>BDH|6016257834477074410</stp>
        <tr r="O14" s="4"/>
      </tp>
      <tp t="s">
        <v>#N/A N/A</v>
        <stp/>
        <stp>BDH|1331957395937614258</stp>
        <tr r="M33" s="4"/>
      </tp>
      <tp t="s">
        <v>#N/A N/A</v>
        <stp/>
        <stp>BDH|9377967415285903096</stp>
        <tr r="AH14" s="4"/>
      </tp>
      <tp t="s">
        <v>#N/A N/A</v>
        <stp/>
        <stp>BDH|4974840839062384979</stp>
        <tr r="D38" s="2"/>
      </tp>
      <tp t="s">
        <v>#N/A N/A</v>
        <stp/>
        <stp>BDH|2510063264902401234</stp>
        <tr r="AN40" s="4"/>
      </tp>
      <tp t="s">
        <v>#N/A N/A</v>
        <stp/>
        <stp>BDH|7384098317056956450</stp>
        <tr r="AJ8" s="4"/>
      </tp>
      <tp t="s">
        <v>#N/A N/A</v>
        <stp/>
        <stp>BDH|6632157540046463164</stp>
        <tr r="AG42" s="4"/>
      </tp>
      <tp t="s">
        <v>#N/A N/A</v>
        <stp/>
        <stp>BDH|4139556511896011244</stp>
        <tr r="AP31" s="2"/>
      </tp>
      <tp t="s">
        <v>#N/A N/A</v>
        <stp/>
        <stp>BDH|6298554347526265533</stp>
        <tr r="AN7" s="2"/>
      </tp>
      <tp t="s">
        <v>#N/A N/A</v>
        <stp/>
        <stp>BDH|8415194494980127491</stp>
        <tr r="P27" s="2"/>
      </tp>
      <tp t="s">
        <v>#N/A N/A</v>
        <stp/>
        <stp>BDP|5137381549166614007</stp>
        <tr r="AJ15" s="3"/>
      </tp>
      <tp t="s">
        <v>#N/A N/A</v>
        <stp/>
        <stp>BDH|9472576467848403662</stp>
        <tr r="AD29" s="2"/>
      </tp>
      <tp t="s">
        <v>#N/A N/A</v>
        <stp/>
        <stp>BDH|4224129297910809899</stp>
        <tr r="AD27" s="2"/>
      </tp>
      <tp t="s">
        <v>#N/A N/A</v>
        <stp/>
        <stp>BDP|4179469117314601115</stp>
        <tr r="K11" s="3"/>
      </tp>
      <tp t="s">
        <v>#N/A N/A</v>
        <stp/>
        <stp>BDH|8347554706358444131</stp>
        <tr r="U11" s="2"/>
      </tp>
      <tp t="s">
        <v>#N/A N/A</v>
        <stp/>
        <stp>BDH|5521367036318936981</stp>
        <tr r="E31" s="2"/>
      </tp>
      <tp t="s">
        <v>#N/A N/A</v>
        <stp/>
        <stp>BDH|1089520058234961178</stp>
        <tr r="AA27" s="2"/>
      </tp>
      <tp t="s">
        <v>#N/A N/A</v>
        <stp/>
        <stp>BDH|9641146116634520958</stp>
        <tr r="E19" s="4"/>
      </tp>
      <tp t="s">
        <v>#N/A N/A</v>
        <stp/>
        <stp>BDH|8966992631546282195</stp>
        <tr r="AO7" s="2"/>
      </tp>
      <tp t="s">
        <v>#N/A N/A</v>
        <stp/>
        <stp>BDP|9457399895930087634</stp>
        <tr r="AF13" s="3"/>
      </tp>
      <tp t="s">
        <v>#N/A N/A</v>
        <stp/>
        <stp>BDP|9379729791590944221</stp>
        <tr r="X11" s="3"/>
      </tp>
      <tp t="s">
        <v>#N/A N/A</v>
        <stp/>
        <stp>BDH|2684323801682810667</stp>
        <tr r="R25" s="2"/>
      </tp>
      <tp t="s">
        <v>#N/A N/A</v>
        <stp/>
        <stp>BDH|9795247977758625196</stp>
        <tr r="L8" s="4"/>
      </tp>
      <tp t="s">
        <v>#N/A N/A</v>
        <stp/>
        <stp>BDH|1195803070069149287</stp>
        <tr r="C6" s="4"/>
      </tp>
      <tp t="s">
        <v>#N/A N/A</v>
        <stp/>
        <stp>BDH|1396474078250141750</stp>
        <tr r="E17" s="4"/>
      </tp>
      <tp t="s">
        <v>#N/A N/A</v>
        <stp/>
        <stp>BDP|9498547822478936328</stp>
        <tr r="G9" s="3"/>
      </tp>
      <tp t="s">
        <v>#N/A N/A</v>
        <stp/>
        <stp>BDH|7921294095328524191</stp>
        <tr r="D17" s="2"/>
      </tp>
      <tp t="s">
        <v>#N/A N/A</v>
        <stp/>
        <stp>BDP|8603289582454445364</stp>
        <tr r="F9" s="3"/>
      </tp>
      <tp t="s">
        <v>#N/A N/A</v>
        <stp/>
        <stp>BDH|9815228090837136051</stp>
        <tr r="AK8" s="4"/>
      </tp>
      <tp t="s">
        <v>#N/A N/A</v>
        <stp/>
        <stp>BDH|2889637658642860658</stp>
        <tr r="P9" s="2"/>
      </tp>
      <tp t="s">
        <v>#N/A N/A</v>
        <stp/>
        <stp>BDH|6134593986839172713</stp>
        <tr r="Q17" s="4"/>
      </tp>
      <tp t="s">
        <v>#N/A N/A</v>
        <stp/>
        <stp>BDP|7279569079403654346</stp>
        <tr r="U11" s="3"/>
      </tp>
      <tp t="s">
        <v>#N/A N/A</v>
        <stp/>
        <stp>BDP|8536533021129022385</stp>
        <tr r="AC9" s="3"/>
      </tp>
      <tp t="s">
        <v>#N/A N/A</v>
        <stp/>
        <stp>BDH|5695478822524417281</stp>
        <tr r="AB23" s="2"/>
      </tp>
      <tp t="s">
        <v>#N/A N/A</v>
        <stp/>
        <stp>BDH|5524745232153963760</stp>
        <tr r="AM27" s="2"/>
      </tp>
      <tp t="s">
        <v>#N/A N/A</v>
        <stp/>
        <stp>BDH|5622222054110850741</stp>
        <tr r="D31" s="4"/>
      </tp>
      <tp t="s">
        <v>#N/A N/A</v>
        <stp/>
        <stp>BDH|6502596855237298474</stp>
        <tr r="AJ26" s="4"/>
      </tp>
      <tp t="s">
        <v>#N/A N/A</v>
        <stp/>
        <stp>BDH|9008093056089006021</stp>
        <tr r="AE7" s="2"/>
      </tp>
      <tp t="s">
        <v>#N/A N/A</v>
        <stp/>
        <stp>BDH|9825104815039976595</stp>
        <tr r="AP21" s="2"/>
      </tp>
      <tp t="s">
        <v>#N/A N/A</v>
        <stp/>
        <stp>BDH|2227200986054063993</stp>
        <tr r="D7" s="2"/>
      </tp>
      <tp t="s">
        <v>#N/A N/A</v>
        <stp/>
        <stp>BDH|5794973428233674839</stp>
        <tr r="AH31" s="4"/>
      </tp>
      <tp t="s">
        <v>#N/A N/A</v>
        <stp/>
        <stp>BDP|3332498442632909430</stp>
        <tr r="F19" s="3"/>
      </tp>
      <tp t="s">
        <v>#N/A N/A</v>
        <stp/>
        <stp>BDH|6347807390090075217</stp>
        <tr r="F7" s="2"/>
      </tp>
      <tp t="s">
        <v>#N/A N/A</v>
        <stp/>
        <stp>BDH|2626562828877970737</stp>
        <tr r="AL19" s="2"/>
      </tp>
      <tp t="s">
        <v>#N/A N/A</v>
        <stp/>
        <stp>BDH|3946249258166056774</stp>
        <tr r="D35" s="2"/>
      </tp>
      <tp t="s">
        <v>#N/A N/A</v>
        <stp/>
        <stp>BDH|4431574642559784947</stp>
        <tr r="C42" s="4"/>
      </tp>
      <tp t="s">
        <v>#N/A N/A</v>
        <stp/>
        <stp>BDH|7289271610247092661</stp>
        <tr r="AH12" s="4"/>
      </tp>
      <tp t="s">
        <v>#N/A N/A</v>
        <stp/>
        <stp>BDH|1551084909202192660</stp>
        <tr r="S33" s="4"/>
      </tp>
      <tp t="s">
        <v>#N/A N/A</v>
        <stp/>
        <stp>BDH|9252501162296807986</stp>
        <tr r="AO35" s="2"/>
      </tp>
      <tp t="s">
        <v>#N/A N/A</v>
        <stp/>
        <stp>BDH|6033698648876984780</stp>
        <tr r="K7" s="2"/>
      </tp>
      <tp t="s">
        <v>#N/A N/A</v>
        <stp/>
        <stp>BDH|2171413447774160369</stp>
        <tr r="C29" s="2"/>
      </tp>
      <tp t="s">
        <v>#N/A N/A</v>
        <stp/>
        <stp>BDP|7314169728824524590</stp>
        <tr r="AF21" s="3"/>
      </tp>
      <tp t="s">
        <v>#N/A N/A</v>
        <stp/>
        <stp>BDH|8331454312329259177</stp>
        <tr r="U38" s="2"/>
      </tp>
      <tp t="s">
        <v>#N/A N/A</v>
        <stp/>
        <stp>BDH|8006151382721788516</stp>
        <tr r="AJ21" s="4"/>
      </tp>
      <tp t="s">
        <v>#N/A N/A</v>
        <stp/>
        <stp>BDH|9127448621769651333</stp>
        <tr r="AJ38" s="4"/>
      </tp>
      <tp t="s">
        <v>#N/A N/A</v>
        <stp/>
        <stp>BDH|2986495014381473314</stp>
        <tr r="AJ33" s="4"/>
      </tp>
      <tp t="s">
        <v>#N/A N/A</v>
        <stp/>
        <stp>BDH|4056489658246376625</stp>
        <tr r="AI21" s="4"/>
      </tp>
      <tp t="s">
        <v>#N/A N/A</v>
        <stp/>
        <stp>BDP|5465502956696400604</stp>
        <tr r="G19" s="3"/>
      </tp>
      <tp t="s">
        <v>#N/A N/A</v>
        <stp/>
        <stp>BDH|9470923560932577159</stp>
        <tr r="AI24" s="4"/>
      </tp>
      <tp t="s">
        <v>#N/A N/A</v>
        <stp/>
        <stp>BDH|6192533475523534247</stp>
        <tr r="X14" s="4"/>
      </tp>
      <tp t="s">
        <v>#N/A N/A</v>
        <stp/>
        <stp>BDH|3467920493902371403</stp>
        <tr r="E27" s="2"/>
      </tp>
      <tp t="s">
        <v>#N/A N/A</v>
        <stp/>
        <stp>BDH|5636156087891443862</stp>
        <tr r="W11" s="2"/>
      </tp>
      <tp t="s">
        <v>#N/A N/A</v>
        <stp/>
        <stp>BDH|5401418084459567527</stp>
        <tr r="AD12" s="4"/>
      </tp>
      <tp t="s">
        <v>#N/A N/A</v>
        <stp/>
        <stp>BDP|9184020221728235671</stp>
        <tr r="AD19" s="3"/>
      </tp>
      <tp t="s">
        <v>#N/A N/A</v>
        <stp/>
        <stp>BDP|6058055115416462436</stp>
        <tr r="AM19" s="3"/>
      </tp>
      <tp t="s">
        <v>#N/A N/A</v>
        <stp/>
        <stp>BDH|2289552386592399853</stp>
        <tr r="K31" s="2"/>
      </tp>
      <tp t="s">
        <v>#N/A N/A</v>
        <stp/>
        <stp>BDH|3612046974019256834</stp>
        <tr r="AM14" s="4"/>
      </tp>
      <tp t="s">
        <v>#N/A N/A</v>
        <stp/>
        <stp>BDH|5776639238526922320</stp>
        <tr r="X19" s="4"/>
      </tp>
      <tp t="s">
        <v>#N/A N/A</v>
        <stp/>
        <stp>BDH|7191813184861322309</stp>
        <tr r="AC13" s="2"/>
      </tp>
      <tp t="s">
        <v>#N/A N/A</v>
        <stp/>
        <stp>BDH|6197817133800602811</stp>
        <tr r="R42" s="4"/>
      </tp>
      <tp t="s">
        <v>#N/A N/A</v>
        <stp/>
        <stp>BDH|8605303033014043911</stp>
        <tr r="Q42" s="4"/>
      </tp>
      <tp t="s">
        <v>#N/A N/A</v>
        <stp/>
        <stp>BDH|1438624021944621452</stp>
        <tr r="AK35" s="4"/>
      </tp>
      <tp t="s">
        <v>#N/A N/A</v>
        <stp/>
        <stp>BDH|3886614270703861447</stp>
        <tr r="F12" s="4"/>
      </tp>
    </main>
    <main first="bofaddin.rtdserver">
      <tp t="s">
        <v>#N/A N/A</v>
        <stp/>
        <stp>BDH|7907023852730705445</stp>
        <tr r="AJ12" s="4"/>
      </tp>
      <tp t="s">
        <v>#N/A N/A</v>
        <stp/>
        <stp>BDP|4589207064063390596</stp>
        <tr r="AA21" s="3"/>
      </tp>
      <tp t="s">
        <v>#N/A N/A</v>
        <stp/>
        <stp>BDH|6316626712662850507</stp>
        <tr r="AN33" s="4"/>
      </tp>
      <tp t="s">
        <v>#N/A N/A</v>
        <stp/>
        <stp>BDH|8755148438394930895</stp>
        <tr r="O10" s="4"/>
      </tp>
      <tp t="s">
        <v>#N/A N/A</v>
        <stp/>
        <stp>BDH|6258495235102115571</stp>
        <tr r="U29" s="2"/>
      </tp>
      <tp t="s">
        <v>#N/A N/A</v>
        <stp/>
        <stp>BDH|3439588207330349003</stp>
        <tr r="K6" s="4"/>
      </tp>
      <tp t="s">
        <v>#N/A N/A</v>
        <stp/>
        <stp>BDH|8862007165979632135</stp>
        <tr r="L21" s="2"/>
      </tp>
      <tp t="s">
        <v>#N/A N/A</v>
        <stp/>
        <stp>BDH|7886338674405427027</stp>
        <tr r="G35" s="4"/>
      </tp>
      <tp t="s">
        <v>#N/A N/A</v>
        <stp/>
        <stp>BDH|7096945397843288289</stp>
        <tr r="S17" s="4"/>
      </tp>
      <tp t="s">
        <v>#N/A N/A</v>
        <stp/>
        <stp>BDH|5185088238433873308</stp>
        <tr r="AM31" s="4"/>
      </tp>
      <tp t="s">
        <v>#N/A N/A</v>
        <stp/>
        <stp>BDH|7454998730242633959</stp>
        <tr r="AJ17" s="4"/>
      </tp>
      <tp t="s">
        <v>#N/A N/A</v>
        <stp/>
        <stp>BDP|7215641531771938518</stp>
        <tr r="Q11" s="3"/>
      </tp>
      <tp t="s">
        <v>#N/A N/A</v>
        <stp/>
        <stp>BDP|7871209403684123755</stp>
        <tr r="L15" s="3"/>
      </tp>
      <tp t="s">
        <v>#N/A N/A</v>
        <stp/>
        <stp>BDH|3966491421206824561</stp>
        <tr r="D44" s="4"/>
      </tp>
      <tp t="s">
        <v>#N/A N/A</v>
        <stp/>
        <stp>BDH|3825742703226457472</stp>
        <tr r="F11" s="2"/>
      </tp>
      <tp t="s">
        <v>#N/A N/A</v>
        <stp/>
        <stp>BDH|1302014433634447090</stp>
        <tr r="K24" s="4"/>
      </tp>
      <tp t="s">
        <v>#N/A N/A</v>
        <stp/>
        <stp>BDH|3544276396489013781</stp>
        <tr r="G33" s="4"/>
      </tp>
      <tp t="s">
        <v>#N/A N/A</v>
        <stp/>
        <stp>BDH|1897575419350224384</stp>
        <tr r="X37" s="2"/>
      </tp>
      <tp t="s">
        <v>#N/A N/A</v>
        <stp/>
        <stp>BDH|1627271466705991625</stp>
        <tr r="K23" s="2"/>
      </tp>
      <tp t="s">
        <v>#N/A N/A</v>
        <stp/>
        <stp>BDH|7055049309895010407</stp>
        <tr r="AM28" s="4"/>
      </tp>
      <tp t="s">
        <v>#N/A N/A</v>
        <stp/>
        <stp>BDH|8815735753428594401</stp>
        <tr r="AC7" s="2"/>
      </tp>
      <tp t="s">
        <v>#N/A N/A</v>
        <stp/>
        <stp>BDH|5984867558717385963</stp>
        <tr r="AE28" s="4"/>
      </tp>
      <tp t="s">
        <v>#N/A N/A</v>
        <stp/>
        <stp>BDH|9006949944607293505</stp>
        <tr r="F37" s="2"/>
      </tp>
      <tp t="s">
        <v>#N/A N/A</v>
        <stp/>
        <stp>BDH|7072932199276973719</stp>
        <tr r="AD14" s="4"/>
      </tp>
      <tp t="s">
        <v>#N/A N/A</v>
        <stp/>
        <stp>BDH|7329820949878890536</stp>
        <tr r="E26" s="4"/>
      </tp>
      <tp t="s">
        <v>#N/A N/A</v>
        <stp/>
        <stp>BDH|8217689959659019406</stp>
        <tr r="Y40" s="4"/>
      </tp>
      <tp t="s">
        <v>#N/A N/A</v>
        <stp/>
        <stp>BDH|1859439597292857870</stp>
        <tr r="L17" s="2"/>
      </tp>
      <tp t="s">
        <v>#N/A N/A</v>
        <stp/>
        <stp>BDH|3637317621187333369</stp>
        <tr r="G17" s="4"/>
      </tp>
      <tp t="s">
        <v>#N/A N/A</v>
        <stp/>
        <stp>BDP|6568070308790245085</stp>
        <tr r="I9" s="3"/>
      </tp>
      <tp t="s">
        <v>#N/A N/A</v>
        <stp/>
        <stp>BDH|5419014995299065300</stp>
        <tr r="AM35" s="2"/>
      </tp>
      <tp t="s">
        <v>#N/A N/A</v>
        <stp/>
        <stp>BDH|2523421301377763713</stp>
        <tr r="AC40" s="4"/>
      </tp>
      <tp t="s">
        <v>#N/A N/A</v>
        <stp/>
        <stp>BDH|4791369711538243827</stp>
        <tr r="AA33" s="4"/>
      </tp>
      <tp t="s">
        <v>#N/A N/A</v>
        <stp/>
        <stp>BDP|5954135929003476316</stp>
        <tr r="E9" s="3"/>
      </tp>
      <tp t="s">
        <v>#N/A N/A</v>
        <stp/>
        <stp>BDH|2714241707437318111</stp>
        <tr r="E38" s="4"/>
      </tp>
      <tp t="s">
        <v>#N/A N/A</v>
        <stp/>
        <stp>BDH|9601352784481759568</stp>
        <tr r="P25" s="2"/>
      </tp>
      <tp t="s">
        <v>#N/A N/A</v>
        <stp/>
        <stp>BDH|2935459915249973864</stp>
        <tr r="H17" s="4"/>
      </tp>
      <tp t="s">
        <v>#N/A N/A</v>
        <stp/>
        <stp>BDH|3663564718894702597</stp>
        <tr r="AF21" s="4"/>
      </tp>
      <tp t="s">
        <v>#N/A N/A</v>
        <stp/>
        <stp>BDH|5640092748592609566</stp>
        <tr r="AL38" s="4"/>
      </tp>
      <tp t="s">
        <v>#N/A N/A</v>
        <stp/>
        <stp>BDH|2559302965741216055</stp>
        <tr r="AF24" s="4"/>
      </tp>
      <tp t="s">
        <v>#N/A N/A</v>
        <stp/>
        <stp>BDH|5721966564085288903</stp>
        <tr r="AD21" s="4"/>
      </tp>
      <tp t="s">
        <v>#N/A N/A</v>
        <stp/>
        <stp>BDH|4174375815781215156</stp>
        <tr r="P38" s="2"/>
      </tp>
      <tp t="s">
        <v>#N/A N/A</v>
        <stp/>
        <stp>BDH|3334230928874430184</stp>
        <tr r="AG38" s="4"/>
      </tp>
      <tp t="s">
        <v>#N/A N/A</v>
        <stp/>
        <stp>BDH|5534156311484697737</stp>
        <tr r="AK6" s="4"/>
      </tp>
      <tp t="s">
        <v>#N/A N/A</v>
        <stp/>
        <stp>BDH|5327113512700748324</stp>
        <tr r="AC24" s="4"/>
      </tp>
      <tp t="s">
        <v>#N/A N/A</v>
        <stp/>
        <stp>BDH|3721501134742182171</stp>
        <tr r="G11" s="2"/>
      </tp>
      <tp t="s">
        <v>#N/A N/A</v>
        <stp/>
        <stp>BDH|7891185251180462505</stp>
        <tr r="S35" s="2"/>
      </tp>
      <tp t="s">
        <v>#N/A N/A</v>
        <stp/>
        <stp>BDH|18923254977019021</stp>
        <tr r="AI37" s="2"/>
      </tp>
      <tp t="s">
        <v>#N/A N/A</v>
        <stp/>
        <stp>BDP|4731176533001056096</stp>
        <tr r="AK15" s="3"/>
      </tp>
      <tp t="s">
        <v>#N/A N/A</v>
        <stp/>
        <stp>BDH|1950520633004525472</stp>
        <tr r="AP29" s="2"/>
      </tp>
      <tp t="s">
        <v>#N/A N/A</v>
        <stp/>
        <stp>BDH|1904210325895494336</stp>
        <tr r="V27" s="2"/>
      </tp>
      <tp t="s">
        <v>#N/A N/A</v>
        <stp/>
        <stp>BDH|2121323547802776096</stp>
        <tr r="AO21" s="4"/>
      </tp>
      <tp t="s">
        <v>#N/A N/A</v>
        <stp/>
        <stp>BDH|8540651509209329013</stp>
        <tr r="V44" s="4"/>
      </tp>
      <tp t="s">
        <v>#N/A N/A</v>
        <stp/>
        <stp>BDH|6902505334701714618</stp>
        <tr r="W19" s="2"/>
      </tp>
      <tp t="s">
        <v>#N/A N/A</v>
        <stp/>
        <stp>BDP|8322936112283840427</stp>
        <tr r="AP13" s="3"/>
      </tp>
      <tp t="s">
        <v>#N/A N/A</v>
        <stp/>
        <stp>BDH|4263756007871989510</stp>
        <tr r="I29" s="2"/>
      </tp>
      <tp t="s">
        <v>#N/A N/A</v>
        <stp/>
        <stp>BDH|6579425634646240097</stp>
        <tr r="AN37" s="2"/>
      </tp>
      <tp t="s">
        <v>#N/A N/A</v>
        <stp/>
        <stp>BDH|6891901604868790035</stp>
        <tr r="N24" s="4"/>
      </tp>
      <tp t="s">
        <v>#N/A N/A</v>
        <stp/>
        <stp>BDH|5919684095459565486</stp>
        <tr r="T29" s="2"/>
      </tp>
      <tp t="s">
        <v>#N/A N/A</v>
        <stp/>
        <stp>BDH|3044805268223571949</stp>
        <tr r="J10" s="4"/>
      </tp>
      <tp t="s">
        <v>#N/A N/A</v>
        <stp/>
        <stp>BDH|7850866472016193946</stp>
        <tr r="N9" s="2"/>
      </tp>
      <tp t="s">
        <v>#N/A N/A</v>
        <stp/>
        <stp>BDH|3473933184116577380</stp>
        <tr r="L19" s="4"/>
      </tp>
      <tp t="s">
        <v>#N/A N/A</v>
        <stp/>
        <stp>BDH|8211075589486158132</stp>
        <tr r="P31" s="2"/>
      </tp>
      <tp t="s">
        <v>#N/A N/A</v>
        <stp/>
        <stp>BDH|2972305373861129051</stp>
        <tr r="V35" s="2"/>
      </tp>
      <tp t="s">
        <v>#N/A N/A</v>
        <stp/>
        <stp>BDH|8157930304433197592</stp>
        <tr r="Z11" s="2"/>
      </tp>
      <tp t="s">
        <v>#N/A N/A</v>
        <stp/>
        <stp>BDP|4577780232787769077</stp>
        <tr r="J19" s="3"/>
      </tp>
      <tp t="s">
        <v>#N/A N/A</v>
        <stp/>
        <stp>BDP|1483590702890638363</stp>
        <tr r="AK11" s="3"/>
      </tp>
      <tp t="s">
        <v>#N/A N/A</v>
        <stp/>
        <stp>BDH|3013665310613926000</stp>
        <tr r="AB8" s="4"/>
      </tp>
      <tp t="s">
        <v>#N/A N/A</v>
        <stp/>
        <stp>BDH|6859730721636648231</stp>
        <tr r="AE29" s="2"/>
      </tp>
      <tp t="s">
        <v>#N/A N/A</v>
        <stp/>
        <stp>BDH|9856118555168067230</stp>
        <tr r="Z25" s="2"/>
      </tp>
      <tp t="s">
        <v>#N/A N/A</v>
        <stp/>
        <stp>BDH|8597984032537736276</stp>
        <tr r="AK11" s="2"/>
      </tp>
      <tp t="s">
        <v>#N/A N/A</v>
        <stp/>
        <stp>BDH|6864532516165476044</stp>
        <tr r="R13" s="2"/>
      </tp>
      <tp t="s">
        <v>#N/A N/A</v>
        <stp/>
        <stp>BDH|6996425722934410309</stp>
        <tr r="H12" s="4"/>
      </tp>
      <tp t="s">
        <v>#N/A N/A</v>
        <stp/>
        <stp>BDH|2679960944820848815</stp>
        <tr r="V35" s="4"/>
      </tp>
      <tp t="s">
        <v>#N/A N/A</v>
        <stp/>
        <stp>BDH|3188907096207592306</stp>
        <tr r="AM11" s="2"/>
      </tp>
      <tp t="s">
        <v>#N/A N/A</v>
        <stp/>
        <stp>BDH|9021147030639266541</stp>
        <tr r="C38" s="2"/>
      </tp>
      <tp t="s">
        <v>#N/A N/A</v>
        <stp/>
        <stp>BDH|6628385011170850354</stp>
        <tr r="C38" s="4"/>
      </tp>
      <tp t="s">
        <v>#N/A N/A</v>
        <stp/>
        <stp>BDH|2397627239496964635</stp>
        <tr r="I7" s="2"/>
      </tp>
      <tp t="s">
        <v>#N/A N/A</v>
        <stp/>
        <stp>BDH|4486110346490057611</stp>
        <tr r="AE19" s="4"/>
      </tp>
      <tp t="s">
        <v>#N/A N/A</v>
        <stp/>
        <stp>BDH|4705349605347316764</stp>
        <tr r="U31" s="2"/>
      </tp>
      <tp t="s">
        <v>#N/A N/A</v>
        <stp/>
        <stp>BDH|3015032447105088575</stp>
        <tr r="T11" s="2"/>
      </tp>
      <tp t="s">
        <v>#N/A N/A</v>
        <stp/>
        <stp>BDP|7203449519696641394</stp>
        <tr r="W11" s="3"/>
      </tp>
      <tp t="s">
        <v>#N/A N/A</v>
        <stp/>
        <stp>BDH|9072132830324415874</stp>
        <tr r="V11" s="2"/>
      </tp>
      <tp t="s">
        <v>#N/A N/A</v>
        <stp/>
        <stp>BDH|1571366787709624421</stp>
        <tr r="X17" s="2"/>
      </tp>
      <tp t="s">
        <v>#N/A N/A</v>
        <stp/>
        <stp>BDH|2417548232731470278</stp>
        <tr r="AM44" s="4"/>
      </tp>
      <tp t="s">
        <v>#N/A N/A</v>
        <stp/>
        <stp>BDH|9135953134011038512</stp>
        <tr r="F29" s="2"/>
      </tp>
      <tp t="s">
        <v>#N/A N/A</v>
        <stp/>
        <stp>BDH|9258322499674997018</stp>
        <tr r="AH23" s="2"/>
      </tp>
      <tp t="s">
        <v>#N/A N/A</v>
        <stp/>
        <stp>BDH|7015239317851257278</stp>
        <tr r="AF19" s="4"/>
      </tp>
      <tp t="s">
        <v>#N/A N/A</v>
        <stp/>
        <stp>BDH|8280083786667969036</stp>
        <tr r="M12" s="4"/>
      </tp>
      <tp t="s">
        <v>#N/A N/A</v>
        <stp/>
        <stp>BDH|1565126165205097447</stp>
        <tr r="V6" s="4"/>
      </tp>
      <tp t="s">
        <v>#N/A N/A</v>
        <stp/>
        <stp>BDH|4370178182058512251</stp>
        <tr r="AL10" s="4"/>
      </tp>
      <tp t="s">
        <v>#N/A N/A</v>
        <stp/>
        <stp>BDH|3360370151371590377</stp>
        <tr r="X9" s="2"/>
      </tp>
      <tp t="s">
        <v>#N/A N/A</v>
        <stp/>
        <stp>BDH|6160428607372352707</stp>
        <tr r="E8" s="4"/>
      </tp>
      <tp t="s">
        <v>#N/A N/A</v>
        <stp/>
        <stp>BDH|5133341590138023014</stp>
        <tr r="AL6" s="4"/>
      </tp>
      <tp t="s">
        <v>#N/A N/A</v>
        <stp/>
        <stp>BDH|3206650112073423055</stp>
        <tr r="AN11" s="2"/>
      </tp>
      <tp t="s">
        <v>#N/A N/A</v>
        <stp/>
        <stp>BDH|6610125700969439947</stp>
        <tr r="AC8" s="4"/>
      </tp>
      <tp t="s">
        <v>#N/A N/A</v>
        <stp/>
        <stp>BDH|7966350839943658368</stp>
        <tr r="AH6" s="4"/>
      </tp>
      <tp t="s">
        <v>#N/A N/A</v>
        <stp/>
        <stp>BDH|2339888528126740918</stp>
        <tr r="Z42" s="4"/>
      </tp>
      <tp t="s">
        <v>#N/A N/A</v>
        <stp/>
        <stp>BDH|5553169049094616391</stp>
        <tr r="S11" s="2"/>
      </tp>
      <tp t="s">
        <v>#N/A N/A</v>
        <stp/>
        <stp>BDH|5780313402523013211</stp>
        <tr r="S23" s="2"/>
      </tp>
      <tp t="s">
        <v>#N/A N/A</v>
        <stp/>
        <stp>BDH|27858067845700177</stp>
        <tr r="AK12" s="4"/>
      </tp>
      <tp t="s">
        <v>#N/A N/A</v>
        <stp/>
        <stp>BDH|7959147554644210717</stp>
        <tr r="AB35" s="2"/>
      </tp>
      <tp t="s">
        <v>#N/A N/A</v>
        <stp/>
        <stp>BDH|7106147654276946525</stp>
        <tr r="AH38" s="2"/>
      </tp>
      <tp t="s">
        <v>#N/A N/A</v>
        <stp/>
        <stp>BDP|1505646507872815569</stp>
        <tr r="J11" s="3"/>
      </tp>
      <tp t="s">
        <v>#N/A N/A</v>
        <stp/>
        <stp>BDH|5592437999920699818</stp>
        <tr r="W6" s="4"/>
      </tp>
      <tp t="s">
        <v>#N/A N/A</v>
        <stp/>
        <stp>BDH|7704425518972709026</stp>
        <tr r="AC9" s="2"/>
      </tp>
      <tp t="s">
        <v>#N/A N/A</v>
        <stp/>
        <stp>BDH|2020503128227961299</stp>
        <tr r="Y44" s="4"/>
      </tp>
      <tp t="s">
        <v>#N/A N/A</v>
        <stp/>
        <stp>BDH|2906013545982179441</stp>
        <tr r="Q25" s="2"/>
      </tp>
      <tp t="s">
        <v>#N/A N/A</v>
        <stp/>
        <stp>BDP|4820134541330339172</stp>
        <tr r="K15" s="3"/>
      </tp>
      <tp t="s">
        <v>#N/A N/A</v>
        <stp/>
        <stp>BDH|8693991314107286775</stp>
        <tr r="E6" s="4"/>
      </tp>
      <tp t="s">
        <v>#N/A N/A</v>
        <stp/>
        <stp>BDH|2637478376324896515</stp>
        <tr r="AO44" s="4"/>
      </tp>
      <tp t="s">
        <v>#N/A N/A</v>
        <stp/>
        <stp>BDP|2216495164788029802</stp>
        <tr r="O13" s="3"/>
      </tp>
      <tp t="s">
        <v>#N/A N/A</v>
        <stp/>
        <stp>BDH|5660283771684344436</stp>
        <tr r="AG29" s="2"/>
      </tp>
      <tp t="s">
        <v>#N/A N/A</v>
        <stp/>
        <stp>BDH|9233729299194641301</stp>
        <tr r="M10" s="4"/>
      </tp>
      <tp t="s">
        <v>#N/A N/A</v>
        <stp/>
        <stp>BDH|8950446501945393934</stp>
        <tr r="E14" s="4"/>
      </tp>
      <tp t="s">
        <v>#N/A N/A</v>
        <stp/>
        <stp>BDH|4230096123656518018</stp>
        <tr r="C24" s="4"/>
      </tp>
      <tp t="s">
        <v>#N/A N/A</v>
        <stp/>
        <stp>BDH|8533505979753289938</stp>
        <tr r="N31" s="2"/>
      </tp>
      <tp t="s">
        <v>#N/A N/A</v>
        <stp/>
        <stp>BDH|4087286471663394271</stp>
        <tr r="R31" s="2"/>
      </tp>
      <tp t="s">
        <v>#N/A N/A</v>
        <stp/>
        <stp>BDH|3657098834523252349</stp>
        <tr r="AC17" s="4"/>
      </tp>
      <tp t="s">
        <v>#N/A N/A</v>
        <stp/>
        <stp>BDH|1125283204942094107</stp>
        <tr r="AC38" s="2"/>
      </tp>
      <tp t="s">
        <v>#N/A N/A</v>
        <stp/>
        <stp>BDH|3048099593643455932</stp>
        <tr r="T37" s="2"/>
      </tp>
      <tp t="s">
        <v>#N/A N/A</v>
        <stp/>
        <stp>BDH|9782383043949559748</stp>
        <tr r="P19" s="4"/>
      </tp>
      <tp t="s">
        <v>#N/A N/A</v>
        <stp/>
        <stp>BDP|4320784576233929764</stp>
        <tr r="AA11" s="3"/>
      </tp>
      <tp t="s">
        <v>#N/A N/A</v>
        <stp/>
        <stp>BDH|2446978797006182471</stp>
        <tr r="G38" s="2"/>
      </tp>
      <tp t="s">
        <v>#N/A N/A</v>
        <stp/>
        <stp>BDH|4743936941019368042</stp>
        <tr r="W35" s="4"/>
      </tp>
      <tp t="s">
        <v>#N/A N/A</v>
        <stp/>
        <stp>BDH|1765176962193682578</stp>
        <tr r="D21" s="4"/>
      </tp>
      <tp t="s">
        <v>#N/A N/A</v>
        <stp/>
        <stp>BDH|3650119155985772263</stp>
        <tr r="AD17" s="4"/>
      </tp>
      <tp t="s">
        <v>#N/A N/A</v>
        <stp/>
        <stp>BDH|9011956840160055468</stp>
        <tr r="O35" s="2"/>
      </tp>
      <tp t="s">
        <v>#N/A N/A</v>
        <stp/>
        <stp>BDH|9414274382411182233</stp>
        <tr r="AO38" s="4"/>
      </tp>
      <tp t="s">
        <v>#N/A N/A</v>
        <stp/>
        <stp>BDH|3313673350793241360</stp>
        <tr r="M17" s="2"/>
      </tp>
      <tp t="s">
        <v>#N/A N/A</v>
        <stp/>
        <stp>BDH|7189297707780794583</stp>
        <tr r="U27" s="2"/>
      </tp>
      <tp t="s">
        <v>#N/A N/A</v>
        <stp/>
        <stp>BDH|1029624457591502306</stp>
        <tr r="C9" s="2"/>
      </tp>
      <tp t="s">
        <v>#N/A N/A</v>
        <stp/>
        <stp>BDH|6790678931076179503</stp>
        <tr r="AA35" s="2"/>
      </tp>
      <tp t="s">
        <v>#N/A N/A</v>
        <stp/>
        <stp>BDH|9754977561663806590</stp>
        <tr r="Z38" s="2"/>
      </tp>
      <tp t="s">
        <v>#N/A N/A</v>
        <stp/>
        <stp>BDH|5099313361667520754</stp>
        <tr r="E28" s="4"/>
      </tp>
      <tp t="s">
        <v>#N/A N/A</v>
        <stp/>
        <stp>BDH|5120834531199642743</stp>
        <tr r="K26" s="4"/>
      </tp>
      <tp t="s">
        <v>#N/A N/A</v>
        <stp/>
        <stp>BDH|3517515368344840456</stp>
        <tr r="AB21" s="4"/>
      </tp>
      <tp t="s">
        <v>#N/A N/A</v>
        <stp/>
        <stp>BDH|5616533163867753108</stp>
        <tr r="L31" s="2"/>
      </tp>
      <tp t="s">
        <v>#N/A N/A</v>
        <stp/>
        <stp>BDH|4371751538061832179</stp>
        <tr r="L13" s="2"/>
      </tp>
      <tp t="s">
        <v>#N/A N/A</v>
        <stp/>
        <stp>BDP|2069806094165049628</stp>
        <tr r="I21" s="3"/>
      </tp>
      <tp t="s">
        <v>#N/A N/A</v>
        <stp/>
        <stp>BDH|6589525039018920816</stp>
        <tr r="T26" s="4"/>
      </tp>
      <tp t="s">
        <v>#N/A N/A</v>
        <stp/>
        <stp>BDH|8273157413668297001</stp>
        <tr r="W31" s="2"/>
      </tp>
      <tp t="s">
        <v>#N/A N/A</v>
        <stp/>
        <stp>BDP|3782475300721305640</stp>
        <tr r="M15" s="3"/>
      </tp>
      <tp t="s">
        <v>#N/A N/A</v>
        <stp/>
        <stp>BDH|9337208281487460418</stp>
        <tr r="Y38" s="2"/>
      </tp>
      <tp t="s">
        <v>#N/A N/A</v>
        <stp/>
        <stp>BDH|5429170276723606044</stp>
        <tr r="G25" s="2"/>
      </tp>
      <tp t="s">
        <v>#N/A N/A</v>
        <stp/>
        <stp>BDH|2256333234050725257</stp>
        <tr r="Q44" s="4"/>
      </tp>
      <tp t="s">
        <v>#N/A N/A</v>
        <stp/>
        <stp>BDH|5492414649875244092</stp>
        <tr r="O25" s="2"/>
      </tp>
      <tp t="s">
        <v>#N/A N/A</v>
        <stp/>
        <stp>BDH|5083726070122721725</stp>
        <tr r="N33" s="4"/>
      </tp>
      <tp t="s">
        <v>#N/A N/A</v>
        <stp/>
        <stp>BDH|4191398552871911340</stp>
        <tr r="AC44" s="4"/>
      </tp>
      <tp t="s">
        <v>#N/A N/A</v>
        <stp/>
        <stp>BDH|4026505732880206270</stp>
        <tr r="AK31" s="4"/>
      </tp>
      <tp t="s">
        <v>#N/A N/A</v>
        <stp/>
        <stp>BDH|1038450970646237432</stp>
        <tr r="J19" s="2"/>
      </tp>
      <tp t="s">
        <v>#N/A N/A</v>
        <stp/>
        <stp>BDH|7985018775397059792</stp>
        <tr r="AM17" s="2"/>
      </tp>
      <tp t="s">
        <v>#N/A N/A</v>
        <stp/>
        <stp>BDH|1228232612613372149</stp>
        <tr r="N19" s="2"/>
      </tp>
      <tp t="s">
        <v>#N/A N/A</v>
        <stp/>
        <stp>BDH|8397856907560061053</stp>
        <tr r="Y26" s="4"/>
      </tp>
      <tp t="s">
        <v>#N/A N/A</v>
        <stp/>
        <stp>BDH|2331345845132054770</stp>
        <tr r="J8" s="4"/>
      </tp>
      <tp t="s">
        <v>#N/A N/A</v>
        <stp/>
        <stp>BDH|5276745498578936321</stp>
        <tr r="AO35" s="4"/>
      </tp>
      <tp t="s">
        <v>#N/A N/A</v>
        <stp/>
        <stp>BDH|68491508298105100</stp>
        <tr r="M27" s="2"/>
      </tp>
      <tp t="s">
        <v>#N/A N/A</v>
        <stp/>
        <stp>BDH|7886565471911468510</stp>
        <tr r="AP21" s="4"/>
      </tp>
      <tp t="s">
        <v>#N/A N/A</v>
        <stp/>
        <stp>BDH|1492021917921869031</stp>
        <tr r="U33" s="4"/>
      </tp>
      <tp t="s">
        <v>#N/A N/A</v>
        <stp/>
        <stp>BDH|6799845448622655972</stp>
        <tr r="D8" s="4"/>
      </tp>
      <tp t="s">
        <v>#N/A N/A</v>
        <stp/>
        <stp>BDH|9820566393414586027</stp>
        <tr r="J44" s="4"/>
      </tp>
      <tp t="s">
        <v>#N/A N/A</v>
        <stp/>
        <stp>BDP|6007464229527059649</stp>
        <tr r="J9" s="3"/>
      </tp>
      <tp t="s">
        <v>#N/A N/A</v>
        <stp/>
        <stp>BDP|3343451956846362587</stp>
        <tr r="AL19" s="3"/>
      </tp>
      <tp t="s">
        <v>#N/A N/A</v>
        <stp/>
        <stp>BDH|3833835700853368935</stp>
        <tr r="AE33" s="4"/>
      </tp>
      <tp t="s">
        <v>#N/A N/A</v>
        <stp/>
        <stp>BDP|3168793600700998591</stp>
        <tr r="AF15" s="3"/>
      </tp>
      <tp t="s">
        <v>#N/A N/A</v>
        <stp/>
        <stp>BDP|9293707379888023038</stp>
        <tr r="AA13" s="3"/>
      </tp>
      <tp t="s">
        <v>#N/A N/A</v>
        <stp/>
        <stp>BDP|3570106389172447904</stp>
        <tr r="AG13" s="3"/>
      </tp>
      <tp t="s">
        <v>#N/A N/A</v>
        <stp/>
        <stp>BDP|3331577416422920436</stp>
        <tr r="V21" s="3"/>
      </tp>
      <tp t="s">
        <v>#N/A N/A</v>
        <stp/>
        <stp>BDH|2904703457554014565</stp>
        <tr r="S17" s="2"/>
      </tp>
      <tp t="s">
        <v>#N/A N/A</v>
        <stp/>
        <stp>BDH|8181391033928240113</stp>
        <tr r="AL19" s="4"/>
      </tp>
      <tp t="s">
        <v>#N/A N/A</v>
        <stp/>
        <stp>BDH|4069644239902455216</stp>
        <tr r="AF40" s="4"/>
      </tp>
      <tp t="s">
        <v>#N/A N/A</v>
        <stp/>
        <stp>BDH|3488679626987562181</stp>
        <tr r="M38" s="2"/>
      </tp>
      <tp t="s">
        <v>#N/A N/A</v>
        <stp/>
        <stp>BDH|6874421607400215361</stp>
        <tr r="AE21" s="2"/>
      </tp>
      <tp t="s">
        <v>#N/A N/A</v>
        <stp/>
        <stp>BDH|8902330281100555272</stp>
        <tr r="I25" s="2"/>
      </tp>
      <tp t="s">
        <v>#N/A N/A</v>
        <stp/>
        <stp>BDH|3915085144001494781</stp>
        <tr r="M13" s="2"/>
      </tp>
      <tp t="s">
        <v>#N/A N/A</v>
        <stp/>
        <stp>BDP|3266482845521458350</stp>
        <tr r="AH15" s="3"/>
      </tp>
      <tp t="s">
        <v>#N/A N/A</v>
        <stp/>
        <stp>BDH|6607623926905426688</stp>
        <tr r="AA29" s="2"/>
      </tp>
      <tp t="s">
        <v>#N/A N/A</v>
        <stp/>
        <stp>BDH|7541249089199114559</stp>
        <tr r="I23" s="2"/>
      </tp>
      <tp t="s">
        <v>#N/A N/A</v>
        <stp/>
        <stp>BDH|6240545442680873608</stp>
        <tr r="E38" s="2"/>
      </tp>
      <tp t="s">
        <v>#N/A N/A</v>
        <stp/>
        <stp>BDH|9273650208459757753</stp>
        <tr r="AO25" s="2"/>
      </tp>
      <tp t="s">
        <v>#N/A N/A</v>
        <stp/>
        <stp>BDH|3075333659113169766</stp>
        <tr r="T17" s="4"/>
      </tp>
      <tp t="s">
        <v>#N/A N/A</v>
        <stp/>
        <stp>BDH|4439400709530624163</stp>
        <tr r="AF8" s="4"/>
      </tp>
      <tp t="s">
        <v>#N/A N/A</v>
        <stp/>
        <stp>BDH|9919034891881163077</stp>
        <tr r="AP13" s="2"/>
      </tp>
      <tp t="s">
        <v>#N/A N/A</v>
        <stp/>
        <stp>BDH|6831098902595983278</stp>
        <tr r="K35" s="2"/>
      </tp>
      <tp t="s">
        <v>#N/A N/A</v>
        <stp/>
        <stp>BDP|9257843885851063910</stp>
        <tr r="X9" s="3"/>
      </tp>
      <tp t="s">
        <v>#N/A N/A</v>
        <stp/>
        <stp>BDP|5845618573317811209</stp>
        <tr r="AH13" s="3"/>
      </tp>
      <tp t="s">
        <v>#N/A N/A</v>
        <stp/>
        <stp>BDH|6474286876147053580</stp>
        <tr r="F23" s="2"/>
      </tp>
      <tp t="s">
        <v>#N/A N/A</v>
        <stp/>
        <stp>BDH|5604317475421782176</stp>
        <tr r="AA12" s="4"/>
      </tp>
      <tp t="s">
        <v>#N/A N/A</v>
        <stp/>
        <stp>BDH|1439585514963809722</stp>
        <tr r="J26" s="4"/>
      </tp>
      <tp t="s">
        <v>#N/A N/A</v>
        <stp/>
        <stp>BDH|9359980518910955087</stp>
        <tr r="U31" s="4"/>
      </tp>
      <tp t="s">
        <v>#N/A N/A</v>
        <stp/>
        <stp>BDH|7660920865778210107</stp>
        <tr r="C13" s="2"/>
      </tp>
      <tp t="s">
        <v>#N/A N/A</v>
        <stp/>
        <stp>BDH|2691664276102007055</stp>
        <tr r="S25" s="2"/>
      </tp>
      <tp t="s">
        <v>#N/A N/A</v>
        <stp/>
        <stp>BDH|1722643181478288630</stp>
        <tr r="AJ29" s="2"/>
      </tp>
      <tp t="s">
        <v>#N/A N/A</v>
        <stp/>
        <stp>BDH|9079334191823103106</stp>
        <tr r="X42" s="4"/>
      </tp>
      <tp t="s">
        <v>#N/A N/A</v>
        <stp/>
        <stp>BDH|7139042434795101038</stp>
        <tr r="T17" s="2"/>
      </tp>
      <tp t="s">
        <v>#N/A N/A</v>
        <stp/>
        <stp>BDH|2347358002883358379</stp>
        <tr r="T14" s="4"/>
      </tp>
      <tp t="s">
        <v>#N/A N/A</v>
        <stp/>
        <stp>BDH|9680061669506809814</stp>
        <tr r="S9" s="2"/>
      </tp>
      <tp t="s">
        <v>#N/A N/A</v>
        <stp/>
        <stp>BDH|2016294089949322035</stp>
        <tr r="Z40" s="4"/>
      </tp>
      <tp t="s">
        <v>#N/A N/A</v>
        <stp/>
        <stp>BDH|7713726517378169839</stp>
        <tr r="AJ35" s="2"/>
      </tp>
      <tp t="s">
        <v>#N/A N/A</v>
        <stp/>
        <stp>BDH|8287434657890003868</stp>
        <tr r="AP19" s="4"/>
      </tp>
      <tp t="s">
        <v>#N/A N/A</v>
        <stp/>
        <stp>BDP|5525237272535719427</stp>
        <tr r="I11" s="3"/>
      </tp>
      <tp t="s">
        <v>#N/A N/A</v>
        <stp/>
        <stp>BDH|4733143896698015545</stp>
        <tr r="E19" s="2"/>
      </tp>
      <tp t="s">
        <v>#N/A N/A</v>
        <stp/>
        <stp>BDH|7088013496348718710</stp>
        <tr r="F17" s="2"/>
      </tp>
      <tp t="s">
        <v>#N/A N/A</v>
        <stp/>
        <stp>BDH|7739497333011588094</stp>
        <tr r="AJ23" s="2"/>
      </tp>
      <tp t="s">
        <v>#N/A N/A</v>
        <stp/>
        <stp>BDP|5330110039034476292</stp>
        <tr r="X21" s="3"/>
      </tp>
      <tp t="s">
        <v>#N/A N/A</v>
        <stp/>
        <stp>BDH|6914148128023527764</stp>
        <tr r="M6" s="4"/>
      </tp>
      <tp t="s">
        <v>#N/A N/A</v>
        <stp/>
        <stp>BDH|9856497210064210970</stp>
        <tr r="H27" s="2"/>
      </tp>
      <tp t="s">
        <v>#N/A N/A</v>
        <stp/>
        <stp>BDH|7603308503694345128</stp>
        <tr r="R19" s="4"/>
      </tp>
      <tp t="s">
        <v>#N/A N/A</v>
        <stp/>
        <stp>BDH|5425973707579242426</stp>
        <tr r="M7" s="2"/>
      </tp>
      <tp t="s">
        <v>#N/A N/A</v>
        <stp/>
        <stp>BDH|4807471143061912416</stp>
        <tr r="F25" s="2"/>
      </tp>
      <tp t="s">
        <v>#N/A N/A</v>
        <stp/>
        <stp>BDH|3366671251109990883</stp>
        <tr r="Z6" s="4"/>
      </tp>
      <tp t="s">
        <v>#N/A N/A</v>
        <stp/>
        <stp>BDH|9305870926301468333</stp>
        <tr r="AO24" s="4"/>
      </tp>
      <tp t="s">
        <v>#N/A N/A</v>
        <stp/>
        <stp>BDH|6958097818930442697</stp>
        <tr r="AG35" s="2"/>
      </tp>
      <tp t="s">
        <v>#N/A N/A</v>
        <stp/>
        <stp>BDH|2252034362454493120</stp>
        <tr r="N35" s="2"/>
      </tp>
      <tp t="s">
        <v>#N/A N/A</v>
        <stp/>
        <stp>BDH|8512791407764737963</stp>
        <tr r="AM35" s="4"/>
      </tp>
      <tp t="s">
        <v>#N/A N/A</v>
        <stp/>
        <stp>BDH|2284180311358757861</stp>
        <tr r="J27" s="2"/>
      </tp>
      <tp t="s">
        <v>#N/A N/A</v>
        <stp/>
        <stp>BDP|9618479884900858768</stp>
        <tr r="AI21" s="3"/>
      </tp>
      <tp t="s">
        <v>#N/A N/A</v>
        <stp/>
        <stp>BDH|5187578509380037240</stp>
        <tr r="AB17" s="4"/>
      </tp>
      <tp t="s">
        <v>#N/A N/A</v>
        <stp/>
        <stp>BDH|1006085397763485908</stp>
        <tr r="K17" s="2"/>
      </tp>
      <tp t="s">
        <v>#N/A N/A</v>
        <stp/>
        <stp>BDH|6217799210417142513</stp>
        <tr r="K14" s="4"/>
      </tp>
      <tp t="s">
        <v>#N/A N/A</v>
        <stp/>
        <stp>BDH|1988743882138552411</stp>
        <tr r="AG9" s="2"/>
      </tp>
      <tp t="s">
        <v>#N/A N/A</v>
        <stp/>
        <stp>BDH|4245488511900180328</stp>
        <tr r="G27" s="2"/>
      </tp>
      <tp t="s">
        <v>#N/A N/A</v>
        <stp/>
        <stp>BDH|8484098793565002662</stp>
        <tr r="AF9" s="2"/>
      </tp>
      <tp t="s">
        <v>#N/A N/A</v>
        <stp/>
        <stp>BDH|9248752595640263581</stp>
        <tr r="J17" s="4"/>
      </tp>
      <tp t="s">
        <v>#N/A N/A</v>
        <stp/>
        <stp>BDH|6650789183819793227</stp>
        <tr r="N27" s="2"/>
      </tp>
      <tp t="s">
        <v>#N/A N/A</v>
        <stp/>
        <stp>BDH|8048070476898049597</stp>
        <tr r="T8" s="4"/>
      </tp>
      <tp t="s">
        <v>#N/A N/A</v>
        <stp/>
        <stp>BDH|8705990220758352942</stp>
        <tr r="S19" s="2"/>
      </tp>
      <tp t="s">
        <v>#N/A N/A</v>
        <stp/>
        <stp>BDH|8465102939461665926</stp>
        <tr r="O26" s="4"/>
      </tp>
      <tp t="s">
        <v>#N/A N/A</v>
        <stp/>
        <stp>BDH|7897773769713870773</stp>
        <tr r="AK35" s="2"/>
      </tp>
      <tp t="s">
        <v>#N/A N/A</v>
        <stp/>
        <stp>BDH|5261943892820372793</stp>
        <tr r="W12" s="4"/>
      </tp>
      <tp t="s">
        <v>#N/A N/A</v>
        <stp/>
        <stp>BDH|5901741805958363849</stp>
        <tr r="AL44" s="4"/>
      </tp>
      <tp t="s">
        <v>#N/A N/A</v>
        <stp/>
        <stp>BDH|5217526905716278488</stp>
        <tr r="E24" s="4"/>
      </tp>
      <tp t="s">
        <v>#N/A N/A</v>
        <stp/>
        <stp>BDH|3596116306822492290</stp>
        <tr r="Z38" s="4"/>
      </tp>
      <tp t="s">
        <v>#N/A N/A</v>
        <stp/>
        <stp>BDP|1674172332375696496</stp>
        <tr r="AO11" s="3"/>
      </tp>
      <tp t="s">
        <v>#N/A N/A</v>
        <stp/>
        <stp>BDP|1808440303560621752</stp>
        <tr r="AM21" s="3"/>
      </tp>
      <tp t="s">
        <v>#N/A N/A</v>
        <stp/>
        <stp>BDH|8307336347775959826</stp>
        <tr r="AH7" s="2"/>
      </tp>
      <tp t="s">
        <v>#N/A N/A</v>
        <stp/>
        <stp>BDH|1711738270597817409</stp>
        <tr r="I38" s="2"/>
      </tp>
      <tp t="s">
        <v>#N/A N/A</v>
        <stp/>
        <stp>BDH|1159466891836342894</stp>
        <tr r="U6" s="4"/>
      </tp>
      <tp t="s">
        <v>#N/A N/A</v>
        <stp/>
        <stp>BDP|1808603197218647444</stp>
        <tr r="AH19" s="3"/>
      </tp>
      <tp t="s">
        <v>#N/A N/A</v>
        <stp/>
        <stp>BDH|5785504265150650493</stp>
        <tr r="X35" s="2"/>
      </tp>
      <tp t="s">
        <v>#N/A N/A</v>
        <stp/>
        <stp>BDP|9035534494947074056</stp>
        <tr r="U21" s="3"/>
      </tp>
      <tp t="s">
        <v>#N/A N/A</v>
        <stp/>
        <stp>BDH|1669253556092234651</stp>
        <tr r="C12" s="4"/>
      </tp>
      <tp t="s">
        <v>#N/A N/A</v>
        <stp/>
        <stp>BDH|9772459164451396878</stp>
        <tr r="J35" s="2"/>
      </tp>
      <tp t="s">
        <v>#N/A N/A</v>
        <stp/>
        <stp>BDP|7419185411360969575</stp>
        <tr r="H11" s="3"/>
      </tp>
      <tp t="s">
        <v>#N/A N/A</v>
        <stp/>
        <stp>BDH|6638141505726648326</stp>
        <tr r="Y31" s="4"/>
      </tp>
      <tp t="s">
        <v>#N/A N/A</v>
        <stp/>
        <stp>BDH|9656402551909741333</stp>
        <tr r="L17" s="4"/>
      </tp>
      <tp t="s">
        <v>#N/A N/A</v>
        <stp/>
        <stp>BDH|2630128275462603442</stp>
        <tr r="AH38" s="4"/>
      </tp>
      <tp t="s">
        <v>#N/A N/A</v>
        <stp/>
        <stp>BDH|1799171527280677021</stp>
        <tr r="J24" s="4"/>
      </tp>
      <tp t="s">
        <v>#N/A N/A</v>
        <stp/>
        <stp>BDP|8210943821782558327</stp>
        <tr r="AJ9" s="3"/>
      </tp>
      <tp t="s">
        <v>#N/A N/A</v>
        <stp/>
        <stp>BDH|3983805685001481087</stp>
        <tr r="R19" s="2"/>
      </tp>
      <tp t="s">
        <v>#N/A N/A</v>
        <stp/>
        <stp>BDH|1803618639814568250</stp>
        <tr r="G42" s="4"/>
      </tp>
      <tp t="s">
        <v>#N/A N/A</v>
        <stp/>
        <stp>BDH|5472489652182934475</stp>
        <tr r="I11" s="2"/>
      </tp>
      <tp t="s">
        <v>#N/A N/A</v>
        <stp/>
        <stp>BDH|9612339032518124365</stp>
        <tr r="P13" s="2"/>
      </tp>
      <tp t="s">
        <v>#N/A N/A</v>
        <stp/>
        <stp>BDH|3280530090689962498</stp>
        <tr r="X24" s="4"/>
      </tp>
      <tp t="s">
        <v>#N/A N/A</v>
        <stp/>
        <stp>BDH|7477816214085516950</stp>
        <tr r="AP6" s="4"/>
      </tp>
      <tp t="s">
        <v>#N/A N/A</v>
        <stp/>
        <stp>BDH|5518728565256369004</stp>
        <tr r="AL8" s="4"/>
      </tp>
      <tp t="s">
        <v>#N/A N/A</v>
        <stp/>
        <stp>BDH|5535120175479092837</stp>
        <tr r="AD25" s="2"/>
      </tp>
      <tp t="s">
        <v>#N/A N/A</v>
        <stp/>
        <stp>BDH|9191228395178194861</stp>
        <tr r="AF42" s="4"/>
      </tp>
      <tp t="s">
        <v>#N/A N/A</v>
        <stp/>
        <stp>BDP|7930245603440112795</stp>
        <tr r="AH21" s="3"/>
      </tp>
      <tp t="s">
        <v>#N/A N/A</v>
        <stp/>
        <stp>BDH|2139055200645580579</stp>
        <tr r="AH26" s="4"/>
      </tp>
      <tp t="s">
        <v>#N/A N/A</v>
        <stp/>
        <stp>BDH|1156618157607633776</stp>
        <tr r="K28" s="4"/>
      </tp>
      <tp t="s">
        <v>#N/A N/A</v>
        <stp/>
        <stp>BDH|3310208114863863199</stp>
        <tr r="S44" s="4"/>
      </tp>
      <tp t="s">
        <v>#N/A N/A</v>
        <stp/>
        <stp>BDH|6595465324490973281</stp>
        <tr r="AH17" s="2"/>
      </tp>
      <tp t="s">
        <v>#N/A N/A</v>
        <stp/>
        <stp>BDP|3595251727376764777</stp>
        <tr r="N19" s="3"/>
      </tp>
      <tp t="s">
        <v>#N/A N/A</v>
        <stp/>
        <stp>BDP|9362349550829958495</stp>
        <tr r="P15" s="3"/>
      </tp>
      <tp t="s">
        <v>#N/A N/A</v>
        <stp/>
        <stp>BDH|3209730077978782962</stp>
        <tr r="G14" s="4"/>
      </tp>
      <tp t="s">
        <v>#N/A N/A</v>
        <stp/>
        <stp>BDP|1618468043787161465</stp>
        <tr r="P9" s="3"/>
      </tp>
      <tp t="s">
        <v>#N/A N/A</v>
        <stp/>
        <stp>BDH|4152834497986722179</stp>
        <tr r="AF13" s="2"/>
      </tp>
      <tp t="s">
        <v>#N/A N/A</v>
        <stp/>
        <stp>BDH|6706022293578438572</stp>
        <tr r="F31" s="4"/>
      </tp>
      <tp t="s">
        <v>#N/A N/A</v>
        <stp/>
        <stp>BDH|5980490575920926498</stp>
        <tr r="K21" s="4"/>
      </tp>
      <tp t="s">
        <v>#N/A N/A</v>
        <stp/>
        <stp>BDH|5949927497236662004</stp>
        <tr r="D25" s="2"/>
      </tp>
      <tp t="s">
        <v>#N/A N/A</v>
        <stp/>
        <stp>BDH|6753213331172521680</stp>
        <tr r="T44" s="4"/>
      </tp>
      <tp t="s">
        <v>#N/A N/A</v>
        <stp/>
        <stp>BDH|4208231419870052428</stp>
        <tr r="AP31" s="4"/>
      </tp>
      <tp t="s">
        <v>#N/A N/A</v>
        <stp/>
        <stp>BDH|6651004755327096797</stp>
        <tr r="AO31" s="4"/>
      </tp>
      <tp t="s">
        <v>#N/A N/A</v>
        <stp/>
        <stp>BDH|6688210629670011558</stp>
        <tr r="Q35" s="4"/>
      </tp>
      <tp t="s">
        <v>#N/A N/A</v>
        <stp/>
        <stp>BDH|2846544230812003548</stp>
        <tr r="AF27" s="2"/>
      </tp>
      <tp t="s">
        <v>#N/A N/A</v>
        <stp/>
        <stp>BDH|3436373786258906341</stp>
        <tr r="U19" s="4"/>
      </tp>
      <tp t="s">
        <v>#N/A N/A</v>
        <stp/>
        <stp>BDH|7001125457507822755</stp>
        <tr r="AH21" s="2"/>
      </tp>
      <tp t="s">
        <v>#N/A N/A</v>
        <stp/>
        <stp>BDH|8438699918888806454</stp>
        <tr r="AE24" s="4"/>
      </tp>
      <tp t="s">
        <v>#N/A N/A</v>
        <stp/>
        <stp>BDH|8937670222886302970</stp>
        <tr r="AH10" s="4"/>
      </tp>
      <tp t="s">
        <v>#N/A N/A</v>
        <stp/>
        <stp>BDH|2877380106745856768</stp>
        <tr r="AG12" s="4"/>
      </tp>
      <tp t="s">
        <v>#N/A N/A</v>
        <stp/>
        <stp>BDH|3633945646359428488</stp>
        <tr r="T9" s="2"/>
      </tp>
      <tp t="s">
        <v>#N/A N/A</v>
        <stp/>
        <stp>BDH|1238343005432215386</stp>
        <tr r="AL12" s="4"/>
      </tp>
      <tp t="s">
        <v>#N/A N/A</v>
        <stp/>
        <stp>BDH|6328318068857098732</stp>
        <tr r="M44" s="4"/>
      </tp>
      <tp t="s">
        <v>#N/A N/A</v>
        <stp/>
        <stp>BDH|5921579674915186123</stp>
        <tr r="K19" s="4"/>
      </tp>
      <tp t="s">
        <v>#N/A N/A</v>
        <stp/>
        <stp>BDH|5283879568940427801</stp>
        <tr r="Z17" s="2"/>
      </tp>
      <tp t="s">
        <v>#N/A N/A</v>
        <stp/>
        <stp>BDH|7192371819223688509</stp>
        <tr r="Z21" s="2"/>
      </tp>
      <tp t="s">
        <v>#N/A N/A</v>
        <stp/>
        <stp>BDH|6630888994977487375</stp>
        <tr r="AB19" s="2"/>
      </tp>
      <tp t="s">
        <v>#N/A N/A</v>
        <stp/>
        <stp>BDH|5769718579656422025</stp>
        <tr r="AO17" s="4"/>
      </tp>
      <tp t="s">
        <v>#N/A N/A</v>
        <stp/>
        <stp>BDH|5908965442863119828</stp>
        <tr r="Y6" s="4"/>
      </tp>
      <tp t="s">
        <v>#N/A N/A</v>
        <stp/>
        <stp>BDP|8536697568612902922</stp>
        <tr r="T13" s="3"/>
      </tp>
      <tp t="s">
        <v>#N/A N/A</v>
        <stp/>
        <stp>BDH|9689399284528637927</stp>
        <tr r="J23" s="2"/>
      </tp>
      <tp t="s">
        <v>#N/A N/A</v>
        <stp/>
        <stp>BDH|2917795214351267692</stp>
        <tr r="AC28" s="4"/>
      </tp>
      <tp t="s">
        <v>#N/A N/A</v>
        <stp/>
        <stp>BDH|5761264392079907450</stp>
        <tr r="AN25" s="2"/>
      </tp>
      <tp t="s">
        <v>#N/A N/A</v>
        <stp/>
        <stp>BDH|6982791356470978706</stp>
        <tr r="AB9" s="2"/>
      </tp>
      <tp t="s">
        <v>#N/A N/A</v>
        <stp/>
        <stp>BDH|4384739165453062592</stp>
        <tr r="Z17" s="4"/>
      </tp>
      <tp t="s">
        <v>#N/A N/A</v>
        <stp/>
        <stp>BDH|6059532480119752185</stp>
        <tr r="AI35" s="2"/>
      </tp>
      <tp t="s">
        <v>#N/A N/A</v>
        <stp/>
        <stp>BDH|1670037416985825676</stp>
        <tr r="AG24" s="4"/>
      </tp>
      <tp t="s">
        <v>#N/A N/A</v>
        <stp/>
        <stp>BDH|4698696172496509045</stp>
        <tr r="G24" s="4"/>
      </tp>
      <tp t="s">
        <v>#N/A N/A</v>
        <stp/>
        <stp>BDH|4094512564882976614</stp>
        <tr r="D40" s="4"/>
      </tp>
      <tp t="s">
        <v>#N/A N/A</v>
        <stp/>
        <stp>BDH|2738295552491130707</stp>
        <tr r="P21" s="4"/>
      </tp>
      <tp t="s">
        <v>#N/A N/A</v>
        <stp/>
        <stp>BDH|4504574226530695001</stp>
        <tr r="P7" s="2"/>
      </tp>
      <tp t="s">
        <v>#N/A N/A</v>
        <stp/>
        <stp>BDH|7027241402022217468</stp>
        <tr r="K35" s="4"/>
      </tp>
      <tp t="s">
        <v>#N/A N/A</v>
        <stp/>
        <stp>BDH|7348280419833353433</stp>
        <tr r="Q17" s="2"/>
      </tp>
      <tp t="s">
        <v>#N/A N/A</v>
        <stp/>
        <stp>BDP|9628804053731679609</stp>
        <tr r="N15" s="3"/>
      </tp>
      <tp t="s">
        <v>#N/A N/A</v>
        <stp/>
        <stp>BDH|7077128976043447133</stp>
        <tr r="AK19" s="4"/>
      </tp>
      <tp t="s">
        <v>#N/A N/A</v>
        <stp/>
        <stp>BDH|7004513792941883988</stp>
        <tr r="AA21" s="4"/>
      </tp>
      <tp t="s">
        <v>#N/A N/A</v>
        <stp/>
        <stp>BDH|2982622772267887710</stp>
        <tr r="AE38" s="4"/>
      </tp>
      <tp t="s">
        <v>#N/A N/A</v>
        <stp/>
        <stp>BDH|2283162962642369452</stp>
        <tr r="X21" s="2"/>
      </tp>
      <tp t="s">
        <v>#N/A N/A</v>
        <stp/>
        <stp>BDH|8909769811279667486</stp>
        <tr r="Y35" s="2"/>
      </tp>
      <tp t="s">
        <v>#N/A N/A</v>
        <stp/>
        <stp>BDH|5440177472604377429</stp>
        <tr r="P12" s="4"/>
      </tp>
      <tp t="s">
        <v>#N/A N/A</v>
        <stp/>
        <stp>BDH|3608296669930424421</stp>
        <tr r="AI28" s="4"/>
      </tp>
      <tp t="s">
        <v>#N/A N/A</v>
        <stp/>
        <stp>BDP|6736075785275141850</stp>
        <tr r="G15" s="3"/>
      </tp>
      <tp t="s">
        <v>#N/A N/A</v>
        <stp/>
        <stp>BDP|2518418316855154122</stp>
        <tr r="AP9" s="3"/>
      </tp>
      <tp t="s">
        <v>#N/A N/A</v>
        <stp/>
        <stp>BDH|9223095737050948943</stp>
        <tr r="D6" s="4"/>
      </tp>
      <tp t="s">
        <v>#N/A N/A</v>
        <stp/>
        <stp>BDH|8428829780108766300</stp>
        <tr r="AJ19" s="4"/>
      </tp>
      <tp t="s">
        <v>#N/A N/A</v>
        <stp/>
        <stp>BDH|5180550777653299774</stp>
        <tr r="AM24" s="4"/>
      </tp>
      <tp t="s">
        <v>#N/A N/A</v>
        <stp/>
        <stp>BDH|6519424263932234507</stp>
        <tr r="O44" s="4"/>
      </tp>
      <tp t="s">
        <v>#N/A N/A</v>
        <stp/>
        <stp>BDH|1345850213482342909</stp>
        <tr r="V29" s="2"/>
      </tp>
      <tp t="s">
        <v>#N/A N/A</v>
        <stp/>
        <stp>BDH|2009466807533446638</stp>
        <tr r="AE40" s="4"/>
      </tp>
      <tp t="s">
        <v>#N/A N/A</v>
        <stp/>
        <stp>BDH|1759913184234787732</stp>
        <tr r="AC35" s="2"/>
      </tp>
      <tp t="s">
        <v>#N/A N/A</v>
        <stp/>
        <stp>BDP|8517970235521868082</stp>
        <tr r="H19" s="3"/>
      </tp>
      <tp t="s">
        <v>#N/A N/A</v>
        <stp/>
        <stp>BDH|2250547156920079177</stp>
        <tr r="K13" s="2"/>
      </tp>
      <tp t="s">
        <v>#N/A N/A</v>
        <stp/>
        <stp>BDP|5431768244350014524</stp>
        <tr r="Q13" s="3"/>
      </tp>
      <tp t="s">
        <v>#N/A N/A</v>
        <stp/>
        <stp>BDH|9189783266819908222</stp>
        <tr r="G13" s="2"/>
      </tp>
      <tp t="s">
        <v>#N/A N/A</v>
        <stp/>
        <stp>BDH|4395572366460689406</stp>
        <tr r="S35" s="4"/>
      </tp>
      <tp t="s">
        <v>#N/A N/A</v>
        <stp/>
        <stp>BDH|7943603617294975736</stp>
        <tr r="D10" s="4"/>
      </tp>
      <tp t="s">
        <v>#N/A N/A</v>
        <stp/>
        <stp>BDH|5573044376319699853</stp>
        <tr r="H33" s="4"/>
      </tp>
      <tp t="s">
        <v>#N/A N/A</v>
        <stp/>
        <stp>BDH|6354800582900087559</stp>
        <tr r="AH28" s="4"/>
      </tp>
      <tp t="s">
        <v>#N/A N/A</v>
        <stp/>
        <stp>BDH|9950167384244994778</stp>
        <tr r="AC26" s="4"/>
      </tp>
      <tp t="s">
        <v>#N/A N/A</v>
        <stp/>
        <stp>BDH|1131397129500630320</stp>
        <tr r="T35" s="4"/>
      </tp>
    </main>
    <main first="bofaddin.rtdserver">
      <tp t="s">
        <v>#N/A N/A</v>
        <stp/>
        <stp>BDP|94637450477724024</stp>
        <tr r="AP11" s="3"/>
      </tp>
    </main>
    <main first="bofaddin.rtdserver">
      <tp t="s">
        <v>#N/A N/A</v>
        <stp/>
        <stp>BDH|291542019148313986</stp>
        <tr r="F33" s="4"/>
      </tp>
      <tp t="s">
        <v>#N/A N/A</v>
        <stp/>
        <stp>BDH|279106325326799051</stp>
        <tr r="J28" s="4"/>
      </tp>
      <tp t="s">
        <v>#N/A N/A</v>
        <stp/>
        <stp>BDH|928287173476519625</stp>
        <tr r="AA7" s="2"/>
      </tp>
      <tp t="s">
        <v>#N/A N/A</v>
        <stp/>
        <stp>BDH|920520902258935873</stp>
        <tr r="G19" s="2"/>
      </tp>
      <tp t="s">
        <v>#N/A N/A</v>
        <stp/>
        <stp>BDH|762608551461563705</stp>
        <tr r="AB40" s="4"/>
      </tp>
      <tp t="s">
        <v>#N/A N/A</v>
        <stp/>
        <stp>BDH|312903955989493014</stp>
        <tr r="AB14" s="4"/>
      </tp>
      <tp t="s">
        <v>#N/A N/A</v>
        <stp/>
        <stp>BDH|920286002326630160</stp>
        <tr r="H10" s="4"/>
      </tp>
      <tp t="s">
        <v>#N/A N/A</v>
        <stp/>
        <stp>BDH|345781450973069570</stp>
        <tr r="N42" s="4"/>
      </tp>
      <tp t="s">
        <v>#N/A N/A</v>
        <stp/>
        <stp>BDH|602999287082493749</stp>
        <tr r="AA24" s="4"/>
      </tp>
      <tp t="s">
        <v>#N/A N/A</v>
        <stp/>
        <stp>BDH|980349991027075981</stp>
        <tr r="D42" s="4"/>
      </tp>
      <tp t="s">
        <v>#N/A N/A</v>
        <stp/>
        <stp>BDP|239720093169157322</stp>
        <tr r="G21" s="3"/>
      </tp>
      <tp t="s">
        <v>#N/A N/A</v>
        <stp/>
        <stp>BDH|268603853950728772</stp>
        <tr r="P38" s="4"/>
      </tp>
      <tp t="s">
        <v>#N/A N/A</v>
        <stp/>
        <stp>BDH|363194829237864084</stp>
        <tr r="T33" s="4"/>
      </tp>
      <tp t="s">
        <v>#N/A N/A</v>
        <stp/>
        <stp>BDP|178099317755594096</stp>
        <tr r="K19" s="3"/>
      </tp>
      <tp t="s">
        <v>#N/A N/A</v>
        <stp/>
        <stp>BDH|634779308142821283</stp>
        <tr r="AH11" s="2"/>
      </tp>
      <tp t="s">
        <v>#N/A N/A</v>
        <stp/>
        <stp>BDH|394064844541074288</stp>
        <tr r="AG17" s="2"/>
      </tp>
      <tp t="s">
        <v>#N/A N/A</v>
        <stp/>
        <stp>BDH|844427536217012769</stp>
        <tr r="AE25" s="2"/>
      </tp>
      <tp t="s">
        <v>#N/A N/A</v>
        <stp/>
        <stp>BDH|964321511401795475</stp>
        <tr r="W31" s="4"/>
      </tp>
      <tp t="s">
        <v>#N/A N/A</v>
        <stp/>
        <stp>BDH|499329465887294558</stp>
        <tr r="AI29" s="2"/>
      </tp>
      <tp t="s">
        <v>#N/A N/A</v>
        <stp/>
        <stp>BDH|707728814792553348</stp>
        <tr r="G21" s="2"/>
      </tp>
    </main>
    <main first="bofaddin.rtdserver">
      <tp t="s">
        <v>#N/A N/A</v>
        <stp/>
        <stp>BDH|679431769853091745</stp>
        <tr r="Y13" s="2"/>
      </tp>
      <tp t="s">
        <v>#N/A N/A</v>
        <stp/>
        <stp>BDH|348136777563490369</stp>
        <tr r="S26" s="4"/>
      </tp>
      <tp t="s">
        <v>#N/A N/A</v>
        <stp/>
        <stp>BDH|648833699232641592</stp>
        <tr r="AP27" s="2"/>
      </tp>
    </main>
    <main first="bofaddin.rtdserver">
      <tp t="s">
        <v>#N/A N/A</v>
        <stp/>
        <stp>BDH|433286801726422549</stp>
        <tr r="AF14" s="4"/>
      </tp>
      <tp t="s">
        <v>#N/A N/A</v>
        <stp/>
        <stp>BDH|702219641286398133</stp>
        <tr r="AD42" s="4"/>
      </tp>
      <tp t="s">
        <v>#N/A N/A</v>
        <stp/>
        <stp>BDP|300086670980553727</stp>
        <tr r="N11" s="3"/>
      </tp>
      <tp t="s">
        <v>#N/A N/A</v>
        <stp/>
        <stp>BDH|991199650193943755</stp>
        <tr r="L37" s="2"/>
      </tp>
      <tp t="s">
        <v>#N/A N/A</v>
        <stp/>
        <stp>BDH|343117446636965307</stp>
        <tr r="AI26" s="4"/>
      </tp>
      <tp t="s">
        <v>#N/A N/A</v>
        <stp/>
        <stp>BDH|195236735088526996</stp>
        <tr r="H23" s="2"/>
      </tp>
      <tp t="s">
        <v>#N/A N/A</v>
        <stp/>
        <stp>BDH|423348627545879449</stp>
        <tr r="P21" s="2"/>
      </tp>
      <tp t="s">
        <v>#N/A N/A</v>
        <stp/>
        <stp>BDH|332082449913497725</stp>
        <tr r="N21" s="4"/>
      </tp>
      <tp t="s">
        <v>#N/A N/A</v>
        <stp/>
        <stp>BDP|403356734345435579</stp>
        <tr r="AJ13" s="3"/>
      </tp>
      <tp t="s">
        <v>#N/A N/A</v>
        <stp/>
        <stp>BDH|260358899628135287</stp>
        <tr r="L7" s="2"/>
      </tp>
      <tp t="s">
        <v>#N/A N/A</v>
        <stp/>
        <stp>BDH|921198505549296800</stp>
        <tr r="X44" s="4"/>
      </tp>
      <tp t="s">
        <v>#N/A N/A</v>
        <stp/>
        <stp>BDH|909794902226669162</stp>
        <tr r="K19" s="2"/>
      </tp>
      <tp t="s">
        <v>#N/A N/A</v>
        <stp/>
        <stp>BDH|716742014185607324</stp>
        <tr r="AI33" s="4"/>
      </tp>
      <tp t="s">
        <v>#N/A N/A</v>
        <stp/>
        <stp>BDH|671402494378965640</stp>
        <tr r="G17" s="2"/>
      </tp>
      <tp t="s">
        <v>#N/A N/A</v>
        <stp/>
        <stp>BDH|802911825171254992</stp>
        <tr r="I6" s="4"/>
      </tp>
      <tp t="s">
        <v>#N/A N/A</v>
        <stp/>
        <stp>BDH|406143528430852017</stp>
        <tr r="P35" s="4"/>
      </tp>
    </main>
    <main first="bofaddin.rtdserver">
      <tp t="s">
        <v>#N/A N/A</v>
        <stp/>
        <stp>BDH|339228300191624181</stp>
        <tr r="J40" s="4"/>
      </tp>
      <tp t="s">
        <v>#N/A N/A</v>
        <stp/>
        <stp>BDH|848020705575685768</stp>
        <tr r="AD19" s="2"/>
      </tp>
      <tp t="s">
        <v>#N/A N/A</v>
        <stp/>
        <stp>BDH|556126931524906402</stp>
        <tr r="AH21" s="4"/>
      </tp>
      <tp t="s">
        <v>#N/A N/A</v>
        <stp/>
        <stp>BDH|522187306325079604</stp>
        <tr r="AO14" s="4"/>
      </tp>
      <tp t="s">
        <v>#N/A N/A</v>
        <stp/>
        <stp>BDH|185337852885577104</stp>
        <tr r="AL23" s="2"/>
      </tp>
      <tp t="s">
        <v>#N/A N/A</v>
        <stp/>
        <stp>BDH|911014618676687505</stp>
        <tr r="AC27" s="2"/>
      </tp>
      <tp t="s">
        <v>#N/A N/A</v>
        <stp/>
        <stp>BDH|294075156581407604</stp>
        <tr r="Z31" s="2"/>
      </tp>
      <tp t="s">
        <v>#N/A N/A</v>
        <stp/>
        <stp>BDH|666887255847047777</stp>
        <tr r="AE6" s="4"/>
      </tp>
      <tp t="s">
        <v>#N/A N/A</v>
        <stp/>
        <stp>BDP|388337840338152293</stp>
        <tr r="G13" s="3"/>
      </tp>
      <tp t="s">
        <v>#N/A N/A</v>
        <stp/>
        <stp>BDH|330838268995292637</stp>
        <tr r="K11" s="2"/>
      </tp>
      <tp t="s">
        <v>#N/A N/A</v>
        <stp/>
        <stp>BDH|807251535478405484</stp>
        <tr r="D26" s="4"/>
      </tp>
      <tp t="s">
        <v>#N/A N/A</v>
        <stp/>
        <stp>BDP|674210525834406974</stp>
        <tr r="H13" s="3"/>
      </tp>
      <tp t="s">
        <v>#N/A N/A</v>
        <stp/>
        <stp>BDH|788134523926522837</stp>
        <tr r="AA26" s="4"/>
      </tp>
    </main>
    <main first="bofaddin.rtdserver">
      <tp t="s">
        <v>#N/A N/A</v>
        <stp/>
        <stp>BDH|100795451716901870</stp>
        <tr r="G35" s="2"/>
      </tp>
      <tp t="s">
        <v>#N/A N/A</v>
        <stp/>
        <stp>BDP|278130387150501515</stp>
        <tr r="R13" s="3"/>
      </tp>
    </main>
    <main first="bofaddin.rtdserver">
      <tp t="s">
        <v>#N/A N/A</v>
        <stp/>
        <stp>BDH|605371999060946558</stp>
        <tr r="X6" s="4"/>
      </tp>
    </main>
    <main first="bofaddin.rtdserver">
      <tp t="s">
        <v>#N/A N/A</v>
        <stp/>
        <stp>BDH|196559134591352937</stp>
        <tr r="E9" s="2"/>
      </tp>
      <tp t="s">
        <v>#N/A N/A</v>
        <stp/>
        <stp>BDH|925988932102109635</stp>
        <tr r="AN35" s="4"/>
      </tp>
      <tp t="s">
        <v>#N/A N/A</v>
        <stp/>
        <stp>BDH|287216682615280100</stp>
        <tr r="C17" s="2"/>
      </tp>
      <tp t="s">
        <v>#N/A N/A</v>
        <stp/>
        <stp>BDH|451915974355921258</stp>
        <tr r="N40" s="4"/>
      </tp>
      <tp t="s">
        <v>#N/A N/A</v>
        <stp/>
        <stp>BDP|518327850229869600</stp>
        <tr r="AD9" s="3"/>
      </tp>
      <tp t="s">
        <v>#N/A N/A</v>
        <stp/>
        <stp>BDH|186106892712588310</stp>
        <tr r="W29" s="2"/>
      </tp>
      <tp t="s">
        <v>#N/A N/A</v>
        <stp/>
        <stp>BDH|594707387672530516</stp>
        <tr r="T28" s="4"/>
      </tp>
      <tp t="s">
        <v>#N/A N/A</v>
        <stp/>
        <stp>BDH|495677539715842825</stp>
        <tr r="E10" s="4"/>
      </tp>
    </main>
    <main first="bofaddin.rtdserver">
      <tp t="s">
        <v>#N/A N/A</v>
        <stp/>
        <stp>BDH|891945375355203059</stp>
        <tr r="C19" s="2"/>
      </tp>
      <tp t="s">
        <v>#N/A N/A</v>
        <stp/>
        <stp>BDH|431347947884797853</stp>
        <tr r="AI42" s="4"/>
      </tp>
      <tp t="s">
        <v>#N/A N/A</v>
        <stp/>
        <stp>BDH|735372253764215965</stp>
        <tr r="AK33" s="4"/>
      </tp>
      <tp t="s">
        <v>#N/A N/A</v>
        <stp/>
        <stp>BDH|979336088330437011</stp>
        <tr r="O31" s="2"/>
      </tp>
      <tp t="s">
        <v>#N/A N/A</v>
        <stp/>
        <stp>BDH|414111815193161818</stp>
        <tr r="AK28" s="4"/>
      </tp>
    </main>
    <main first="bofaddin.rtdserver">
      <tp t="s">
        <v>#N/A N/A</v>
        <stp/>
        <stp>BDH|213716258868241078</stp>
        <tr r="AI11" s="2"/>
      </tp>
      <tp t="s">
        <v>#N/A N/A</v>
        <stp/>
        <stp>BDH|237128598977659518</stp>
        <tr r="S38" s="4"/>
      </tp>
      <tp t="s">
        <v>#N/A N/A</v>
        <stp/>
        <stp>BDH|460607749459735128</stp>
        <tr r="T3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11" t="s">
        <v>2</v>
      </c>
      <c r="B4" s="11"/>
      <c r="C4" s="12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12" t="s">
        <v>10</v>
      </c>
      <c r="K4" s="12" t="s">
        <v>11</v>
      </c>
      <c r="L4" s="12" t="s">
        <v>12</v>
      </c>
      <c r="M4" s="12" t="s">
        <v>13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  <c r="X4" s="12" t="s">
        <v>24</v>
      </c>
      <c r="Y4" s="12" t="s">
        <v>25</v>
      </c>
      <c r="Z4" s="12" t="s">
        <v>26</v>
      </c>
      <c r="AA4" s="12" t="s">
        <v>27</v>
      </c>
      <c r="AB4" s="12" t="s">
        <v>28</v>
      </c>
      <c r="AC4" s="12" t="s">
        <v>29</v>
      </c>
      <c r="AD4" s="12" t="s">
        <v>30</v>
      </c>
      <c r="AE4" s="12" t="s">
        <v>31</v>
      </c>
      <c r="AF4" s="12" t="s">
        <v>32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37</v>
      </c>
      <c r="AL4" s="12" t="s">
        <v>38</v>
      </c>
      <c r="AM4" s="12" t="s">
        <v>39</v>
      </c>
      <c r="AN4" s="12" t="s">
        <v>40</v>
      </c>
      <c r="AO4" s="12" t="s">
        <v>41</v>
      </c>
      <c r="AP4" s="12" t="s">
        <v>42</v>
      </c>
    </row>
    <row r="5" spans="1:42" x14ac:dyDescent="0.25">
      <c r="A5" s="17" t="s">
        <v>43</v>
      </c>
      <c r="B5" s="17"/>
      <c r="C5" s="13" t="s">
        <v>44</v>
      </c>
      <c r="D5" s="13" t="s">
        <v>45</v>
      </c>
      <c r="E5" s="13" t="s">
        <v>46</v>
      </c>
      <c r="F5" s="13" t="s">
        <v>47</v>
      </c>
      <c r="G5" s="13" t="s">
        <v>48</v>
      </c>
      <c r="H5" s="13" t="s">
        <v>49</v>
      </c>
      <c r="I5" s="13" t="s">
        <v>50</v>
      </c>
      <c r="J5" s="13" t="s">
        <v>51</v>
      </c>
      <c r="K5" s="13" t="s">
        <v>52</v>
      </c>
      <c r="L5" s="13" t="s">
        <v>53</v>
      </c>
      <c r="M5" s="13" t="s">
        <v>54</v>
      </c>
      <c r="N5" s="13" t="s">
        <v>55</v>
      </c>
      <c r="O5" s="13" t="s">
        <v>56</v>
      </c>
      <c r="P5" s="13" t="s">
        <v>57</v>
      </c>
      <c r="Q5" s="13" t="s">
        <v>58</v>
      </c>
      <c r="R5" s="13" t="s">
        <v>59</v>
      </c>
      <c r="S5" s="13" t="s">
        <v>60</v>
      </c>
      <c r="T5" s="13" t="s">
        <v>61</v>
      </c>
      <c r="U5" s="13" t="s">
        <v>62</v>
      </c>
      <c r="V5" s="13" t="s">
        <v>63</v>
      </c>
      <c r="W5" s="13" t="s">
        <v>64</v>
      </c>
      <c r="X5" s="13" t="s">
        <v>65</v>
      </c>
      <c r="Y5" s="13" t="s">
        <v>66</v>
      </c>
      <c r="Z5" s="13" t="s">
        <v>67</v>
      </c>
      <c r="AA5" s="13" t="s">
        <v>68</v>
      </c>
      <c r="AB5" s="13" t="s">
        <v>69</v>
      </c>
      <c r="AC5" s="13" t="s">
        <v>70</v>
      </c>
      <c r="AD5" s="13" t="s">
        <v>71</v>
      </c>
      <c r="AE5" s="13" t="s">
        <v>72</v>
      </c>
      <c r="AF5" s="13" t="s">
        <v>73</v>
      </c>
      <c r="AG5" s="13" t="s">
        <v>74</v>
      </c>
      <c r="AH5" s="13" t="s">
        <v>75</v>
      </c>
      <c r="AI5" s="13" t="s">
        <v>76</v>
      </c>
      <c r="AJ5" s="13" t="s">
        <v>77</v>
      </c>
      <c r="AK5" s="13" t="s">
        <v>78</v>
      </c>
      <c r="AL5" s="13" t="s">
        <v>79</v>
      </c>
      <c r="AM5" s="13" t="s">
        <v>80</v>
      </c>
      <c r="AN5" s="13" t="s">
        <v>81</v>
      </c>
      <c r="AO5" s="13" t="s">
        <v>82</v>
      </c>
      <c r="AP5" s="13" t="s">
        <v>83</v>
      </c>
    </row>
    <row r="6" spans="1:42" x14ac:dyDescent="0.25">
      <c r="A6" s="14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18" t="s">
        <v>85</v>
      </c>
      <c r="B7" s="18" t="s">
        <v>86</v>
      </c>
      <c r="C7" s="21">
        <f>_xll.BDH("AMZN US Equity","RETURN_COM_EQY","FQ2 2011","FQ2 2011","Currency=USD","Period=FQ","BEST_FPERIOD_OVERRIDE=FQ","FILING_STATUS=MR","FA_ADJUSTED=GAAP","Sort=A","Dates=H","DateFormat=P","Fill=—","Direction=H","UseDPDF=Y")</f>
        <v>15.2547</v>
      </c>
      <c r="D7" s="21">
        <f>_xll.BDH("AMZN US Equity","RETURN_COM_EQY","FQ3 2011","FQ3 2011","Currency=USD","Period=FQ","BEST_FPERIOD_OVERRIDE=FQ","FILING_STATUS=MR","FA_ADJUSTED=GAAP","Sort=A","Dates=H","DateFormat=P","Fill=—","Direction=H","UseDPDF=Y")</f>
        <v>12.2997</v>
      </c>
      <c r="E7" s="21">
        <f>_xll.BDH("AMZN US Equity","RETURN_COM_EQY","FQ4 2011","FQ4 2011","Currency=USD","Period=FQ","BEST_FPERIOD_OVERRIDE=FQ","FILING_STATUS=MR","FA_ADJUSTED=GAAP","Sort=A","Dates=H","DateFormat=P","Fill=—","Direction=H","UseDPDF=Y")</f>
        <v>8.6450999999999993</v>
      </c>
      <c r="F7" s="21">
        <f>_xll.BDH("AMZN US Equity","RETURN_COM_EQY","FQ1 2012","FQ1 2012","Currency=USD","Period=FQ","BEST_FPERIOD_OVERRIDE=FQ","FILING_STATUS=MR","FA_ADJUSTED=GAAP","Sort=A","Dates=H","DateFormat=P","Fill=—","Direction=H","UseDPDF=Y")</f>
        <v>7.6754999999999995</v>
      </c>
      <c r="G7" s="21">
        <f>_xll.BDH("AMZN US Equity","RETURN_COM_EQY","FQ2 2012","FQ2 2012","Currency=USD","Period=FQ","BEST_FPERIOD_OVERRIDE=FQ","FILING_STATUS=MR","FA_ADJUSTED=GAAP","Sort=A","Dates=H","DateFormat=P","Fill=—","Direction=H","UseDPDF=Y")</f>
        <v>4.9378000000000002</v>
      </c>
      <c r="H7" s="21">
        <f>_xll.BDH("AMZN US Equity","RETURN_COM_EQY","FQ3 2012","FQ3 2012","Currency=USD","Period=FQ","BEST_FPERIOD_OVERRIDE=FQ","FILING_STATUS=MR","FA_ADJUSTED=GAAP","Sort=A","Dates=H","DateFormat=P","Fill=—","Direction=H","UseDPDF=Y")</f>
        <v>0.5222</v>
      </c>
      <c r="I7" s="21">
        <f>_xll.BDH("AMZN US Equity","RETURN_COM_EQY","FQ4 2012","FQ4 2012","Currency=USD","Period=FQ","BEST_FPERIOD_OVERRIDE=FQ","FILING_STATUS=MR","FA_ADJUSTED=GAAP","Sort=A","Dates=H","DateFormat=P","Fill=—","Direction=H","UseDPDF=Y")</f>
        <v>-0.50160000000000005</v>
      </c>
      <c r="J7" s="21">
        <f>_xll.BDH("AMZN US Equity","RETURN_COM_EQY","FQ1 2013","FQ1 2013","Currency=USD","Period=FQ","BEST_FPERIOD_OVERRIDE=FQ","FILING_STATUS=MR","FA_ADJUSTED=GAAP","Sort=A","Dates=H","DateFormat=P","Fill=—","Direction=H","UseDPDF=Y")</f>
        <v>-1.1208</v>
      </c>
      <c r="K7" s="21">
        <f>_xll.BDH("AMZN US Equity","RETURN_COM_EQY","FQ2 2013","FQ2 2013","Currency=USD","Period=FQ","BEST_FPERIOD_OVERRIDE=FQ","FILING_STATUS=MR","FA_ADJUSTED=GAAP","Sort=A","Dates=H","DateFormat=P","Fill=—","Direction=H","UseDPDF=Y")</f>
        <v>-1.2563</v>
      </c>
      <c r="L7" s="21">
        <f>_xll.BDH("AMZN US Equity","RETURN_COM_EQY","FQ3 2013","FQ3 2013","Currency=USD","Period=FQ","BEST_FPERIOD_OVERRIDE=FQ","FILING_STATUS=MR","FA_ADJUSTED=GAAP","Sort=A","Dates=H","DateFormat=P","Fill=—","Direction=H","UseDPDF=Y")</f>
        <v>1.5745</v>
      </c>
      <c r="M7" s="21">
        <f>_xll.BDH("AMZN US Equity","RETURN_COM_EQY","FQ4 2013","FQ4 2013","Currency=USD","Period=FQ","BEST_FPERIOD_OVERRIDE=FQ","FILING_STATUS=MR","FA_ADJUSTED=GAAP","Sort=A","Dates=H","DateFormat=P","Fill=—","Direction=H","UseDPDF=Y")</f>
        <v>3.0438000000000001</v>
      </c>
      <c r="N7" s="21">
        <f>_xll.BDH("AMZN US Equity","RETURN_COM_EQY","FQ1 2014","FQ1 2014","Currency=USD","Period=FQ","BEST_FPERIOD_OVERRIDE=FQ","FILING_STATUS=MR","FA_ADJUSTED=GAAP","Sort=A","Dates=H","DateFormat=P","Fill=—","Direction=H","UseDPDF=Y")</f>
        <v>3.1875999999999998</v>
      </c>
      <c r="O7" s="21">
        <f>_xll.BDH("AMZN US Equity","RETURN_COM_EQY","FQ2 2014","FQ2 2014","Currency=USD","Period=FQ","BEST_FPERIOD_OVERRIDE=FQ","FILING_STATUS=MR","FA_ADJUSTED=GAAP","Sort=A","Dates=H","DateFormat=P","Fill=—","Direction=H","UseDPDF=Y")</f>
        <v>1.8618999999999999</v>
      </c>
      <c r="P7" s="21">
        <f>_xll.BDH("AMZN US Equity","RETURN_COM_EQY","FQ3 2014","FQ3 2014","Currency=USD","Period=FQ","BEST_FPERIOD_OVERRIDE=FQ","FILING_STATUS=MR","FA_ADJUSTED=GAAP","Sort=A","Dates=H","DateFormat=P","Fill=—","Direction=H","UseDPDF=Y")</f>
        <v>-2.2242000000000002</v>
      </c>
      <c r="Q7" s="21">
        <f>_xll.BDH("AMZN US Equity","RETURN_COM_EQY","FQ4 2014","FQ4 2014","Currency=USD","Period=FQ","BEST_FPERIOD_OVERRIDE=FQ","FILING_STATUS=MR","FA_ADJUSTED=GAAP","Sort=A","Dates=H","DateFormat=P","Fill=—","Direction=H","UseDPDF=Y")</f>
        <v>-2.3527</v>
      </c>
      <c r="R7" s="21">
        <f>_xll.BDH("AMZN US Equity","RETURN_COM_EQY","FQ1 2015","FQ1 2015","Currency=USD","Period=FQ","BEST_FPERIOD_OVERRIDE=FQ","FILING_STATUS=MR","FA_ADJUSTED=GAAP","Sort=A","Dates=H","DateFormat=P","Fill=—","Direction=H","UseDPDF=Y")</f>
        <v>-3.83</v>
      </c>
      <c r="S7" s="21">
        <f>_xll.BDH("AMZN US Equity","RETURN_COM_EQY","FQ2 2015","FQ2 2015","Currency=USD","Period=FQ","BEST_FPERIOD_OVERRIDE=FQ","FILING_STATUS=MR","FA_ADJUSTED=GAAP","Sort=A","Dates=H","DateFormat=P","Fill=—","Direction=H","UseDPDF=Y")</f>
        <v>-1.6808000000000001</v>
      </c>
      <c r="T7" s="21">
        <f>_xll.BDH("AMZN US Equity","RETURN_COM_EQY","FQ3 2015","FQ3 2015","Currency=USD","Period=FQ","BEST_FPERIOD_OVERRIDE=FQ","FILING_STATUS=MR","FA_ADJUSTED=GAAP","Sort=A","Dates=H","DateFormat=P","Fill=—","Direction=H","UseDPDF=Y")</f>
        <v>2.8815</v>
      </c>
      <c r="U7" s="21">
        <f>_xll.BDH("AMZN US Equity","RETURN_COM_EQY","FQ4 2015","FQ4 2015","Currency=USD","Period=FQ","BEST_FPERIOD_OVERRIDE=FQ","FILING_STATUS=MR","FA_ADJUSTED=GAAP","Sort=A","Dates=H","DateFormat=P","Fill=—","Direction=H","UseDPDF=Y")</f>
        <v>4.9409000000000001</v>
      </c>
      <c r="V7" s="21">
        <f>_xll.BDH("AMZN US Equity","RETURN_COM_EQY","FQ1 2016","FQ1 2016","Currency=USD","Period=FQ","BEST_FPERIOD_OVERRIDE=FQ","FILING_STATUS=MR","FA_ADJUSTED=GAAP","Sort=A","Dates=H","DateFormat=P","Fill=—","Direction=H","UseDPDF=Y")</f>
        <v>9.0991</v>
      </c>
      <c r="W7" s="21">
        <f>_xll.BDH("AMZN US Equity","RETURN_COM_EQY","FQ2 2016","FQ2 2016","Currency=USD","Period=FQ","BEST_FPERIOD_OVERRIDE=FQ","FILING_STATUS=MR","FA_ADJUSTED=GAAP","Sort=A","Dates=H","DateFormat=P","Fill=—","Direction=H","UseDPDF=Y")</f>
        <v>13.643800000000001</v>
      </c>
      <c r="X7" s="21">
        <f>_xll.BDH("AMZN US Equity","RETURN_COM_EQY","FQ3 2016","FQ3 2016","Currency=USD","Period=FQ","BEST_FPERIOD_OVERRIDE=FQ","FILING_STATUS=MR","FA_ADJUSTED=GAAP","Sort=A","Dates=H","DateFormat=P","Fill=—","Direction=H","UseDPDF=Y")</f>
        <v>13.9282</v>
      </c>
      <c r="Y7" s="21">
        <f>_xll.BDH("AMZN US Equity","RETURN_COM_EQY","FQ4 2016","FQ4 2016","Currency=USD","Period=FQ","BEST_FPERIOD_OVERRIDE=FQ","FILING_STATUS=MR","FA_ADJUSTED=GAAP","Sort=A","Dates=H","DateFormat=P","Fill=—","Direction=H","UseDPDF=Y")</f>
        <v>14.5153</v>
      </c>
      <c r="Z7" s="21">
        <f>_xll.BDH("AMZN US Equity","RETURN_COM_EQY","FQ1 2017","FQ1 2017","Currency=USD","Period=FQ","BEST_FPERIOD_OVERRIDE=FQ","FILING_STATUS=MR","FA_ADJUSTED=GAAP","Sort=A","Dates=H","DateFormat=P","Fill=—","Direction=H","UseDPDF=Y")</f>
        <v>14.1751</v>
      </c>
      <c r="AA7" s="21">
        <f>_xll.BDH("AMZN US Equity","RETURN_COM_EQY","FQ2 2017","FQ2 2017","Currency=USD","Period=FQ","BEST_FPERIOD_OVERRIDE=FQ","FILING_STATUS=MR","FA_ADJUSTED=GAAP","Sort=A","Dates=H","DateFormat=P","Fill=—","Direction=H","UseDPDF=Y")</f>
        <v>9.67</v>
      </c>
      <c r="AB7" s="21">
        <f>_xll.BDH("AMZN US Equity","RETURN_COM_EQY","FQ3 2017","FQ3 2017","Currency=USD","Period=FQ","BEST_FPERIOD_OVERRIDE=FQ","FILING_STATUS=MR","FA_ADJUSTED=GAAP","Sort=A","Dates=H","DateFormat=P","Fill=—","Direction=H","UseDPDF=Y")</f>
        <v>9.0762999999999998</v>
      </c>
      <c r="AC7" s="21">
        <f>_xll.BDH("AMZN US Equity","RETURN_COM_EQY","FQ4 2017","FQ4 2017","Currency=USD","Period=FQ","BEST_FPERIOD_OVERRIDE=FQ","FILING_STATUS=MR","FA_ADJUSTED=GAAP","Sort=A","Dates=H","DateFormat=P","Fill=—","Direction=H","UseDPDF=Y")</f>
        <v>12.907999999999999</v>
      </c>
      <c r="AD7" s="21">
        <f>_xll.BDH("AMZN US Equity","RETURN_COM_EQY","FQ1 2018","FQ1 2018","Currency=USD","Period=FQ","BEST_FPERIOD_OVERRIDE=FQ","FILING_STATUS=MR","FA_ADJUSTED=GAAP","Sort=A","Dates=H","DateFormat=P","Fill=—","Direction=H","UseDPDF=Y")</f>
        <v>14.822100000000001</v>
      </c>
      <c r="AE7" s="21">
        <f>_xll.BDH("AMZN US Equity","RETURN_COM_EQY","FQ2 2018","FQ2 2018","Currency=USD","Period=FQ","BEST_FPERIOD_OVERRIDE=FQ","FILING_STATUS=MR","FA_ADJUSTED=GAAP","Sort=A","Dates=H","DateFormat=P","Fill=—","Direction=H","UseDPDF=Y")</f>
        <v>21.560200000000002</v>
      </c>
      <c r="AF7" s="21">
        <f>_xll.BDH("AMZN US Equity","RETURN_COM_EQY","FQ3 2018","FQ3 2018","Currency=USD","Period=FQ","BEST_FPERIOD_OVERRIDE=FQ","FILING_STATUS=MR","FA_ADJUSTED=GAAP","Sort=A","Dates=H","DateFormat=P","Fill=—","Direction=H","UseDPDF=Y")</f>
        <v>27.913399999999999</v>
      </c>
      <c r="AG7" s="21">
        <f>_xll.BDH("AMZN US Equity","RETURN_COM_EQY","FQ4 2018","FQ4 2018","Currency=USD","Period=FQ","BEST_FPERIOD_OVERRIDE=FQ","FILING_STATUS=MR","FA_ADJUSTED=GAAP","Sort=A","Dates=H","DateFormat=P","Fill=—","Direction=H","UseDPDF=Y")</f>
        <v>28.271899999999999</v>
      </c>
      <c r="AH7" s="21">
        <f>_xll.BDH("AMZN US Equity","RETURN_COM_EQY","FQ1 2019","FQ1 2019","Currency=USD","Period=FQ","BEST_FPERIOD_OVERRIDE=FQ","FILING_STATUS=MR","FA_ADJUSTED=GAAP","Sort=A","Dates=H","DateFormat=P","Fill=—","Direction=H","UseDPDF=Y")</f>
        <v>30.060199999999998</v>
      </c>
      <c r="AI7" s="21">
        <f>_xll.BDH("AMZN US Equity","RETURN_COM_EQY","FQ2 2019","FQ2 2019","Currency=USD","Period=FQ","BEST_FPERIOD_OVERRIDE=FQ","FILING_STATUS=MR","FA_ADJUSTED=GAAP","Sort=A","Dates=H","DateFormat=P","Fill=—","Direction=H","UseDPDF=Y")</f>
        <v>27.473400000000002</v>
      </c>
      <c r="AJ7" s="21">
        <f>_xll.BDH("AMZN US Equity","RETURN_COM_EQY","FQ3 2019","FQ3 2019","Currency=USD","Period=FQ","BEST_FPERIOD_OVERRIDE=FQ","FILING_STATUS=MR","FA_ADJUSTED=GAAP","Sort=A","Dates=H","DateFormat=P","Fill=—","Direction=H","UseDPDF=Y")</f>
        <v>23.7303</v>
      </c>
      <c r="AK7" s="21">
        <f>_xll.BDH("AMZN US Equity","RETURN_COM_EQY","FQ4 2019","FQ4 2019","Currency=USD","Period=FQ","BEST_FPERIOD_OVERRIDE=FQ","FILING_STATUS=MR","FA_ADJUSTED=GAAP","Sort=A","Dates=H","DateFormat=P","Fill=—","Direction=H","UseDPDF=Y")</f>
        <v>21.9451</v>
      </c>
      <c r="AL7" s="21">
        <f>_xll.BDH("AMZN US Equity","RETURN_COM_EQY","FQ1 2020","FQ1 2020","Currency=USD","Period=FQ","BEST_FPERIOD_OVERRIDE=FQ","FILING_STATUS=MR","FA_ADJUSTED=GAAP","Sort=A","Dates=H","DateFormat=P","Fill=—","Direction=H","UseDPDF=Y")</f>
        <v>18.581700000000001</v>
      </c>
      <c r="AM7" s="21">
        <f>_xll.BDH("AMZN US Equity","RETURN_COM_EQY","FQ2 2020","FQ2 2020","Currency=USD","Period=FQ","BEST_FPERIOD_OVERRIDE=FQ","FILING_STATUS=MR","FA_ADJUSTED=GAAP","Sort=A","Dates=H","DateFormat=P","Fill=—","Direction=H","UseDPDF=Y")</f>
        <v>20.790399999999998</v>
      </c>
      <c r="AN7" s="21">
        <f>_xll.BDH("AMZN US Equity","RETURN_COM_EQY","FQ3 2020","FQ3 2020","Currency=USD","Period=FQ","BEST_FPERIOD_OVERRIDE=FQ","FILING_STATUS=MR","FA_ADJUSTED=GAAP","Sort=A","Dates=H","DateFormat=P","Fill=—","Direction=H","UseDPDF=Y")</f>
        <v>24.952100000000002</v>
      </c>
      <c r="AO7" s="21">
        <f>_xll.BDH("AMZN US Equity","RETURN_COM_EQY","FQ4 2020","FQ4 2020","Currency=USD","Period=FQ","BEST_FPERIOD_OVERRIDE=FQ","FILING_STATUS=MR","FA_ADJUSTED=GAAP","Sort=A","Dates=H","DateFormat=P","Fill=—","Direction=H","UseDPDF=Y")</f>
        <v>27.441700000000001</v>
      </c>
      <c r="AP7" s="21">
        <f>_xll.BDH("AMZN US Equity","RETURN_COM_EQY","FQ1 2021","FQ1 2021","Currency=USD","Period=FQ","BEST_FPERIOD_OVERRIDE=FQ","FILING_STATUS=MR","FA_ADJUSTED=GAAP","Sort=A","Dates=H","DateFormat=P","Fill=—","Direction=H","UseDPDF=Y")</f>
        <v>31.914899999999999</v>
      </c>
    </row>
    <row r="8" spans="1:42" x14ac:dyDescent="0.25">
      <c r="A8" s="19" t="s">
        <v>87</v>
      </c>
      <c r="B8" s="19" t="s">
        <v>86</v>
      </c>
      <c r="C8" s="23">
        <v>-36.172451266893198</v>
      </c>
      <c r="D8" s="23">
        <v>-45.238561560867801</v>
      </c>
      <c r="E8" s="23">
        <v>-54.558865247332299</v>
      </c>
      <c r="F8" s="23">
        <v>-52.8376975511203</v>
      </c>
      <c r="G8" s="23">
        <v>-67.631119124652102</v>
      </c>
      <c r="H8" s="23">
        <v>-95.754132595925</v>
      </c>
      <c r="I8" s="23" t="s">
        <v>88</v>
      </c>
      <c r="J8" s="23" t="s">
        <v>88</v>
      </c>
      <c r="K8" s="23" t="s">
        <v>88</v>
      </c>
      <c r="L8" s="23">
        <v>201.500879885567</v>
      </c>
      <c r="M8" s="23" t="s">
        <v>88</v>
      </c>
      <c r="N8" s="23" t="s">
        <v>88</v>
      </c>
      <c r="O8" s="23" t="s">
        <v>88</v>
      </c>
      <c r="P8" s="23" t="s">
        <v>88</v>
      </c>
      <c r="Q8" s="23" t="s">
        <v>88</v>
      </c>
      <c r="R8" s="23" t="s">
        <v>88</v>
      </c>
      <c r="S8" s="23" t="s">
        <v>88</v>
      </c>
      <c r="T8" s="23" t="s">
        <v>88</v>
      </c>
      <c r="U8" s="23" t="s">
        <v>88</v>
      </c>
      <c r="V8" s="23" t="s">
        <v>88</v>
      </c>
      <c r="W8" s="23" t="s">
        <v>88</v>
      </c>
      <c r="X8" s="23">
        <v>383.36936793117502</v>
      </c>
      <c r="Y8" s="23">
        <v>193.77629690586801</v>
      </c>
      <c r="Z8" s="23">
        <v>55.786631750266302</v>
      </c>
      <c r="AA8" s="23">
        <v>-29.125394411360499</v>
      </c>
      <c r="AB8" s="23">
        <v>-34.834961201128102</v>
      </c>
      <c r="AC8" s="23">
        <v>-11.072868678476301</v>
      </c>
      <c r="AD8" s="23">
        <v>4.5638664336764396</v>
      </c>
      <c r="AE8" s="23">
        <v>122.961143351871</v>
      </c>
      <c r="AF8" s="23">
        <v>207.54009627005101</v>
      </c>
      <c r="AG8" s="23">
        <v>119.025760009408</v>
      </c>
      <c r="AH8" s="23">
        <v>102.807254104422</v>
      </c>
      <c r="AI8" s="23">
        <v>27.426345903385101</v>
      </c>
      <c r="AJ8" s="23">
        <v>-14.9859669519228</v>
      </c>
      <c r="AK8" s="23">
        <v>-22.378443227382601</v>
      </c>
      <c r="AL8" s="23">
        <v>-38.185224919005101</v>
      </c>
      <c r="AM8" s="23">
        <v>-24.3252479687098</v>
      </c>
      <c r="AN8" s="23">
        <v>5.1485817584622504</v>
      </c>
      <c r="AO8" s="23">
        <v>25.047159732567199</v>
      </c>
      <c r="AP8" s="23">
        <v>71.754958572588095</v>
      </c>
    </row>
    <row r="9" spans="1:42" x14ac:dyDescent="0.25">
      <c r="A9" s="18" t="s">
        <v>89</v>
      </c>
      <c r="B9" s="18" t="s">
        <v>90</v>
      </c>
      <c r="C9" s="21">
        <f>_xll.BDH("AMZN US Equity","RETURN_ON_ASSET","FQ2 2011","FQ2 2011","Currency=USD","Period=FQ","BEST_FPERIOD_OVERRIDE=FQ","FILING_STATUS=MR","FA_ADJUSTED=GAAP","Sort=A","Dates=H","DateFormat=P","Fill=—","Direction=H","UseDPDF=Y")</f>
        <v>6.8494999999999999</v>
      </c>
      <c r="D9" s="21">
        <f>_xll.BDH("AMZN US Equity","RETURN_ON_ASSET","FQ3 2011","FQ3 2011","Currency=USD","Period=FQ","BEST_FPERIOD_OVERRIDE=FQ","FILING_STATUS=MR","FA_ADJUSTED=GAAP","Sort=A","Dates=H","DateFormat=P","Fill=—","Direction=H","UseDPDF=Y")</f>
        <v>5.2445000000000004</v>
      </c>
      <c r="E9" s="21">
        <f>_xll.BDH("AMZN US Equity","RETURN_ON_ASSET","FQ4 2011","FQ4 2011","Currency=USD","Period=FQ","BEST_FPERIOD_OVERRIDE=FQ","FILING_STATUS=MR","FA_ADJUSTED=GAAP","Sort=A","Dates=H","DateFormat=P","Fill=—","Direction=H","UseDPDF=Y")</f>
        <v>2.8677999999999999</v>
      </c>
      <c r="F9" s="21">
        <f>_xll.BDH("AMZN US Equity","RETURN_ON_ASSET","FQ1 2012","FQ1 2012","Currency=USD","Period=FQ","BEST_FPERIOD_OVERRIDE=FQ","FILING_STATUS=MR","FA_ADJUSTED=GAAP","Sort=A","Dates=H","DateFormat=P","Fill=—","Direction=H","UseDPDF=Y")</f>
        <v>3.0144000000000002</v>
      </c>
      <c r="G9" s="21">
        <f>_xll.BDH("AMZN US Equity","RETURN_ON_ASSET","FQ2 2012","FQ2 2012","Currency=USD","Period=FQ","BEST_FPERIOD_OVERRIDE=FQ","FILING_STATUS=MR","FA_ADJUSTED=GAAP","Sort=A","Dates=H","DateFormat=P","Fill=—","Direction=H","UseDPDF=Y")</f>
        <v>1.9352</v>
      </c>
      <c r="H9" s="21">
        <f>_xll.BDH("AMZN US Equity","RETURN_ON_ASSET","FQ3 2012","FQ3 2012","Currency=USD","Period=FQ","BEST_FPERIOD_OVERRIDE=FQ","FILING_STATUS=MR","FA_ADJUSTED=GAAP","Sort=A","Dates=H","DateFormat=P","Fill=—","Direction=H","UseDPDF=Y")</f>
        <v>0.191</v>
      </c>
      <c r="I9" s="21">
        <f>_xll.BDH("AMZN US Equity","RETURN_ON_ASSET","FQ4 2012","FQ4 2012","Currency=USD","Period=FQ","BEST_FPERIOD_OVERRIDE=FQ","FILING_STATUS=MR","FA_ADJUSTED=GAAP","Sort=A","Dates=H","DateFormat=P","Fill=—","Direction=H","UseDPDF=Y")</f>
        <v>-0.13830000000000001</v>
      </c>
      <c r="J9" s="21">
        <f>_xll.BDH("AMZN US Equity","RETURN_ON_ASSET","FQ1 2013","FQ1 2013","Currency=USD","Period=FQ","BEST_FPERIOD_OVERRIDE=FQ","FILING_STATUS=MR","FA_ADJUSTED=GAAP","Sort=A","Dates=H","DateFormat=P","Fill=—","Direction=H","UseDPDF=Y")</f>
        <v>-0.36130000000000001</v>
      </c>
      <c r="K9" s="21">
        <f>_xll.BDH("AMZN US Equity","RETURN_ON_ASSET","FQ2 2013","FQ2 2013","Currency=USD","Period=FQ","BEST_FPERIOD_OVERRIDE=FQ","FILING_STATUS=MR","FA_ADJUSTED=GAAP","Sort=A","Dates=H","DateFormat=P","Fill=—","Direction=H","UseDPDF=Y")</f>
        <v>-0.40279999999999999</v>
      </c>
      <c r="L9" s="21">
        <f>_xll.BDH("AMZN US Equity","RETURN_ON_ASSET","FQ3 2013","FQ3 2013","Currency=USD","Period=FQ","BEST_FPERIOD_OVERRIDE=FQ","FILING_STATUS=MR","FA_ADJUSTED=GAAP","Sort=A","Dates=H","DateFormat=P","Fill=—","Direction=H","UseDPDF=Y")</f>
        <v>0.47899999999999998</v>
      </c>
      <c r="M9" s="21">
        <f>_xll.BDH("AMZN US Equity","RETURN_ON_ASSET","FQ4 2013","FQ4 2013","Currency=USD","Period=FQ","BEST_FPERIOD_OVERRIDE=FQ","FILING_STATUS=MR","FA_ADJUSTED=GAAP","Sort=A","Dates=H","DateFormat=P","Fill=—","Direction=H","UseDPDF=Y")</f>
        <v>0.75090000000000001</v>
      </c>
      <c r="N9" s="21">
        <f>_xll.BDH("AMZN US Equity","RETURN_ON_ASSET","FQ1 2014","FQ1 2014","Currency=USD","Period=FQ","BEST_FPERIOD_OVERRIDE=FQ","FILING_STATUS=MR","FA_ADJUSTED=GAAP","Sort=A","Dates=H","DateFormat=P","Fill=—","Direction=H","UseDPDF=Y")</f>
        <v>0.92369999999999997</v>
      </c>
      <c r="O9" s="21">
        <f>_xll.BDH("AMZN US Equity","RETURN_ON_ASSET","FQ2 2014","FQ2 2014","Currency=USD","Period=FQ","BEST_FPERIOD_OVERRIDE=FQ","FILING_STATUS=MR","FA_ADJUSTED=GAAP","Sort=A","Dates=H","DateFormat=P","Fill=—","Direction=H","UseDPDF=Y")</f>
        <v>0.53320000000000001</v>
      </c>
      <c r="P9" s="21">
        <f>_xll.BDH("AMZN US Equity","RETURN_ON_ASSET","FQ3 2014","FQ3 2014","Currency=USD","Period=FQ","BEST_FPERIOD_OVERRIDE=FQ","FILING_STATUS=MR","FA_ADJUSTED=GAAP","Sort=A","Dates=H","DateFormat=P","Fill=—","Direction=H","UseDPDF=Y")</f>
        <v>-0.59770000000000001</v>
      </c>
      <c r="Q9" s="21">
        <f>_xll.BDH("AMZN US Equity","RETURN_ON_ASSET","FQ4 2014","FQ4 2014","Currency=USD","Period=FQ","BEST_FPERIOD_OVERRIDE=FQ","FILING_STATUS=MR","FA_ADJUSTED=GAAP","Sort=A","Dates=H","DateFormat=P","Fill=—","Direction=H","UseDPDF=Y")</f>
        <v>-0.50919999999999999</v>
      </c>
      <c r="R9" s="21">
        <f>_xll.BDH("AMZN US Equity","RETURN_ON_ASSET","FQ1 2015","FQ1 2015","Currency=USD","Period=FQ","BEST_FPERIOD_OVERRIDE=FQ","FILING_STATUS=MR","FA_ADJUSTED=GAAP","Sort=A","Dates=H","DateFormat=P","Fill=—","Direction=H","UseDPDF=Y")</f>
        <v>-0.93940000000000001</v>
      </c>
      <c r="S9" s="21">
        <f>_xll.BDH("AMZN US Equity","RETURN_ON_ASSET","FQ2 2015","FQ2 2015","Currency=USD","Period=FQ","BEST_FPERIOD_OVERRIDE=FQ","FILING_STATUS=MR","FA_ADJUSTED=GAAP","Sort=A","Dates=H","DateFormat=P","Fill=—","Direction=H","UseDPDF=Y")</f>
        <v>-0.41620000000000001</v>
      </c>
      <c r="T9" s="21">
        <f>_xll.BDH("AMZN US Equity","RETURN_ON_ASSET","FQ3 2015","FQ3 2015","Currency=USD","Period=FQ","BEST_FPERIOD_OVERRIDE=FQ","FILING_STATUS=MR","FA_ADJUSTED=GAAP","Sort=A","Dates=H","DateFormat=P","Fill=—","Direction=H","UseDPDF=Y")</f>
        <v>0.67869999999999997</v>
      </c>
      <c r="U9" s="21">
        <f>_xll.BDH("AMZN US Equity","RETURN_ON_ASSET","FQ4 2015","FQ4 2015","Currency=USD","Period=FQ","BEST_FPERIOD_OVERRIDE=FQ","FILING_STATUS=MR","FA_ADJUSTED=GAAP","Sort=A","Dates=H","DateFormat=P","Fill=—","Direction=H","UseDPDF=Y")</f>
        <v>0.99960000000000004</v>
      </c>
      <c r="V9" s="21">
        <f>_xll.BDH("AMZN US Equity","RETURN_ON_ASSET","FQ1 2016","FQ1 2016","Currency=USD","Period=FQ","BEST_FPERIOD_OVERRIDE=FQ","FILING_STATUS=MR","FA_ADJUSTED=GAAP","Sort=A","Dates=H","DateFormat=P","Fill=—","Direction=H","UseDPDF=Y")</f>
        <v>2.0971000000000002</v>
      </c>
      <c r="W9" s="21">
        <f>_xll.BDH("AMZN US Equity","RETURN_ON_ASSET","FQ2 2016","FQ2 2016","Currency=USD","Period=FQ","BEST_FPERIOD_OVERRIDE=FQ","FILING_STATUS=MR","FA_ADJUSTED=GAAP","Sort=A","Dates=H","DateFormat=P","Fill=—","Direction=H","UseDPDF=Y")</f>
        <v>3.2864</v>
      </c>
      <c r="X9" s="21">
        <f>_xll.BDH("AMZN US Equity","RETURN_ON_ASSET","FQ3 2016","FQ3 2016","Currency=USD","Period=FQ","BEST_FPERIOD_OVERRIDE=FQ","FILING_STATUS=MR","FA_ADJUSTED=GAAP","Sort=A","Dates=H","DateFormat=P","Fill=—","Direction=H","UseDPDF=Y")</f>
        <v>3.3100999999999998</v>
      </c>
      <c r="Y9" s="21">
        <f>_xll.BDH("AMZN US Equity","RETURN_ON_ASSET","FQ4 2016","FQ4 2016","Currency=USD","Period=FQ","BEST_FPERIOD_OVERRIDE=FQ","FILING_STATUS=MR","FA_ADJUSTED=GAAP","Sort=A","Dates=H","DateFormat=P","Fill=—","Direction=H","UseDPDF=Y")</f>
        <v>3.2008000000000001</v>
      </c>
      <c r="Z9" s="21">
        <f>_xll.BDH("AMZN US Equity","RETURN_ON_ASSET","FQ1 2017","FQ1 2017","Currency=USD","Period=FQ","BEST_FPERIOD_OVERRIDE=FQ","FILING_STATUS=MR","FA_ADJUSTED=GAAP","Sort=A","Dates=H","DateFormat=P","Fill=—","Direction=H","UseDPDF=Y")</f>
        <v>3.6341000000000001</v>
      </c>
      <c r="AA9" s="21">
        <f>_xll.BDH("AMZN US Equity","RETURN_ON_ASSET","FQ2 2017","FQ2 2017","Currency=USD","Period=FQ","BEST_FPERIOD_OVERRIDE=FQ","FILING_STATUS=MR","FA_ADJUSTED=GAAP","Sort=A","Dates=H","DateFormat=P","Fill=—","Direction=H","UseDPDF=Y")</f>
        <v>2.5148000000000001</v>
      </c>
      <c r="AB9" s="21">
        <f>_xll.BDH("AMZN US Equity","RETURN_ON_ASSET","FQ3 2017","FQ3 2017","Currency=USD","Period=FQ","BEST_FPERIOD_OVERRIDE=FQ","FILING_STATUS=MR","FA_ADJUSTED=GAAP","Sort=A","Dates=H","DateFormat=P","Fill=—","Direction=H","UseDPDF=Y")</f>
        <v>2.0691000000000002</v>
      </c>
      <c r="AC9" s="21">
        <f>_xll.BDH("AMZN US Equity","RETURN_ON_ASSET","FQ4 2017","FQ4 2017","Currency=USD","Period=FQ","BEST_FPERIOD_OVERRIDE=FQ","FILING_STATUS=MR","FA_ADJUSTED=GAAP","Sort=A","Dates=H","DateFormat=P","Fill=—","Direction=H","UseDPDF=Y")</f>
        <v>2.8252000000000002</v>
      </c>
      <c r="AD9" s="21">
        <f>_xll.BDH("AMZN US Equity","RETURN_ON_ASSET","FQ1 2018","FQ1 2018","Currency=USD","Period=FQ","BEST_FPERIOD_OVERRIDE=FQ","FILING_STATUS=MR","FA_ADJUSTED=GAAP","Sort=A","Dates=H","DateFormat=P","Fill=—","Direction=H","UseDPDF=Y")</f>
        <v>3.7988</v>
      </c>
      <c r="AE9" s="21">
        <f>_xll.BDH("AMZN US Equity","RETURN_ON_ASSET","FQ2 2018","FQ2 2018","Currency=USD","Period=FQ","BEST_FPERIOD_OVERRIDE=FQ","FILING_STATUS=MR","FA_ADJUSTED=GAAP","Sort=A","Dates=H","DateFormat=P","Fill=—","Direction=H","UseDPDF=Y")</f>
        <v>5.6562000000000001</v>
      </c>
      <c r="AF9" s="21">
        <f>_xll.BDH("AMZN US Equity","RETURN_ON_ASSET","FQ3 2018","FQ3 2018","Currency=USD","Period=FQ","BEST_FPERIOD_OVERRIDE=FQ","FILING_STATUS=MR","FA_ADJUSTED=GAAP","Sort=A","Dates=H","DateFormat=P","Fill=—","Direction=H","UseDPDF=Y")</f>
        <v>6.8750999999999998</v>
      </c>
      <c r="AG9" s="21">
        <f>_xll.BDH("AMZN US Equity","RETURN_ON_ASSET","FQ4 2018","FQ4 2018","Currency=USD","Period=FQ","BEST_FPERIOD_OVERRIDE=FQ","FILING_STATUS=MR","FA_ADJUSTED=GAAP","Sort=A","Dates=H","DateFormat=P","Fill=—","Direction=H","UseDPDF=Y")</f>
        <v>6.8533999999999997</v>
      </c>
      <c r="AH9" s="21">
        <f>_xll.BDH("AMZN US Equity","RETURN_ON_ASSET","FQ1 2019","FQ1 2019","Currency=USD","Period=FQ","BEST_FPERIOD_OVERRIDE=FQ","FILING_STATUS=MR","FA_ADJUSTED=GAAP","Sort=A","Dates=H","DateFormat=P","Fill=—","Direction=H","UseDPDF=Y")</f>
        <v>7.8860000000000001</v>
      </c>
      <c r="AI9" s="21">
        <f>_xll.BDH("AMZN US Equity","RETURN_ON_ASSET","FQ2 2019","FQ2 2019","Currency=USD","Period=FQ","BEST_FPERIOD_OVERRIDE=FQ","FILING_STATUS=MR","FA_ADJUSTED=GAAP","Sort=A","Dates=H","DateFormat=P","Fill=—","Direction=H","UseDPDF=Y")</f>
        <v>7.4333999999999998</v>
      </c>
      <c r="AJ9" s="21">
        <f>_xll.BDH("AMZN US Equity","RETURN_ON_ASSET","FQ3 2019","FQ3 2019","Currency=USD","Period=FQ","BEST_FPERIOD_OVERRIDE=FQ","FILING_STATUS=MR","FA_ADJUSTED=GAAP","Sort=A","Dates=H","DateFormat=P","Fill=—","Direction=H","UseDPDF=Y")</f>
        <v>6.6203000000000003</v>
      </c>
      <c r="AK9" s="21">
        <f>_xll.BDH("AMZN US Equity","RETURN_ON_ASSET","FQ4 2019","FQ4 2019","Currency=USD","Period=FQ","BEST_FPERIOD_OVERRIDE=FQ","FILING_STATUS=MR","FA_ADJUSTED=GAAP","Sort=A","Dates=H","DateFormat=P","Fill=—","Direction=H","UseDPDF=Y")</f>
        <v>5.9748000000000001</v>
      </c>
      <c r="AL9" s="21">
        <f>_xll.BDH("AMZN US Equity","RETURN_ON_ASSET","FQ1 2020","FQ1 2020","Currency=USD","Period=FQ","BEST_FPERIOD_OVERRIDE=FQ","FILING_STATUS=MR","FA_ADJUSTED=GAAP","Sort=A","Dates=H","DateFormat=P","Fill=—","Direction=H","UseDPDF=Y")</f>
        <v>5.2896999999999998</v>
      </c>
      <c r="AM9" s="21">
        <f>_xll.BDH("AMZN US Equity","RETURN_ON_ASSET","FQ2 2020","FQ2 2020","Currency=USD","Period=FQ","BEST_FPERIOD_OVERRIDE=FQ","FILING_STATUS=MR","FA_ADJUSTED=GAAP","Sort=A","Dates=H","DateFormat=P","Fill=—","Direction=H","UseDPDF=Y")</f>
        <v>5.8620999999999999</v>
      </c>
      <c r="AN9" s="21">
        <f>_xll.BDH("AMZN US Equity","RETURN_ON_ASSET","FQ3 2020","FQ3 2020","Currency=USD","Period=FQ","BEST_FPERIOD_OVERRIDE=FQ","FILING_STATUS=MR","FA_ADJUSTED=GAAP","Sort=A","Dates=H","DateFormat=P","Fill=—","Direction=H","UseDPDF=Y")</f>
        <v>7.2211999999999996</v>
      </c>
      <c r="AO9" s="21">
        <f>_xll.BDH("AMZN US Equity","RETURN_ON_ASSET","FQ4 2020","FQ4 2020","Currency=USD","Period=FQ","BEST_FPERIOD_OVERRIDE=FQ","FILING_STATUS=MR","FA_ADJUSTED=GAAP","Sort=A","Dates=H","DateFormat=P","Fill=—","Direction=H","UseDPDF=Y")</f>
        <v>7.8071999999999999</v>
      </c>
      <c r="AP9" s="21">
        <f>_xll.BDH("AMZN US Equity","RETURN_ON_ASSET","FQ1 2021","FQ1 2021","Currency=USD","Period=FQ","BEST_FPERIOD_OVERRIDE=FQ","FILING_STATUS=MR","FA_ADJUSTED=GAAP","Sort=A","Dates=H","DateFormat=P","Fill=—","Direction=H","UseDPDF=Y")</f>
        <v>9.8850999999999996</v>
      </c>
    </row>
    <row r="10" spans="1:42" x14ac:dyDescent="0.25">
      <c r="A10" s="19" t="s">
        <v>87</v>
      </c>
      <c r="B10" s="19" t="s">
        <v>90</v>
      </c>
      <c r="C10" s="23">
        <v>-36.876455922654401</v>
      </c>
      <c r="D10" s="23">
        <v>-45.885207271670701</v>
      </c>
      <c r="E10" s="23">
        <v>-59.444823904574001</v>
      </c>
      <c r="F10" s="23">
        <v>-58.678063545067999</v>
      </c>
      <c r="G10" s="23">
        <v>-71.747278923879904</v>
      </c>
      <c r="H10" s="23">
        <v>-96.358348360298606</v>
      </c>
      <c r="I10" s="23" t="s">
        <v>88</v>
      </c>
      <c r="J10" s="23" t="s">
        <v>88</v>
      </c>
      <c r="K10" s="23" t="s">
        <v>88</v>
      </c>
      <c r="L10" s="23">
        <v>150.815509071393</v>
      </c>
      <c r="M10" s="23" t="s">
        <v>88</v>
      </c>
      <c r="N10" s="23" t="s">
        <v>88</v>
      </c>
      <c r="O10" s="23" t="s">
        <v>88</v>
      </c>
      <c r="P10" s="23" t="s">
        <v>88</v>
      </c>
      <c r="Q10" s="23" t="s">
        <v>88</v>
      </c>
      <c r="R10" s="23" t="s">
        <v>88</v>
      </c>
      <c r="S10" s="23" t="s">
        <v>88</v>
      </c>
      <c r="T10" s="23" t="s">
        <v>88</v>
      </c>
      <c r="U10" s="23" t="s">
        <v>88</v>
      </c>
      <c r="V10" s="23" t="s">
        <v>88</v>
      </c>
      <c r="W10" s="23" t="s">
        <v>88</v>
      </c>
      <c r="X10" s="23">
        <v>387.675931314411</v>
      </c>
      <c r="Y10" s="23">
        <v>220.22281714827699</v>
      </c>
      <c r="Z10" s="23">
        <v>73.296262492453707</v>
      </c>
      <c r="AA10" s="23">
        <v>-23.478613578970801</v>
      </c>
      <c r="AB10" s="23">
        <v>-37.489562173194798</v>
      </c>
      <c r="AC10" s="23">
        <v>-11.736073620858599</v>
      </c>
      <c r="AD10" s="23">
        <v>4.5298237243120001</v>
      </c>
      <c r="AE10" s="23">
        <v>124.918670462376</v>
      </c>
      <c r="AF10" s="23">
        <v>232.26993011116201</v>
      </c>
      <c r="AG10" s="23">
        <v>142.58135764800801</v>
      </c>
      <c r="AH10" s="23">
        <v>107.59395770774501</v>
      </c>
      <c r="AI10" s="23">
        <v>31.420330134180599</v>
      </c>
      <c r="AJ10" s="23">
        <v>-3.7066445192388802</v>
      </c>
      <c r="AK10" s="23">
        <v>-12.8194491461123</v>
      </c>
      <c r="AL10" s="23">
        <v>-32.922461225540502</v>
      </c>
      <c r="AM10" s="23">
        <v>-21.137566411605398</v>
      </c>
      <c r="AN10" s="23">
        <v>9.0764274686521205</v>
      </c>
      <c r="AO10" s="23">
        <v>30.669192610225899</v>
      </c>
      <c r="AP10" s="23">
        <v>86.873219190098197</v>
      </c>
    </row>
    <row r="11" spans="1:42" x14ac:dyDescent="0.25">
      <c r="A11" s="18" t="s">
        <v>91</v>
      </c>
      <c r="B11" s="18" t="s">
        <v>92</v>
      </c>
      <c r="C11" s="21">
        <f>_xll.BDH("AMZN US Equity","RETURN_ON_CAP","FQ2 2011","FQ2 2011","Currency=USD","Period=FQ","BEST_FPERIOD_OVERRIDE=FQ","FILING_STATUS=MR","FA_ADJUSTED=GAAP","Sort=A","Dates=H","DateFormat=P","Fill=—","Direction=H","UseDPDF=Y")</f>
        <v>15.659599999999999</v>
      </c>
      <c r="D11" s="21">
        <f>_xll.BDH("AMZN US Equity","RETURN_ON_CAP","FQ3 2011","FQ3 2011","Currency=USD","Period=FQ","BEST_FPERIOD_OVERRIDE=FQ","FILING_STATUS=MR","FA_ADJUSTED=GAAP","Sort=A","Dates=H","DateFormat=P","Fill=—","Direction=H","UseDPDF=Y")</f>
        <v>12.736700000000001</v>
      </c>
      <c r="E11" s="21">
        <f>_xll.BDH("AMZN US Equity","RETURN_ON_CAP","FQ4 2011","FQ4 2011","Currency=USD","Period=FQ","BEST_FPERIOD_OVERRIDE=FQ","FILING_STATUS=MR","FA_ADJUSTED=GAAP","Sort=A","Dates=H","DateFormat=P","Fill=—","Direction=H","UseDPDF=Y")</f>
        <v>7.7297000000000002</v>
      </c>
      <c r="F11" s="21">
        <f>_xll.BDH("AMZN US Equity","RETURN_ON_CAP","FQ1 2012","FQ1 2012","Currency=USD","Period=FQ","BEST_FPERIOD_OVERRIDE=FQ","FILING_STATUS=MR","FA_ADJUSTED=GAAP","Sort=A","Dates=H","DateFormat=P","Fill=—","Direction=H","UseDPDF=Y")</f>
        <v>8.3306000000000004</v>
      </c>
      <c r="G11" s="21">
        <f>_xll.BDH("AMZN US Equity","RETURN_ON_CAP","FQ2 2012","FQ2 2012","Currency=USD","Period=FQ","BEST_FPERIOD_OVERRIDE=FQ","FILING_STATUS=MR","FA_ADJUSTED=GAAP","Sort=A","Dates=H","DateFormat=P","Fill=—","Direction=H","UseDPDF=Y")</f>
        <v>5.4739000000000004</v>
      </c>
      <c r="H11" s="21">
        <f>_xll.BDH("AMZN US Equity","RETURN_ON_CAP","FQ3 2012","FQ3 2012","Currency=USD","Period=FQ","BEST_FPERIOD_OVERRIDE=FQ","FILING_STATUS=MR","FA_ADJUSTED=GAAP","Sort=A","Dates=H","DateFormat=P","Fill=—","Direction=H","UseDPDF=Y")</f>
        <v>0.88700000000000001</v>
      </c>
      <c r="I11" s="21">
        <f>_xll.BDH("AMZN US Equity","RETURN_ON_CAP","FQ4 2012","FQ4 2012","Currency=USD","Period=FQ","BEST_FPERIOD_OVERRIDE=FQ","FILING_STATUS=MR","FA_ADJUSTED=GAAP","Sort=A","Dates=H","DateFormat=P","Fill=—","Direction=H","UseDPDF=Y")</f>
        <v>-0.1767</v>
      </c>
      <c r="J11" s="21">
        <f>_xll.BDH("AMZN US Equity","RETURN_ON_CAP","FQ1 2013","FQ1 2013","Currency=USD","Period=FQ","BEST_FPERIOD_OVERRIDE=FQ","FILING_STATUS=MR","FA_ADJUSTED=GAAP","Sort=A","Dates=H","DateFormat=P","Fill=—","Direction=H","UseDPDF=Y")</f>
        <v>-0.56320000000000003</v>
      </c>
      <c r="K11" s="21">
        <f>_xll.BDH("AMZN US Equity","RETURN_ON_CAP","FQ2 2013","FQ2 2013","Currency=USD","Period=FQ","BEST_FPERIOD_OVERRIDE=FQ","FILING_STATUS=MR","FA_ADJUSTED=GAAP","Sort=A","Dates=H","DateFormat=P","Fill=—","Direction=H","UseDPDF=Y")</f>
        <v>-0.62490000000000001</v>
      </c>
      <c r="L11" s="21">
        <f>_xll.BDH("AMZN US Equity","RETURN_ON_CAP","FQ3 2013","FQ3 2013","Currency=USD","Period=FQ","BEST_FPERIOD_OVERRIDE=FQ","FILING_STATUS=MR","FA_ADJUSTED=GAAP","Sort=A","Dates=H","DateFormat=P","Fill=—","Direction=H","UseDPDF=Y")</f>
        <v>1.9868999999999999</v>
      </c>
      <c r="M11" s="21">
        <f>_xll.BDH("AMZN US Equity","RETURN_ON_CAP","FQ4 2013","FQ4 2013","Currency=USD","Period=FQ","BEST_FPERIOD_OVERRIDE=FQ","FILING_STATUS=MR","FA_ADJUSTED=GAAP","Sort=A","Dates=H","DateFormat=P","Fill=—","Direction=H","UseDPDF=Y")</f>
        <v>2.4763000000000002</v>
      </c>
      <c r="N11" s="21">
        <f>_xll.BDH("AMZN US Equity","RETURN_ON_CAP","FQ1 2014","FQ1 2014","Currency=USD","Period=FQ","BEST_FPERIOD_OVERRIDE=FQ","FILING_STATUS=MR","FA_ADJUSTED=GAAP","Sort=A","Dates=H","DateFormat=P","Fill=—","Direction=H","UseDPDF=Y")</f>
        <v>2.8757999999999999</v>
      </c>
      <c r="O11" s="21">
        <f>_xll.BDH("AMZN US Equity","RETURN_ON_CAP","FQ2 2014","FQ2 2014","Currency=USD","Period=FQ","BEST_FPERIOD_OVERRIDE=FQ","FILING_STATUS=MR","FA_ADJUSTED=GAAP","Sort=A","Dates=H","DateFormat=P","Fill=—","Direction=H","UseDPDF=Y")</f>
        <v>1.7302999999999999</v>
      </c>
      <c r="P11" s="21">
        <f>_xll.BDH("AMZN US Equity","RETURN_ON_CAP","FQ3 2014","FQ3 2014","Currency=USD","Period=FQ","BEST_FPERIOD_OVERRIDE=FQ","FILING_STATUS=MR","FA_ADJUSTED=GAAP","Sort=A","Dates=H","DateFormat=P","Fill=—","Direction=H","UseDPDF=Y")</f>
        <v>-0.75439999999999996</v>
      </c>
      <c r="Q11" s="21">
        <f>_xll.BDH("AMZN US Equity","RETURN_ON_CAP","FQ4 2014","FQ4 2014","Currency=USD","Period=FQ","BEST_FPERIOD_OVERRIDE=FQ","FILING_STATUS=MR","FA_ADJUSTED=GAAP","Sort=A","Dates=H","DateFormat=P","Fill=—","Direction=H","UseDPDF=Y")</f>
        <v>-0.48080000000000001</v>
      </c>
      <c r="R11" s="21">
        <f>_xll.BDH("AMZN US Equity","RETURN_ON_CAP","FQ1 2015","FQ1 2015","Currency=USD","Period=FQ","BEST_FPERIOD_OVERRIDE=FQ","FILING_STATUS=MR","FA_ADJUSTED=GAAP","Sort=A","Dates=H","DateFormat=P","Fill=—","Direction=H","UseDPDF=Y")</f>
        <v>-1.2774000000000001</v>
      </c>
      <c r="S11" s="21">
        <f>_xll.BDH("AMZN US Equity","RETURN_ON_CAP","FQ2 2015","FQ2 2015","Currency=USD","Period=FQ","BEST_FPERIOD_OVERRIDE=FQ","FILING_STATUS=MR","FA_ADJUSTED=GAAP","Sort=A","Dates=H","DateFormat=P","Fill=—","Direction=H","UseDPDF=Y")</f>
        <v>-2.8022999999999998</v>
      </c>
      <c r="T11" s="21">
        <f>_xll.BDH("AMZN US Equity","RETURN_ON_CAP","FQ3 2015","FQ3 2015","Currency=USD","Period=FQ","BEST_FPERIOD_OVERRIDE=FQ","FILING_STATUS=MR","FA_ADJUSTED=GAAP","Sort=A","Dates=H","DateFormat=P","Fill=—","Direction=H","UseDPDF=Y")</f>
        <v>2.5983000000000001</v>
      </c>
      <c r="U11" s="21">
        <f>_xll.BDH("AMZN US Equity","RETURN_ON_CAP","FQ4 2015","FQ4 2015","Currency=USD","Period=FQ","BEST_FPERIOD_OVERRIDE=FQ","FILING_STATUS=MR","FA_ADJUSTED=GAAP","Sort=A","Dates=H","DateFormat=P","Fill=—","Direction=H","UseDPDF=Y")</f>
        <v>2.6907999999999999</v>
      </c>
      <c r="V11" s="21">
        <f>_xll.BDH("AMZN US Equity","RETURN_ON_CAP","FQ1 2016","FQ1 2016","Currency=USD","Period=FQ","BEST_FPERIOD_OVERRIDE=FQ","FILING_STATUS=MR","FA_ADJUSTED=GAAP","Sort=A","Dates=H","DateFormat=P","Fill=—","Direction=H","UseDPDF=Y")</f>
        <v>5.2481999999999998</v>
      </c>
      <c r="W11" s="21">
        <f>_xll.BDH("AMZN US Equity","RETURN_ON_CAP","FQ2 2016","FQ2 2016","Currency=USD","Period=FQ","BEST_FPERIOD_OVERRIDE=FQ","FILING_STATUS=MR","FA_ADJUSTED=GAAP","Sort=A","Dates=H","DateFormat=P","Fill=—","Direction=H","UseDPDF=Y")</f>
        <v>7.9230999999999998</v>
      </c>
      <c r="X11" s="21">
        <f>_xll.BDH("AMZN US Equity","RETURN_ON_CAP","FQ3 2016","FQ3 2016","Currency=USD","Period=FQ","BEST_FPERIOD_OVERRIDE=FQ","FILING_STATUS=MR","FA_ADJUSTED=GAAP","Sort=A","Dates=H","DateFormat=P","Fill=—","Direction=H","UseDPDF=Y")</f>
        <v>8.1414000000000009</v>
      </c>
      <c r="Y11" s="21">
        <f>_xll.BDH("AMZN US Equity","RETURN_ON_CAP","FQ4 2016","FQ4 2016","Currency=USD","Period=FQ","BEST_FPERIOD_OVERRIDE=FQ","FILING_STATUS=MR","FA_ADJUSTED=GAAP","Sort=A","Dates=H","DateFormat=P","Fill=—","Direction=H","UseDPDF=Y")</f>
        <v>7.5838999999999999</v>
      </c>
      <c r="Z11" s="21">
        <f>_xll.BDH("AMZN US Equity","RETURN_ON_CAP","FQ1 2017","FQ1 2017","Currency=USD","Period=FQ","BEST_FPERIOD_OVERRIDE=FQ","FILING_STATUS=MR","FA_ADJUSTED=GAAP","Sort=A","Dates=H","DateFormat=P","Fill=—","Direction=H","UseDPDF=Y")</f>
        <v>7.7485999999999997</v>
      </c>
      <c r="AA11" s="21">
        <f>_xll.BDH("AMZN US Equity","RETURN_ON_CAP","FQ2 2017","FQ2 2017","Currency=USD","Period=FQ","BEST_FPERIOD_OVERRIDE=FQ","FILING_STATUS=MR","FA_ADJUSTED=GAAP","Sort=A","Dates=H","DateFormat=P","Fill=—","Direction=H","UseDPDF=Y")</f>
        <v>5.5080999999999998</v>
      </c>
      <c r="AB11" s="21">
        <f>_xll.BDH("AMZN US Equity","RETURN_ON_CAP","FQ3 2017","FQ3 2017","Currency=USD","Period=FQ","BEST_FPERIOD_OVERRIDE=FQ","FILING_STATUS=MR","FA_ADJUSTED=GAAP","Sort=A","Dates=H","DateFormat=P","Fill=—","Direction=H","UseDPDF=Y")</f>
        <v>4.4484000000000004</v>
      </c>
      <c r="AC11" s="21">
        <f>_xll.BDH("AMZN US Equity","RETURN_ON_CAP","FQ4 2017","FQ4 2017","Currency=USD","Period=FQ","BEST_FPERIOD_OVERRIDE=FQ","FILING_STATUS=MR","FA_ADJUSTED=GAAP","Sort=A","Dates=H","DateFormat=P","Fill=—","Direction=H","UseDPDF=Y")</f>
        <v>6.6521999999999997</v>
      </c>
      <c r="AD11" s="21">
        <f>_xll.BDH("AMZN US Equity","RETURN_ON_CAP","FQ1 2018","FQ1 2018","Currency=USD","Period=FQ","BEST_FPERIOD_OVERRIDE=FQ","FILING_STATUS=MR","FA_ADJUSTED=GAAP","Sort=A","Dates=H","DateFormat=P","Fill=—","Direction=H","UseDPDF=Y")</f>
        <v>9.0584000000000007</v>
      </c>
      <c r="AE11" s="21">
        <f>_xll.BDH("AMZN US Equity","RETURN_ON_CAP","FQ2 2018","FQ2 2018","Currency=USD","Period=FQ","BEST_FPERIOD_OVERRIDE=FQ","FILING_STATUS=MR","FA_ADJUSTED=GAAP","Sort=A","Dates=H","DateFormat=P","Fill=—","Direction=H","UseDPDF=Y")</f>
        <v>13.110200000000001</v>
      </c>
      <c r="AF11" s="21">
        <f>_xll.BDH("AMZN US Equity","RETURN_ON_CAP","FQ3 2018","FQ3 2018","Currency=USD","Period=FQ","BEST_FPERIOD_OVERRIDE=FQ","FILING_STATUS=MR","FA_ADJUSTED=GAAP","Sort=A","Dates=H","DateFormat=P","Fill=—","Direction=H","UseDPDF=Y")</f>
        <v>13.4519</v>
      </c>
      <c r="AG11" s="21">
        <f>_xll.BDH("AMZN US Equity","RETURN_ON_CAP","FQ4 2018","FQ4 2018","Currency=USD","Period=FQ","BEST_FPERIOD_OVERRIDE=FQ","FILING_STATUS=MR","FA_ADJUSTED=GAAP","Sort=A","Dates=H","DateFormat=P","Fill=—","Direction=H","UseDPDF=Y")</f>
        <v>13.7715</v>
      </c>
      <c r="AH11" s="21">
        <f>_xll.BDH("AMZN US Equity","RETURN_ON_CAP","FQ1 2019","FQ1 2019","Currency=USD","Period=FQ","BEST_FPERIOD_OVERRIDE=FQ","FILING_STATUS=MR","FA_ADJUSTED=GAAP","Sort=A","Dates=H","DateFormat=P","Fill=—","Direction=H","UseDPDF=Y")</f>
        <v>14.744</v>
      </c>
      <c r="AI11" s="21">
        <f>_xll.BDH("AMZN US Equity","RETURN_ON_CAP","FQ2 2019","FQ2 2019","Currency=USD","Period=FQ","BEST_FPERIOD_OVERRIDE=FQ","FILING_STATUS=MR","FA_ADJUSTED=GAAP","Sort=A","Dates=H","DateFormat=P","Fill=—","Direction=H","UseDPDF=Y")</f>
        <v>13.9964</v>
      </c>
      <c r="AJ11" s="21">
        <f>_xll.BDH("AMZN US Equity","RETURN_ON_CAP","FQ3 2019","FQ3 2019","Currency=USD","Period=FQ","BEST_FPERIOD_OVERRIDE=FQ","FILING_STATUS=MR","FA_ADJUSTED=GAAP","Sort=A","Dates=H","DateFormat=P","Fill=—","Direction=H","UseDPDF=Y")</f>
        <v>11.8226</v>
      </c>
      <c r="AK11" s="21">
        <f>_xll.BDH("AMZN US Equity","RETURN_ON_CAP","FQ4 2019","FQ4 2019","Currency=USD","Period=FQ","BEST_FPERIOD_OVERRIDE=FQ","FILING_STATUS=MR","FA_ADJUSTED=GAAP","Sort=A","Dates=H","DateFormat=P","Fill=—","Direction=H","UseDPDF=Y")</f>
        <v>11.114100000000001</v>
      </c>
      <c r="AL11" s="21">
        <f>_xll.BDH("AMZN US Equity","RETURN_ON_CAP","FQ1 2020","FQ1 2020","Currency=USD","Period=FQ","BEST_FPERIOD_OVERRIDE=FQ","FILING_STATUS=MR","FA_ADJUSTED=GAAP","Sort=A","Dates=H","DateFormat=P","Fill=—","Direction=H","UseDPDF=Y")</f>
        <v>9.1320999999999994</v>
      </c>
      <c r="AM11" s="21">
        <f>_xll.BDH("AMZN US Equity","RETURN_ON_CAP","FQ2 2020","FQ2 2020","Currency=USD","Period=FQ","BEST_FPERIOD_OVERRIDE=FQ","FILING_STATUS=MR","FA_ADJUSTED=GAAP","Sort=A","Dates=H","DateFormat=P","Fill=—","Direction=H","UseDPDF=Y")</f>
        <v>10.052899999999999</v>
      </c>
      <c r="AN11" s="21">
        <f>_xll.BDH("AMZN US Equity","RETURN_ON_CAP","FQ3 2020","FQ3 2020","Currency=USD","Period=FQ","BEST_FPERIOD_OVERRIDE=FQ","FILING_STATUS=MR","FA_ADJUSTED=GAAP","Sort=A","Dates=H","DateFormat=P","Fill=—","Direction=H","UseDPDF=Y")</f>
        <v>12.1374</v>
      </c>
      <c r="AO11" s="21">
        <f>_xll.BDH("AMZN US Equity","RETURN_ON_CAP","FQ4 2020","FQ4 2020","Currency=USD","Period=FQ","BEST_FPERIOD_OVERRIDE=FQ","FILING_STATUS=MR","FA_ADJUSTED=GAAP","Sort=A","Dates=H","DateFormat=P","Fill=—","Direction=H","UseDPDF=Y")</f>
        <v>13.6629</v>
      </c>
      <c r="AP11" s="21">
        <f>_xll.BDH("AMZN US Equity","RETURN_ON_CAP","FQ1 2021","FQ1 2021","Currency=USD","Period=FQ","BEST_FPERIOD_OVERRIDE=FQ","FILING_STATUS=MR","FA_ADJUSTED=GAAP","Sort=A","Dates=H","DateFormat=P","Fill=—","Direction=H","UseDPDF=Y")</f>
        <v>16.297999999999998</v>
      </c>
    </row>
    <row r="12" spans="1:42" x14ac:dyDescent="0.25">
      <c r="A12" s="19" t="s">
        <v>87</v>
      </c>
      <c r="B12" s="19" t="s">
        <v>92</v>
      </c>
      <c r="C12" s="23">
        <v>-34.1832762893075</v>
      </c>
      <c r="D12" s="23">
        <v>-43.051844958922203</v>
      </c>
      <c r="E12" s="23">
        <v>-56.868273758918797</v>
      </c>
      <c r="F12" s="23">
        <v>-49.682921030811102</v>
      </c>
      <c r="G12" s="23">
        <v>-65.044192066744003</v>
      </c>
      <c r="H12" s="23">
        <v>-93.035651629166196</v>
      </c>
      <c r="I12" s="23" t="s">
        <v>88</v>
      </c>
      <c r="J12" s="23" t="s">
        <v>88</v>
      </c>
      <c r="K12" s="23" t="s">
        <v>88</v>
      </c>
      <c r="L12" s="23">
        <v>124.00098756969901</v>
      </c>
      <c r="M12" s="23" t="s">
        <v>88</v>
      </c>
      <c r="N12" s="23" t="s">
        <v>88</v>
      </c>
      <c r="O12" s="23" t="s">
        <v>88</v>
      </c>
      <c r="P12" s="23" t="s">
        <v>88</v>
      </c>
      <c r="Q12" s="23" t="s">
        <v>88</v>
      </c>
      <c r="R12" s="23" t="s">
        <v>88</v>
      </c>
      <c r="S12" s="23" t="s">
        <v>88</v>
      </c>
      <c r="T12" s="23" t="s">
        <v>88</v>
      </c>
      <c r="U12" s="23" t="s">
        <v>88</v>
      </c>
      <c r="V12" s="23" t="s">
        <v>88</v>
      </c>
      <c r="W12" s="23" t="s">
        <v>88</v>
      </c>
      <c r="X12" s="23">
        <v>213.33354372577</v>
      </c>
      <c r="Y12" s="23">
        <v>181.84503767658299</v>
      </c>
      <c r="Z12" s="23">
        <v>47.641344419200003</v>
      </c>
      <c r="AA12" s="23">
        <v>-30.4806093653151</v>
      </c>
      <c r="AB12" s="23">
        <v>-45.361064828490903</v>
      </c>
      <c r="AC12" s="23">
        <v>-12.2853158840303</v>
      </c>
      <c r="AD12" s="23">
        <v>16.904211327549401</v>
      </c>
      <c r="AE12" s="23">
        <v>138.01635442713501</v>
      </c>
      <c r="AF12" s="23">
        <v>202.40076324466199</v>
      </c>
      <c r="AG12" s="23">
        <v>107.022262803788</v>
      </c>
      <c r="AH12" s="23">
        <v>62.766153103622798</v>
      </c>
      <c r="AI12" s="23">
        <v>6.7596425837734797</v>
      </c>
      <c r="AJ12" s="23">
        <v>-12.112481142105599</v>
      </c>
      <c r="AK12" s="23">
        <v>-19.2961873297977</v>
      </c>
      <c r="AL12" s="23">
        <v>-38.062403825493597</v>
      </c>
      <c r="AM12" s="23">
        <v>-28.174964605204401</v>
      </c>
      <c r="AN12" s="23">
        <v>2.66298410395579</v>
      </c>
      <c r="AO12" s="23">
        <v>22.933052561038</v>
      </c>
      <c r="AP12" s="23">
        <v>78.469101134361296</v>
      </c>
    </row>
    <row r="13" spans="1:42" x14ac:dyDescent="0.25">
      <c r="A13" s="18" t="s">
        <v>93</v>
      </c>
      <c r="B13" s="18" t="s">
        <v>94</v>
      </c>
      <c r="C13" s="21">
        <f>_xll.BDH("AMZN US Equity","RETURN_ON_INV_CAPITAL","FQ2 2011","FQ2 2011","Currency=USD","Period=FQ","BEST_FPERIOD_OVERRIDE=FQ","FILING_STATUS=MR","FA_ADJUSTED=GAAP","Sort=A","Dates=H","DateFormat=P","Fill=—","Direction=H","UseDPDF=Y")</f>
        <v>14.3476</v>
      </c>
      <c r="D13" s="21">
        <f>_xll.BDH("AMZN US Equity","RETURN_ON_INV_CAPITAL","FQ3 2011","FQ3 2011","Currency=USD","Period=FQ","BEST_FPERIOD_OVERRIDE=FQ","FILING_STATUS=MR","FA_ADJUSTED=GAAP","Sort=A","Dates=H","DateFormat=P","Fill=—","Direction=H","UseDPDF=Y")</f>
        <v>11.3279</v>
      </c>
      <c r="E13" s="21">
        <f>_xll.BDH("AMZN US Equity","RETURN_ON_INV_CAPITAL","FQ4 2011","FQ4 2011","Currency=USD","Period=FQ","BEST_FPERIOD_OVERRIDE=FQ","FILING_STATUS=MR","FA_ADJUSTED=GAAP","Sort=A","Dates=H","DateFormat=P","Fill=—","Direction=H","UseDPDF=Y")</f>
        <v>6.6896000000000004</v>
      </c>
      <c r="F13" s="21">
        <f>_xll.BDH("AMZN US Equity","RETURN_ON_INV_CAPITAL","FQ1 2012","FQ1 2012","Currency=USD","Period=FQ","BEST_FPERIOD_OVERRIDE=FQ","FILING_STATUS=MR","FA_ADJUSTED=GAAP","Sort=A","Dates=H","DateFormat=P","Fill=—","Direction=H","UseDPDF=Y")</f>
        <v>7.6798999999999999</v>
      </c>
      <c r="G13" s="21">
        <f>_xll.BDH("AMZN US Equity","RETURN_ON_INV_CAPITAL","FQ2 2012","FQ2 2012","Currency=USD","Period=FQ","BEST_FPERIOD_OVERRIDE=FQ","FILING_STATUS=MR","FA_ADJUSTED=GAAP","Sort=A","Dates=H","DateFormat=P","Fill=—","Direction=H","UseDPDF=Y")</f>
        <v>5.0583999999999998</v>
      </c>
      <c r="H13" s="21">
        <f>_xll.BDH("AMZN US Equity","RETURN_ON_INV_CAPITAL","FQ3 2012","FQ3 2012","Currency=USD","Period=FQ","BEST_FPERIOD_OVERRIDE=FQ","FILING_STATUS=MR","FA_ADJUSTED=GAAP","Sort=A","Dates=H","DateFormat=P","Fill=—","Direction=H","UseDPDF=Y")</f>
        <v>0.93910000000000005</v>
      </c>
      <c r="I13" s="21">
        <f>_xll.BDH("AMZN US Equity","RETURN_ON_INV_CAPITAL","FQ4 2012","FQ4 2012","Currency=USD","Period=FQ","BEST_FPERIOD_OVERRIDE=FQ","FILING_STATUS=MR","FA_ADJUSTED=GAAP","Sort=A","Dates=H","DateFormat=P","Fill=—","Direction=H","UseDPDF=Y")</f>
        <v>0.25480000000000003</v>
      </c>
      <c r="J13" s="21">
        <f>_xll.BDH("AMZN US Equity","RETURN_ON_INV_CAPITAL","FQ1 2013","FQ1 2013","Currency=USD","Period=FQ","BEST_FPERIOD_OVERRIDE=FQ","FILING_STATUS=MR","FA_ADJUSTED=GAAP","Sort=A","Dates=H","DateFormat=P","Fill=—","Direction=H","UseDPDF=Y")</f>
        <v>-0.40139999999999998</v>
      </c>
      <c r="K13" s="21">
        <f>_xll.BDH("AMZN US Equity","RETURN_ON_INV_CAPITAL","FQ2 2013","FQ2 2013","Currency=USD","Period=FQ","BEST_FPERIOD_OVERRIDE=FQ","FILING_STATUS=MR","FA_ADJUSTED=GAAP","Sort=A","Dates=H","DateFormat=P","Fill=—","Direction=H","UseDPDF=Y")</f>
        <v>-0.28489999999999999</v>
      </c>
      <c r="L13" s="21">
        <f>_xll.BDH("AMZN US Equity","RETURN_ON_INV_CAPITAL","FQ3 2013","FQ3 2013","Currency=USD","Period=FQ","BEST_FPERIOD_OVERRIDE=FQ","FILING_STATUS=MR","FA_ADJUSTED=GAAP","Sort=A","Dates=H","DateFormat=P","Fill=—","Direction=H","UseDPDF=Y")</f>
        <v>2.1255999999999999</v>
      </c>
      <c r="M13" s="21">
        <f>_xll.BDH("AMZN US Equity","RETURN_ON_INV_CAPITAL","FQ4 2013","FQ4 2013","Currency=USD","Period=FQ","BEST_FPERIOD_OVERRIDE=FQ","FILING_STATUS=MR","FA_ADJUSTED=GAAP","Sort=A","Dates=H","DateFormat=P","Fill=—","Direction=H","UseDPDF=Y")</f>
        <v>2.4295</v>
      </c>
      <c r="N13" s="21">
        <f>_xll.BDH("AMZN US Equity","RETURN_ON_INV_CAPITAL","FQ1 2014","FQ1 2014","Currency=USD","Period=FQ","BEST_FPERIOD_OVERRIDE=FQ","FILING_STATUS=MR","FA_ADJUSTED=GAAP","Sort=A","Dates=H","DateFormat=P","Fill=—","Direction=H","UseDPDF=Y")</f>
        <v>2.7989999999999999</v>
      </c>
      <c r="O13" s="21">
        <f>_xll.BDH("AMZN US Equity","RETURN_ON_INV_CAPITAL","FQ2 2014","FQ2 2014","Currency=USD","Period=FQ","BEST_FPERIOD_OVERRIDE=FQ","FILING_STATUS=MR","FA_ADJUSTED=GAAP","Sort=A","Dates=H","DateFormat=P","Fill=—","Direction=H","UseDPDF=Y")</f>
        <v>1.772</v>
      </c>
      <c r="P13" s="21">
        <f>_xll.BDH("AMZN US Equity","RETURN_ON_INV_CAPITAL","FQ3 2014","FQ3 2014","Currency=USD","Period=FQ","BEST_FPERIOD_OVERRIDE=FQ","FILING_STATUS=MR","FA_ADJUSTED=GAAP","Sort=A","Dates=H","DateFormat=P","Fill=—","Direction=H","UseDPDF=Y")</f>
        <v>-0.79479999999999995</v>
      </c>
      <c r="Q13" s="21">
        <f>_xll.BDH("AMZN US Equity","RETURN_ON_INV_CAPITAL","FQ4 2014","FQ4 2014","Currency=USD","Period=FQ","BEST_FPERIOD_OVERRIDE=FQ","FILING_STATUS=MR","FA_ADJUSTED=GAAP","Sort=A","Dates=H","DateFormat=P","Fill=—","Direction=H","UseDPDF=Y")</f>
        <v>-0.3846</v>
      </c>
      <c r="R13" s="21">
        <f>_xll.BDH("AMZN US Equity","RETURN_ON_INV_CAPITAL","FQ1 2015","FQ1 2015","Currency=USD","Period=FQ","BEST_FPERIOD_OVERRIDE=FQ","FILING_STATUS=MR","FA_ADJUSTED=GAAP","Sort=A","Dates=H","DateFormat=P","Fill=—","Direction=H","UseDPDF=Y")</f>
        <v>-4.6946000000000003</v>
      </c>
      <c r="S13" s="21">
        <f>_xll.BDH("AMZN US Equity","RETURN_ON_INV_CAPITAL","FQ2 2015","FQ2 2015","Currency=USD","Period=FQ","BEST_FPERIOD_OVERRIDE=FQ","FILING_STATUS=MR","FA_ADJUSTED=GAAP","Sort=A","Dates=H","DateFormat=P","Fill=—","Direction=H","UseDPDF=Y")</f>
        <v>-3.2071000000000001</v>
      </c>
      <c r="T13" s="21">
        <f>_xll.BDH("AMZN US Equity","RETURN_ON_INV_CAPITAL","FQ3 2015","FQ3 2015","Currency=USD","Period=FQ","BEST_FPERIOD_OVERRIDE=FQ","FILING_STATUS=MR","FA_ADJUSTED=GAAP","Sort=A","Dates=H","DateFormat=P","Fill=—","Direction=H","UseDPDF=Y")</f>
        <v>-0.34439999999999998</v>
      </c>
      <c r="U13" s="21">
        <f>_xll.BDH("AMZN US Equity","RETURN_ON_INV_CAPITAL","FQ4 2015","FQ4 2015","Currency=USD","Period=FQ","BEST_FPERIOD_OVERRIDE=FQ","FILING_STATUS=MR","FA_ADJUSTED=GAAP","Sort=A","Dates=H","DateFormat=P","Fill=—","Direction=H","UseDPDF=Y")</f>
        <v>0.72399999999999998</v>
      </c>
      <c r="V13" s="21">
        <f>_xll.BDH("AMZN US Equity","RETURN_ON_INV_CAPITAL","FQ1 2016","FQ1 2016","Currency=USD","Period=FQ","BEST_FPERIOD_OVERRIDE=FQ","FILING_STATUS=MR","FA_ADJUSTED=GAAP","Sort=A","Dates=H","DateFormat=P","Fill=—","Direction=H","UseDPDF=Y")</f>
        <v>5.0857999999999999</v>
      </c>
      <c r="W13" s="21">
        <f>_xll.BDH("AMZN US Equity","RETURN_ON_INV_CAPITAL","FQ2 2016","FQ2 2016","Currency=USD","Period=FQ","BEST_FPERIOD_OVERRIDE=FQ","FILING_STATUS=MR","FA_ADJUSTED=GAAP","Sort=A","Dates=H","DateFormat=P","Fill=—","Direction=H","UseDPDF=Y")</f>
        <v>7.7625999999999999</v>
      </c>
      <c r="X13" s="21">
        <f>_xll.BDH("AMZN US Equity","RETURN_ON_INV_CAPITAL","FQ3 2016","FQ3 2016","Currency=USD","Period=FQ","BEST_FPERIOD_OVERRIDE=FQ","FILING_STATUS=MR","FA_ADJUSTED=GAAP","Sort=A","Dates=H","DateFormat=P","Fill=—","Direction=H","UseDPDF=Y")</f>
        <v>7.9350000000000005</v>
      </c>
      <c r="Y13" s="21">
        <f>_xll.BDH("AMZN US Equity","RETURN_ON_INV_CAPITAL","FQ4 2016","FQ4 2016","Currency=USD","Period=FQ","BEST_FPERIOD_OVERRIDE=FQ","FILING_STATUS=MR","FA_ADJUSTED=GAAP","Sort=A","Dates=H","DateFormat=P","Fill=—","Direction=H","UseDPDF=Y")</f>
        <v>7.2611999999999997</v>
      </c>
      <c r="Z13" s="21">
        <f>_xll.BDH("AMZN US Equity","RETURN_ON_INV_CAPITAL","FQ1 2017","FQ1 2017","Currency=USD","Period=FQ","BEST_FPERIOD_OVERRIDE=FQ","FILING_STATUS=MR","FA_ADJUSTED=GAAP","Sort=A","Dates=H","DateFormat=P","Fill=—","Direction=H","UseDPDF=Y")</f>
        <v>7.4089999999999998</v>
      </c>
      <c r="AA13" s="21">
        <f>_xll.BDH("AMZN US Equity","RETURN_ON_INV_CAPITAL","FQ2 2017","FQ2 2017","Currency=USD","Period=FQ","BEST_FPERIOD_OVERRIDE=FQ","FILING_STATUS=MR","FA_ADJUSTED=GAAP","Sort=A","Dates=H","DateFormat=P","Fill=—","Direction=H","UseDPDF=Y")</f>
        <v>5.0532000000000004</v>
      </c>
      <c r="AB13" s="21">
        <f>_xll.BDH("AMZN US Equity","RETURN_ON_INV_CAPITAL","FQ3 2017","FQ3 2017","Currency=USD","Period=FQ","BEST_FPERIOD_OVERRIDE=FQ","FILING_STATUS=MR","FA_ADJUSTED=GAAP","Sort=A","Dates=H","DateFormat=P","Fill=—","Direction=H","UseDPDF=Y")</f>
        <v>3.8940000000000001</v>
      </c>
      <c r="AC13" s="21">
        <f>_xll.BDH("AMZN US Equity","RETURN_ON_INV_CAPITAL","FQ4 2017","FQ4 2017","Currency=USD","Period=FQ","BEST_FPERIOD_OVERRIDE=FQ","FILING_STATUS=MR","FA_ADJUSTED=GAAP","Sort=A","Dates=H","DateFormat=P","Fill=—","Direction=H","UseDPDF=Y")</f>
        <v>5.9695</v>
      </c>
      <c r="AD13" s="21">
        <f>_xll.BDH("AMZN US Equity","RETURN_ON_INV_CAPITAL","FQ1 2018","FQ1 2018","Currency=USD","Period=FQ","BEST_FPERIOD_OVERRIDE=FQ","FILING_STATUS=MR","FA_ADJUSTED=GAAP","Sort=A","Dates=H","DateFormat=P","Fill=—","Direction=H","UseDPDF=Y")</f>
        <v>7.9569999999999999</v>
      </c>
      <c r="AE13" s="21">
        <f>_xll.BDH("AMZN US Equity","RETURN_ON_INV_CAPITAL","FQ2 2018","FQ2 2018","Currency=USD","Period=FQ","BEST_FPERIOD_OVERRIDE=FQ","FILING_STATUS=MR","FA_ADJUSTED=GAAP","Sort=A","Dates=H","DateFormat=P","Fill=—","Direction=H","UseDPDF=Y")</f>
        <v>12.219900000000001</v>
      </c>
      <c r="AF13" s="21">
        <f>_xll.BDH("AMZN US Equity","RETURN_ON_INV_CAPITAL","FQ3 2018","FQ3 2018","Currency=USD","Period=FQ","BEST_FPERIOD_OVERRIDE=FQ","FILING_STATUS=MR","FA_ADJUSTED=GAAP","Sort=A","Dates=H","DateFormat=P","Fill=—","Direction=H","UseDPDF=Y")</f>
        <v>13.010899999999999</v>
      </c>
      <c r="AG13" s="21">
        <f>_xll.BDH("AMZN US Equity","RETURN_ON_INV_CAPITAL","FQ4 2018","FQ4 2018","Currency=USD","Period=FQ","BEST_FPERIOD_OVERRIDE=FQ","FILING_STATUS=MR","FA_ADJUSTED=GAAP","Sort=A","Dates=H","DateFormat=P","Fill=—","Direction=H","UseDPDF=Y")</f>
        <v>13.383599999999999</v>
      </c>
      <c r="AH13" s="21">
        <f>_xll.BDH("AMZN US Equity","RETURN_ON_INV_CAPITAL","FQ1 2019","FQ1 2019","Currency=USD","Period=FQ","BEST_FPERIOD_OVERRIDE=FQ","FILING_STATUS=MR","FA_ADJUSTED=GAAP","Sort=A","Dates=H","DateFormat=P","Fill=—","Direction=H","UseDPDF=Y")</f>
        <v>14.5115</v>
      </c>
      <c r="AI13" s="21">
        <f>_xll.BDH("AMZN US Equity","RETURN_ON_INV_CAPITAL","FQ2 2019","FQ2 2019","Currency=USD","Period=FQ","BEST_FPERIOD_OVERRIDE=FQ","FILING_STATUS=MR","FA_ADJUSTED=GAAP","Sort=A","Dates=H","DateFormat=P","Fill=—","Direction=H","UseDPDF=Y")</f>
        <v>13.558999999999999</v>
      </c>
      <c r="AJ13" s="21">
        <f>_xll.BDH("AMZN US Equity","RETURN_ON_INV_CAPITAL","FQ3 2019","FQ3 2019","Currency=USD","Period=FQ","BEST_FPERIOD_OVERRIDE=FQ","FILING_STATUS=MR","FA_ADJUSTED=GAAP","Sort=A","Dates=H","DateFormat=P","Fill=—","Direction=H","UseDPDF=Y")</f>
        <v>11.5441</v>
      </c>
      <c r="AK13" s="21">
        <f>_xll.BDH("AMZN US Equity","RETURN_ON_INV_CAPITAL","FQ4 2019","FQ4 2019","Currency=USD","Period=FQ","BEST_FPERIOD_OVERRIDE=FQ","FILING_STATUS=MR","FA_ADJUSTED=GAAP","Sort=A","Dates=H","DateFormat=P","Fill=—","Direction=H","UseDPDF=Y")</f>
        <v>10.2478</v>
      </c>
      <c r="AL13" s="21">
        <f>_xll.BDH("AMZN US Equity","RETURN_ON_INV_CAPITAL","FQ1 2020","FQ1 2020","Currency=USD","Period=FQ","BEST_FPERIOD_OVERRIDE=FQ","FILING_STATUS=MR","FA_ADJUSTED=GAAP","Sort=A","Dates=H","DateFormat=P","Fill=—","Direction=H","UseDPDF=Y")</f>
        <v>8.8165999999999993</v>
      </c>
      <c r="AM13" s="21">
        <f>_xll.BDH("AMZN US Equity","RETURN_ON_INV_CAPITAL","FQ2 2020","FQ2 2020","Currency=USD","Period=FQ","BEST_FPERIOD_OVERRIDE=FQ","FILING_STATUS=MR","FA_ADJUSTED=GAAP","Sort=A","Dates=H","DateFormat=P","Fill=—","Direction=H","UseDPDF=Y")</f>
        <v>9.4237000000000002</v>
      </c>
      <c r="AN13" s="21">
        <f>_xll.BDH("AMZN US Equity","RETURN_ON_INV_CAPITAL","FQ3 2020","FQ3 2020","Currency=USD","Period=FQ","BEST_FPERIOD_OVERRIDE=FQ","FILING_STATUS=MR","FA_ADJUSTED=GAAP","Sort=A","Dates=H","DateFormat=P","Fill=—","Direction=H","UseDPDF=Y")</f>
        <v>10.857799999999999</v>
      </c>
      <c r="AO13" s="21">
        <f>_xll.BDH("AMZN US Equity","RETURN_ON_INV_CAPITAL","FQ4 2020","FQ4 2020","Currency=USD","Period=FQ","BEST_FPERIOD_OVERRIDE=FQ","FILING_STATUS=MR","FA_ADJUSTED=GAAP","Sort=A","Dates=H","DateFormat=P","Fill=—","Direction=H","UseDPDF=Y")</f>
        <v>11.9079</v>
      </c>
      <c r="AP13" s="21">
        <f>_xll.BDH("AMZN US Equity","RETURN_ON_INV_CAPITAL","FQ1 2021","FQ1 2021","Currency=USD","Period=FQ","BEST_FPERIOD_OVERRIDE=FQ","FILING_STATUS=MR","FA_ADJUSTED=GAAP","Sort=A","Dates=H","DateFormat=P","Fill=—","Direction=H","UseDPDF=Y")</f>
        <v>13.860900000000001</v>
      </c>
    </row>
    <row r="14" spans="1:42" x14ac:dyDescent="0.25">
      <c r="A14" s="19" t="s">
        <v>87</v>
      </c>
      <c r="B14" s="19" t="s">
        <v>94</v>
      </c>
      <c r="C14" s="23">
        <v>-36.7162907621694</v>
      </c>
      <c r="D14" s="23">
        <v>-46.3476778944937</v>
      </c>
      <c r="E14" s="23">
        <v>-58.871148765758797</v>
      </c>
      <c r="F14" s="23">
        <v>-49.674655045490901</v>
      </c>
      <c r="G14" s="23">
        <v>-64.743737047909207</v>
      </c>
      <c r="H14" s="23">
        <v>-91.709884398819497</v>
      </c>
      <c r="I14" s="23">
        <v>-96.191244545835502</v>
      </c>
      <c r="J14" s="23" t="s">
        <v>88</v>
      </c>
      <c r="K14" s="23" t="s">
        <v>88</v>
      </c>
      <c r="L14" s="23">
        <v>126.34573425322399</v>
      </c>
      <c r="M14" s="23">
        <v>853.50895439791805</v>
      </c>
      <c r="N14" s="23" t="s">
        <v>88</v>
      </c>
      <c r="O14" s="23" t="s">
        <v>88</v>
      </c>
      <c r="P14" s="23" t="s">
        <v>88</v>
      </c>
      <c r="Q14" s="23" t="s">
        <v>88</v>
      </c>
      <c r="R14" s="23" t="s">
        <v>88</v>
      </c>
      <c r="S14" s="23" t="s">
        <v>88</v>
      </c>
      <c r="T14" s="23">
        <v>56.669145224624003</v>
      </c>
      <c r="U14" s="23" t="s">
        <v>88</v>
      </c>
      <c r="V14" s="23" t="s">
        <v>88</v>
      </c>
      <c r="W14" s="23" t="s">
        <v>88</v>
      </c>
      <c r="X14" s="23" t="s">
        <v>88</v>
      </c>
      <c r="Y14" s="23">
        <v>902.89907516877895</v>
      </c>
      <c r="Z14" s="23">
        <v>45.679926289114697</v>
      </c>
      <c r="AA14" s="23">
        <v>-34.903496151800802</v>
      </c>
      <c r="AB14" s="23">
        <v>-50.925788350150597</v>
      </c>
      <c r="AC14" s="23">
        <v>-17.7900851508629</v>
      </c>
      <c r="AD14" s="23">
        <v>7.3957624315141697</v>
      </c>
      <c r="AE14" s="23">
        <v>141.82694210532199</v>
      </c>
      <c r="AF14" s="23">
        <v>234.12355622643699</v>
      </c>
      <c r="AG14" s="23">
        <v>124.201806832823</v>
      </c>
      <c r="AH14" s="23">
        <v>82.374475396778095</v>
      </c>
      <c r="AI14" s="23">
        <v>10.958244397415701</v>
      </c>
      <c r="AJ14" s="23">
        <v>-11.2736709544702</v>
      </c>
      <c r="AK14" s="23">
        <v>-23.430235638093901</v>
      </c>
      <c r="AL14" s="23">
        <v>-39.243598600417997</v>
      </c>
      <c r="AM14" s="23">
        <v>-30.4987774938506</v>
      </c>
      <c r="AN14" s="23">
        <v>-5.9448334109341197</v>
      </c>
      <c r="AO14" s="23">
        <v>16.1994706378069</v>
      </c>
      <c r="AP14" s="23">
        <v>57.212217792472202</v>
      </c>
    </row>
    <row r="15" spans="1:42" x14ac:dyDescent="0.25">
      <c r="A15" s="1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</row>
    <row r="16" spans="1:42" x14ac:dyDescent="0.25">
      <c r="A16" s="14" t="s">
        <v>95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x14ac:dyDescent="0.25">
      <c r="A17" s="18" t="s">
        <v>96</v>
      </c>
      <c r="B17" s="18" t="s">
        <v>97</v>
      </c>
      <c r="C17" s="21">
        <f>_xll.BDH("AMZN US Equity","GROSS_MARGIN","FQ2 2011","FQ2 2011","Currency=USD","Period=FQ","BEST_FPERIOD_OVERRIDE=FQ","FILING_STATUS=MR","FA_ADJUSTED=GAAP","Sort=A","Dates=H","DateFormat=P","Fill=—","Direction=H","UseDPDF=Y")</f>
        <v>24.089600000000001</v>
      </c>
      <c r="D17" s="21">
        <f>_xll.BDH("AMZN US Equity","GROSS_MARGIN","FQ3 2011","FQ3 2011","Currency=USD","Period=FQ","BEST_FPERIOD_OVERRIDE=FQ","FILING_STATUS=MR","FA_ADJUSTED=GAAP","Sort=A","Dates=H","DateFormat=P","Fill=—","Direction=H","UseDPDF=Y")</f>
        <v>23.455300000000001</v>
      </c>
      <c r="E17" s="21">
        <f>_xll.BDH("AMZN US Equity","GROSS_MARGIN","FQ4 2011","FQ4 2011","Currency=USD","Period=FQ","BEST_FPERIOD_OVERRIDE=FQ","FILING_STATUS=MR","FA_ADJUSTED=GAAP","Sort=A","Dates=H","DateFormat=P","Fill=—","Direction=H","UseDPDF=Y")</f>
        <v>20.6586</v>
      </c>
      <c r="F17" s="21">
        <f>_xll.BDH("AMZN US Equity","GROSS_MARGIN","FQ1 2012","FQ1 2012","Currency=USD","Period=FQ","BEST_FPERIOD_OVERRIDE=FQ","FILING_STATUS=MR","FA_ADJUSTED=GAAP","Sort=A","Dates=H","DateFormat=P","Fill=—","Direction=H","UseDPDF=Y")</f>
        <v>23.951499999999999</v>
      </c>
      <c r="G17" s="21">
        <f>_xll.BDH("AMZN US Equity","GROSS_MARGIN","FQ2 2012","FQ2 2012","Currency=USD","Period=FQ","BEST_FPERIOD_OVERRIDE=FQ","FILING_STATUS=MR","FA_ADJUSTED=GAAP","Sort=A","Dates=H","DateFormat=P","Fill=—","Direction=H","UseDPDF=Y")</f>
        <v>26.071400000000001</v>
      </c>
      <c r="H17" s="21">
        <f>_xll.BDH("AMZN US Equity","GROSS_MARGIN","FQ3 2012","FQ3 2012","Currency=USD","Period=FQ","BEST_FPERIOD_OVERRIDE=FQ","FILING_STATUS=MR","FA_ADJUSTED=GAAP","Sort=A","Dates=H","DateFormat=P","Fill=—","Direction=H","UseDPDF=Y")</f>
        <v>25.257100000000001</v>
      </c>
      <c r="I17" s="21">
        <f>_xll.BDH("AMZN US Equity","GROSS_MARGIN","FQ4 2012","FQ4 2012","Currency=USD","Period=FQ","BEST_FPERIOD_OVERRIDE=FQ","FILING_STATUS=MR","FA_ADJUSTED=GAAP","Sort=A","Dates=H","DateFormat=P","Fill=—","Direction=H","UseDPDF=Y")</f>
        <v>24.130099999999999</v>
      </c>
      <c r="J17" s="21">
        <f>_xll.BDH("AMZN US Equity","GROSS_MARGIN","FQ1 2013","FQ1 2013","Currency=USD","Period=FQ","BEST_FPERIOD_OVERRIDE=FQ","FILING_STATUS=MR","FA_ADJUSTED=GAAP","Sort=A","Dates=H","DateFormat=P","Fill=—","Direction=H","UseDPDF=Y")</f>
        <v>26.565000000000001</v>
      </c>
      <c r="K17" s="21">
        <f>_xll.BDH("AMZN US Equity","GROSS_MARGIN","FQ2 2013","FQ2 2013","Currency=USD","Period=FQ","BEST_FPERIOD_OVERRIDE=FQ","FILING_STATUS=MR","FA_ADJUSTED=GAAP","Sort=A","Dates=H","DateFormat=P","Fill=—","Direction=H","UseDPDF=Y")</f>
        <v>28.6233</v>
      </c>
      <c r="L17" s="21">
        <f>_xll.BDH("AMZN US Equity","GROSS_MARGIN","FQ3 2013","FQ3 2013","Currency=USD","Period=FQ","BEST_FPERIOD_OVERRIDE=FQ","FILING_STATUS=MR","FA_ADJUSTED=GAAP","Sort=A","Dates=H","DateFormat=P","Fill=—","Direction=H","UseDPDF=Y")</f>
        <v>27.650400000000001</v>
      </c>
      <c r="M17" s="21">
        <f>_xll.BDH("AMZN US Equity","GROSS_MARGIN","FQ4 2013","FQ4 2013","Currency=USD","Period=FQ","BEST_FPERIOD_OVERRIDE=FQ","FILING_STATUS=MR","FA_ADJUSTED=GAAP","Sort=A","Dates=H","DateFormat=P","Fill=—","Direction=H","UseDPDF=Y")</f>
        <v>26.5017</v>
      </c>
      <c r="N17" s="21">
        <f>_xll.BDH("AMZN US Equity","GROSS_MARGIN","FQ1 2014","FQ1 2014","Currency=USD","Period=FQ","BEST_FPERIOD_OVERRIDE=FQ","FILING_STATUS=MR","FA_ADJUSTED=GAAP","Sort=A","Dates=H","DateFormat=P","Fill=—","Direction=H","UseDPDF=Y")</f>
        <v>28.803000000000001</v>
      </c>
      <c r="O17" s="21">
        <f>_xll.BDH("AMZN US Equity","GROSS_MARGIN","FQ2 2014","FQ2 2014","Currency=USD","Period=FQ","BEST_FPERIOD_OVERRIDE=FQ","FILING_STATUS=MR","FA_ADJUSTED=GAAP","Sort=A","Dates=H","DateFormat=P","Fill=—","Direction=H","UseDPDF=Y")</f>
        <v>30.718699999999998</v>
      </c>
      <c r="P17" s="21">
        <f>_xll.BDH("AMZN US Equity","GROSS_MARGIN","FQ3 2014","FQ3 2014","Currency=USD","Period=FQ","BEST_FPERIOD_OVERRIDE=FQ","FILING_STATUS=MR","FA_ADJUSTED=GAAP","Sort=A","Dates=H","DateFormat=P","Fill=—","Direction=H","UseDPDF=Y")</f>
        <v>28.922699999999999</v>
      </c>
      <c r="Q17" s="21">
        <f>_xll.BDH("AMZN US Equity","GROSS_MARGIN","FQ4 2014","FQ4 2014","Currency=USD","Period=FQ","BEST_FPERIOD_OVERRIDE=FQ","FILING_STATUS=MR","FA_ADJUSTED=GAAP","Sort=A","Dates=H","DateFormat=P","Fill=—","Direction=H","UseDPDF=Y")</f>
        <v>29.517900000000001</v>
      </c>
      <c r="R17" s="21">
        <f>_xll.BDH("AMZN US Equity","GROSS_MARGIN","FQ1 2015","FQ1 2015","Currency=USD","Period=FQ","BEST_FPERIOD_OVERRIDE=FQ","FILING_STATUS=MR","FA_ADJUSTED=GAAP","Sort=A","Dates=H","DateFormat=P","Fill=—","Direction=H","UseDPDF=Y")</f>
        <v>32.231400000000001</v>
      </c>
      <c r="S17" s="21">
        <f>_xll.BDH("AMZN US Equity","GROSS_MARGIN","FQ2 2015","FQ2 2015","Currency=USD","Period=FQ","BEST_FPERIOD_OVERRIDE=FQ","FILING_STATUS=MR","FA_ADJUSTED=GAAP","Sort=A","Dates=H","DateFormat=P","Fill=—","Direction=H","UseDPDF=Y")</f>
        <v>34.612900000000003</v>
      </c>
      <c r="T17" s="21">
        <f>_xll.BDH("AMZN US Equity","GROSS_MARGIN","FQ3 2015","FQ3 2015","Currency=USD","Period=FQ","BEST_FPERIOD_OVERRIDE=FQ","FILING_STATUS=MR","FA_ADJUSTED=GAAP","Sort=A","Dates=H","DateFormat=P","Fill=—","Direction=H","UseDPDF=Y")</f>
        <v>33.926200000000001</v>
      </c>
      <c r="U17" s="21">
        <f>_xll.BDH("AMZN US Equity","GROSS_MARGIN","FQ4 2015","FQ4 2015","Currency=USD","Period=FQ","BEST_FPERIOD_OVERRIDE=FQ","FILING_STATUS=MR","FA_ADJUSTED=GAAP","Sort=A","Dates=H","DateFormat=P","Fill=—","Direction=H","UseDPDF=Y")</f>
        <v>31.907599999999999</v>
      </c>
      <c r="V17" s="21">
        <f>_xll.BDH("AMZN US Equity","GROSS_MARGIN","FQ1 2016","FQ1 2016","Currency=USD","Period=FQ","BEST_FPERIOD_OVERRIDE=FQ","FILING_STATUS=MR","FA_ADJUSTED=GAAP","Sort=A","Dates=H","DateFormat=P","Fill=—","Direction=H","UseDPDF=Y")</f>
        <v>35.230699999999999</v>
      </c>
      <c r="W17" s="21">
        <f>_xll.BDH("AMZN US Equity","GROSS_MARGIN","FQ2 2016","FQ2 2016","Currency=USD","Period=FQ","BEST_FPERIOD_OVERRIDE=FQ","FILING_STATUS=MR","FA_ADJUSTED=GAAP","Sort=A","Dates=H","DateFormat=P","Fill=—","Direction=H","UseDPDF=Y")</f>
        <v>36.916200000000003</v>
      </c>
      <c r="X17" s="21">
        <f>_xll.BDH("AMZN US Equity","GROSS_MARGIN","FQ3 2016","FQ3 2016","Currency=USD","Period=FQ","BEST_FPERIOD_OVERRIDE=FQ","FILING_STATUS=MR","FA_ADJUSTED=GAAP","Sort=A","Dates=H","DateFormat=P","Fill=—","Direction=H","UseDPDF=Y")</f>
        <v>35.012500000000003</v>
      </c>
      <c r="Y17" s="21">
        <f>_xll.BDH("AMZN US Equity","GROSS_MARGIN","FQ4 2016","FQ4 2016","Currency=USD","Period=FQ","BEST_FPERIOD_OVERRIDE=FQ","FILING_STATUS=MR","FA_ADJUSTED=GAAP","Sort=A","Dates=H","DateFormat=P","Fill=—","Direction=H","UseDPDF=Y")</f>
        <v>33.794400000000003</v>
      </c>
      <c r="Z17" s="21">
        <f>_xll.BDH("AMZN US Equity","GROSS_MARGIN","FQ1 2017","FQ1 2017","Currency=USD","Period=FQ","BEST_FPERIOD_OVERRIDE=FQ","FILING_STATUS=MR","FA_ADJUSTED=GAAP","Sort=A","Dates=H","DateFormat=P","Fill=—","Direction=H","UseDPDF=Y")</f>
        <v>37.167499999999997</v>
      </c>
      <c r="AA17" s="21">
        <f>_xll.BDH("AMZN US Equity","GROSS_MARGIN","FQ2 2017","FQ2 2017","Currency=USD","Period=FQ","BEST_FPERIOD_OVERRIDE=FQ","FILING_STATUS=MR","FA_ADJUSTED=GAAP","Sort=A","Dates=H","DateFormat=P","Fill=—","Direction=H","UseDPDF=Y")</f>
        <v>38.213700000000003</v>
      </c>
      <c r="AB17" s="21">
        <f>_xll.BDH("AMZN US Equity","GROSS_MARGIN","FQ3 2017","FQ3 2017","Currency=USD","Period=FQ","BEST_FPERIOD_OVERRIDE=FQ","FILING_STATUS=MR","FA_ADJUSTED=GAAP","Sort=A","Dates=H","DateFormat=P","Fill=—","Direction=H","UseDPDF=Y")</f>
        <v>37.022199999999998</v>
      </c>
      <c r="AC17" s="21">
        <f>_xll.BDH("AMZN US Equity","GROSS_MARGIN","FQ4 2017","FQ4 2017","Currency=USD","Period=FQ","BEST_FPERIOD_OVERRIDE=FQ","FILING_STATUS=MR","FA_ADJUSTED=GAAP","Sort=A","Dates=H","DateFormat=P","Fill=—","Direction=H","UseDPDF=Y")</f>
        <v>36.324100000000001</v>
      </c>
      <c r="AD17" s="21">
        <f>_xll.BDH("AMZN US Equity","GROSS_MARGIN","FQ1 2018","FQ1 2018","Currency=USD","Period=FQ","BEST_FPERIOD_OVERRIDE=FQ","FILING_STATUS=MR","FA_ADJUSTED=GAAP","Sort=A","Dates=H","DateFormat=P","Fill=—","Direction=H","UseDPDF=Y")</f>
        <v>39.7849</v>
      </c>
      <c r="AE17" s="21">
        <f>_xll.BDH("AMZN US Equity","GROSS_MARGIN","FQ2 2018","FQ2 2018","Currency=USD","Period=FQ","BEST_FPERIOD_OVERRIDE=FQ","FILING_STATUS=MR","FA_ADJUSTED=GAAP","Sort=A","Dates=H","DateFormat=P","Fill=—","Direction=H","UseDPDF=Y")</f>
        <v>42.0792</v>
      </c>
      <c r="AF17" s="21">
        <f>_xll.BDH("AMZN US Equity","GROSS_MARGIN","FQ3 2018","FQ3 2018","Currency=USD","Period=FQ","BEST_FPERIOD_OVERRIDE=FQ","FILING_STATUS=MR","FA_ADJUSTED=GAAP","Sort=A","Dates=H","DateFormat=P","Fill=—","Direction=H","UseDPDF=Y")</f>
        <v>41.6661</v>
      </c>
      <c r="AG17" s="21">
        <f>_xll.BDH("AMZN US Equity","GROSS_MARGIN","FQ4 2018","FQ4 2018","Currency=USD","Period=FQ","BEST_FPERIOD_OVERRIDE=FQ","FILING_STATUS=MR","FA_ADJUSTED=GAAP","Sort=A","Dates=H","DateFormat=P","Fill=—","Direction=H","UseDPDF=Y")</f>
        <v>38.126399999999997</v>
      </c>
      <c r="AH17" s="21">
        <f>_xll.BDH("AMZN US Equity","GROSS_MARGIN","FQ1 2019","FQ1 2019","Currency=USD","Period=FQ","BEST_FPERIOD_OVERRIDE=FQ","FILING_STATUS=MR","FA_ADJUSTED=GAAP","Sort=A","Dates=H","DateFormat=P","Fill=—","Direction=H","UseDPDF=Y")</f>
        <v>43.182600000000001</v>
      </c>
      <c r="AI17" s="21">
        <f>_xll.BDH("AMZN US Equity","GROSS_MARGIN","FQ2 2019","FQ2 2019","Currency=USD","Period=FQ","BEST_FPERIOD_OVERRIDE=FQ","FILING_STATUS=MR","FA_ADJUSTED=GAAP","Sort=A","Dates=H","DateFormat=P","Fill=—","Direction=H","UseDPDF=Y")</f>
        <v>42.689700000000002</v>
      </c>
      <c r="AJ17" s="21">
        <f>_xll.BDH("AMZN US Equity","GROSS_MARGIN","FQ3 2019","FQ3 2019","Currency=USD","Period=FQ","BEST_FPERIOD_OVERRIDE=FQ","FILING_STATUS=MR","FA_ADJUSTED=GAAP","Sort=A","Dates=H","DateFormat=P","Fill=—","Direction=H","UseDPDF=Y")</f>
        <v>40.981099999999998</v>
      </c>
      <c r="AK17" s="21">
        <f>_xll.BDH("AMZN US Equity","GROSS_MARGIN","FQ4 2019","FQ4 2019","Currency=USD","Period=FQ","BEST_FPERIOD_OVERRIDE=FQ","FILING_STATUS=MR","FA_ADJUSTED=GAAP","Sort=A","Dates=H","DateFormat=P","Fill=—","Direction=H","UseDPDF=Y")</f>
        <v>38.267600000000002</v>
      </c>
      <c r="AL17" s="21">
        <f>_xll.BDH("AMZN US Equity","GROSS_MARGIN","FQ1 2020","FQ1 2020","Currency=USD","Period=FQ","BEST_FPERIOD_OVERRIDE=FQ","FILING_STATUS=MR","FA_ADJUSTED=GAAP","Sort=A","Dates=H","DateFormat=P","Fill=—","Direction=H","UseDPDF=Y")</f>
        <v>41.344200000000001</v>
      </c>
      <c r="AM17" s="21">
        <f>_xll.BDH("AMZN US Equity","GROSS_MARGIN","FQ2 2020","FQ2 2020","Currency=USD","Period=FQ","BEST_FPERIOD_OVERRIDE=FQ","FILING_STATUS=MR","FA_ADJUSTED=GAAP","Sort=A","Dates=H","DateFormat=P","Fill=—","Direction=H","UseDPDF=Y")</f>
        <v>40.7729</v>
      </c>
      <c r="AN17" s="21">
        <f>_xll.BDH("AMZN US Equity","GROSS_MARGIN","FQ3 2020","FQ3 2020","Currency=USD","Period=FQ","BEST_FPERIOD_OVERRIDE=FQ","FILING_STATUS=MR","FA_ADJUSTED=GAAP","Sort=A","Dates=H","DateFormat=P","Fill=—","Direction=H","UseDPDF=Y")</f>
        <v>40.604300000000002</v>
      </c>
      <c r="AO17" s="21">
        <f>_xll.BDH("AMZN US Equity","GROSS_MARGIN","FQ4 2020","FQ4 2020","Currency=USD","Period=FQ","BEST_FPERIOD_OVERRIDE=FQ","FILING_STATUS=MR","FA_ADJUSTED=GAAP","Sort=A","Dates=H","DateFormat=P","Fill=—","Direction=H","UseDPDF=Y")</f>
        <v>36.853200000000001</v>
      </c>
      <c r="AP17" s="21">
        <f>_xll.BDH("AMZN US Equity","GROSS_MARGIN","FQ1 2021","FQ1 2021","Currency=USD","Period=FQ","BEST_FPERIOD_OVERRIDE=FQ","FILING_STATUS=MR","FA_ADJUSTED=GAAP","Sort=A","Dates=H","DateFormat=P","Fill=—","Direction=H","UseDPDF=Y")</f>
        <v>42.4953</v>
      </c>
    </row>
    <row r="18" spans="1:42" x14ac:dyDescent="0.25">
      <c r="A18" s="19" t="s">
        <v>87</v>
      </c>
      <c r="B18" s="19" t="s">
        <v>97</v>
      </c>
      <c r="C18" s="23">
        <v>-1.6953542510014099</v>
      </c>
      <c r="D18" s="23">
        <v>-4.3868456338306903E-2</v>
      </c>
      <c r="E18" s="23">
        <v>1.66761968078235</v>
      </c>
      <c r="F18" s="23">
        <v>4.9753393115518998</v>
      </c>
      <c r="G18" s="23">
        <v>8.2267689277591796</v>
      </c>
      <c r="H18" s="23">
        <v>7.6819308409173299</v>
      </c>
      <c r="I18" s="23">
        <v>16.804393831778601</v>
      </c>
      <c r="J18" s="23">
        <v>10.911936057342601</v>
      </c>
      <c r="K18" s="23">
        <v>9.7881611375050994</v>
      </c>
      <c r="L18" s="23">
        <v>9.4754531739248993</v>
      </c>
      <c r="M18" s="23">
        <v>9.8283272100806407</v>
      </c>
      <c r="N18" s="23">
        <v>8.4245008136260893</v>
      </c>
      <c r="O18" s="23">
        <v>7.3207435583642599</v>
      </c>
      <c r="P18" s="23">
        <v>4.6014766605414996</v>
      </c>
      <c r="Q18" s="23">
        <v>11.380868251702299</v>
      </c>
      <c r="R18" s="23">
        <v>11.902823035892901</v>
      </c>
      <c r="S18" s="23">
        <v>12.6768897061394</v>
      </c>
      <c r="T18" s="23">
        <v>17.299529697931298</v>
      </c>
      <c r="U18" s="23">
        <v>8.09579499765346</v>
      </c>
      <c r="V18" s="23">
        <v>9.3056456894523993</v>
      </c>
      <c r="W18" s="23">
        <v>6.6544532997181198</v>
      </c>
      <c r="X18" s="23">
        <v>3.2021173502690701</v>
      </c>
      <c r="Y18" s="23">
        <v>5.91335480138211</v>
      </c>
      <c r="Z18" s="23">
        <v>5.4974515696619903</v>
      </c>
      <c r="AA18" s="23">
        <v>3.51466070650021</v>
      </c>
      <c r="AB18" s="23">
        <v>5.7399074782735697</v>
      </c>
      <c r="AC18" s="23">
        <v>7.4855787416257096</v>
      </c>
      <c r="AD18" s="23">
        <v>7.0421368433822797</v>
      </c>
      <c r="AE18" s="23">
        <v>10.115528279222801</v>
      </c>
      <c r="AF18" s="23">
        <v>12.5434320254161</v>
      </c>
      <c r="AG18" s="23">
        <v>4.9616389521817599</v>
      </c>
      <c r="AH18" s="23">
        <v>8.5401708985797509</v>
      </c>
      <c r="AI18" s="23">
        <v>1.45094764064964</v>
      </c>
      <c r="AJ18" s="23">
        <v>-1.64391286465487</v>
      </c>
      <c r="AK18" s="23">
        <v>0.370339614937232</v>
      </c>
      <c r="AL18" s="23">
        <v>-4.2573046816563496</v>
      </c>
      <c r="AM18" s="23">
        <v>-4.4901589459349198</v>
      </c>
      <c r="AN18" s="23">
        <v>-0.91951360142082705</v>
      </c>
      <c r="AO18" s="23">
        <v>-3.6960319882486301</v>
      </c>
      <c r="AP18" s="23">
        <v>2.7841606479618002</v>
      </c>
    </row>
    <row r="19" spans="1:42" x14ac:dyDescent="0.25">
      <c r="A19" s="18" t="s">
        <v>98</v>
      </c>
      <c r="B19" s="18" t="s">
        <v>99</v>
      </c>
      <c r="C19" s="21">
        <f>_xll.BDH("AMZN US Equity","EBITDA_TO_REVENUE","FQ2 2011","FQ2 2011","Currency=USD","Period=FQ","BEST_FPERIOD_OVERRIDE=FQ","FILING_STATUS=MR","FA_ADJUSTED=GAAP","Sort=A","Dates=H","DateFormat=P","Fill=—","Direction=H","UseDPDF=Y")</f>
        <v>4.4890999999999996</v>
      </c>
      <c r="D19" s="21">
        <f>_xll.BDH("AMZN US Equity","EBITDA_TO_REVENUE","FQ3 2011","FQ3 2011","Currency=USD","Period=FQ","BEST_FPERIOD_OVERRIDE=FQ","FILING_STATUS=MR","FA_ADJUSTED=GAAP","Sort=A","Dates=H","DateFormat=P","Fill=—","Direction=H","UseDPDF=Y")</f>
        <v>3.2824999999999998</v>
      </c>
      <c r="E19" s="21">
        <f>_xll.BDH("AMZN US Equity","EBITDA_TO_REVENUE","FQ4 2011","FQ4 2011","Currency=USD","Period=FQ","BEST_FPERIOD_OVERRIDE=FQ","FILING_STATUS=MR","FA_ADJUSTED=GAAP","Sort=A","Dates=H","DateFormat=P","Fill=—","Direction=H","UseDPDF=Y")</f>
        <v>3.5510999999999999</v>
      </c>
      <c r="F19" s="21">
        <f>_xll.BDH("AMZN US Equity","EBITDA_TO_REVENUE","FQ1 2012","FQ1 2012","Currency=USD","Period=FQ","BEST_FPERIOD_OVERRIDE=FQ","FILING_STATUS=MR","FA_ADJUSTED=GAAP","Sort=A","Dates=H","DateFormat=P","Fill=—","Direction=H","UseDPDF=Y")</f>
        <v>4.9222999999999999</v>
      </c>
      <c r="G19" s="21">
        <f>_xll.BDH("AMZN US Equity","EBITDA_TO_REVENUE","FQ2 2012","FQ2 2012","Currency=USD","Period=FQ","BEST_FPERIOD_OVERRIDE=FQ","FILING_STATUS=MR","FA_ADJUSTED=GAAP","Sort=A","Dates=H","DateFormat=P","Fill=—","Direction=H","UseDPDF=Y")</f>
        <v>4.6127000000000002</v>
      </c>
      <c r="H19" s="21">
        <f>_xll.BDH("AMZN US Equity","EBITDA_TO_REVENUE","FQ3 2012","FQ3 2012","Currency=USD","Period=FQ","BEST_FPERIOD_OVERRIDE=FQ","FILING_STATUS=MR","FA_ADJUSTED=GAAP","Sort=A","Dates=H","DateFormat=P","Fill=—","Direction=H","UseDPDF=Y")</f>
        <v>3.8098999999999998</v>
      </c>
      <c r="I19" s="21">
        <f>_xll.BDH("AMZN US Equity","EBITDA_TO_REVENUE","FQ4 2012","FQ4 2012","Currency=USD","Period=FQ","BEST_FPERIOD_OVERRIDE=FQ","FILING_STATUS=MR","FA_ADJUSTED=GAAP","Sort=A","Dates=H","DateFormat=P","Fill=—","Direction=H","UseDPDF=Y")</f>
        <v>5.0168999999999997</v>
      </c>
      <c r="J19" s="21">
        <f>_xll.BDH("AMZN US Equity","EBITDA_TO_REVENUE","FQ1 2013","FQ1 2013","Currency=USD","Period=FQ","BEST_FPERIOD_OVERRIDE=FQ","FILING_STATUS=MR","FA_ADJUSTED=GAAP","Sort=A","Dates=H","DateFormat=P","Fill=—","Direction=H","UseDPDF=Y")</f>
        <v>5.4823000000000004</v>
      </c>
      <c r="K19" s="21">
        <f>_xll.BDH("AMZN US Equity","EBITDA_TO_REVENUE","FQ2 2013","FQ2 2013","Currency=USD","Period=FQ","BEST_FPERIOD_OVERRIDE=FQ","FILING_STATUS=MR","FA_ADJUSTED=GAAP","Sort=A","Dates=H","DateFormat=P","Fill=—","Direction=H","UseDPDF=Y")</f>
        <v>5.3170999999999999</v>
      </c>
      <c r="L19" s="21">
        <f>_xll.BDH("AMZN US Equity","EBITDA_TO_REVENUE","FQ3 2013","FQ3 2013","Currency=USD","Period=FQ","BEST_FPERIOD_OVERRIDE=FQ","FILING_STATUS=MR","FA_ADJUSTED=GAAP","Sort=A","Dates=H","DateFormat=P","Fill=—","Direction=H","UseDPDF=Y")</f>
        <v>4.7332000000000001</v>
      </c>
      <c r="M19" s="21">
        <f>_xll.BDH("AMZN US Equity","EBITDA_TO_REVENUE","FQ4 2013","FQ4 2013","Currency=USD","Period=FQ","BEST_FPERIOD_OVERRIDE=FQ","FILING_STATUS=MR","FA_ADJUSTED=GAAP","Sort=A","Dates=H","DateFormat=P","Fill=—","Direction=H","UseDPDF=Y")</f>
        <v>5.7568000000000001</v>
      </c>
      <c r="N19" s="21">
        <f>_xll.BDH("AMZN US Equity","EBITDA_TO_REVENUE","FQ1 2014","FQ1 2014","Currency=USD","Period=FQ","BEST_FPERIOD_OVERRIDE=FQ","FILING_STATUS=MR","FA_ADJUSTED=GAAP","Sort=A","Dates=H","DateFormat=P","Fill=—","Direction=H","UseDPDF=Y")</f>
        <v>5.8558000000000003</v>
      </c>
      <c r="O19" s="21">
        <f>_xll.BDH("AMZN US Equity","EBITDA_TO_REVENUE","FQ2 2014","FQ2 2014","Currency=USD","Period=FQ","BEST_FPERIOD_OVERRIDE=FQ","FILING_STATUS=MR","FA_ADJUSTED=GAAP","Sort=A","Dates=H","DateFormat=P","Fill=—","Direction=H","UseDPDF=Y")</f>
        <v>5.6566999999999998</v>
      </c>
      <c r="P19" s="21">
        <f>_xll.BDH("AMZN US Equity","EBITDA_TO_REVENUE","FQ3 2014","FQ3 2014","Currency=USD","Period=FQ","BEST_FPERIOD_OVERRIDE=FQ","FILING_STATUS=MR","FA_ADJUSTED=GAAP","Sort=A","Dates=H","DateFormat=P","Fill=—","Direction=H","UseDPDF=Y")</f>
        <v>3.4161000000000001</v>
      </c>
      <c r="Q19" s="21">
        <f>_xll.BDH("AMZN US Equity","EBITDA_TO_REVENUE","FQ4 2014","FQ4 2014","Currency=USD","Period=FQ","BEST_FPERIOD_OVERRIDE=FQ","FILING_STATUS=MR","FA_ADJUSTED=GAAP","Sort=A","Dates=H","DateFormat=P","Fill=—","Direction=H","UseDPDF=Y")</f>
        <v>6.7171000000000003</v>
      </c>
      <c r="R19" s="21">
        <f>_xll.BDH("AMZN US Equity","EBITDA_TO_REVENUE","FQ1 2015","FQ1 2015","Currency=USD","Period=FQ","BEST_FPERIOD_OVERRIDE=FQ","FILING_STATUS=MR","FA_ADJUSTED=GAAP","Sort=A","Dates=H","DateFormat=P","Fill=—","Direction=H","UseDPDF=Y")</f>
        <v>7.3997000000000002</v>
      </c>
      <c r="S19" s="21">
        <f>_xll.BDH("AMZN US Equity","EBITDA_TO_REVENUE","FQ2 2015","FQ2 2015","Currency=USD","Period=FQ","BEST_FPERIOD_OVERRIDE=FQ","FILING_STATUS=MR","FA_ADJUSTED=GAAP","Sort=A","Dates=H","DateFormat=P","Fill=—","Direction=H","UseDPDF=Y")</f>
        <v>8.4882000000000009</v>
      </c>
      <c r="T19" s="21">
        <f>_xll.BDH("AMZN US Equity","EBITDA_TO_REVENUE","FQ3 2015","FQ3 2015","Currency=USD","Period=FQ","BEST_FPERIOD_OVERRIDE=FQ","FILING_STATUS=MR","FA_ADJUSTED=GAAP","Sort=A","Dates=H","DateFormat=P","Fill=—","Direction=H","UseDPDF=Y")</f>
        <v>7.9068000000000005</v>
      </c>
      <c r="U19" s="21">
        <f>_xll.BDH("AMZN US Equity","EBITDA_TO_REVENUE","FQ4 2015","FQ4 2015","Currency=USD","Period=FQ","BEST_FPERIOD_OVERRIDE=FQ","FILING_STATUS=MR","FA_ADJUSTED=GAAP","Sort=A","Dates=H","DateFormat=P","Fill=—","Direction=H","UseDPDF=Y")</f>
        <v>8.0007000000000001</v>
      </c>
      <c r="V19" s="21">
        <f>_xll.BDH("AMZN US Equity","EBITDA_TO_REVENUE","FQ1 2016","FQ1 2016","Currency=USD","Period=FQ","BEST_FPERIOD_OVERRIDE=FQ","FILING_STATUS=MR","FA_ADJUSTED=GAAP","Sort=A","Dates=H","DateFormat=P","Fill=—","Direction=H","UseDPDF=Y")</f>
        <v>9.9491999999999994</v>
      </c>
      <c r="W19" s="21">
        <f>_xll.BDH("AMZN US Equity","EBITDA_TO_REVENUE","FQ2 2016","FQ2 2016","Currency=USD","Period=FQ","BEST_FPERIOD_OVERRIDE=FQ","FILING_STATUS=MR","FA_ADJUSTED=GAAP","Sort=A","Dates=H","DateFormat=P","Fill=—","Direction=H","UseDPDF=Y")</f>
        <v>10.5052</v>
      </c>
      <c r="X19" s="21">
        <f>_xll.BDH("AMZN US Equity","EBITDA_TO_REVENUE","FQ3 2016","FQ3 2016","Currency=USD","Period=FQ","BEST_FPERIOD_OVERRIDE=FQ","FILING_STATUS=MR","FA_ADJUSTED=GAAP","Sort=A","Dates=H","DateFormat=P","Fill=—","Direction=H","UseDPDF=Y")</f>
        <v>8.1280000000000001</v>
      </c>
      <c r="Y19" s="21">
        <f>_xll.BDH("AMZN US Equity","EBITDA_TO_REVENUE","FQ4 2016","FQ4 2016","Currency=USD","Period=FQ","BEST_FPERIOD_OVERRIDE=FQ","FILING_STATUS=MR","FA_ADJUSTED=GAAP","Sort=A","Dates=H","DateFormat=P","Fill=—","Direction=H","UseDPDF=Y")</f>
        <v>8.1181999999999999</v>
      </c>
      <c r="Z19" s="21">
        <f>_xll.BDH("AMZN US Equity","EBITDA_TO_REVENUE","FQ1 2017","FQ1 2017","Currency=USD","Period=FQ","BEST_FPERIOD_OVERRIDE=FQ","FILING_STATUS=MR","FA_ADJUSTED=GAAP","Sort=A","Dates=H","DateFormat=P","Fill=—","Direction=H","UseDPDF=Y")</f>
        <v>9.6320999999999994</v>
      </c>
      <c r="AA19" s="21">
        <f>_xll.BDH("AMZN US Equity","EBITDA_TO_REVENUE","FQ2 2017","FQ2 2017","Currency=USD","Period=FQ","BEST_FPERIOD_OVERRIDE=FQ","FILING_STATUS=MR","FA_ADJUSTED=GAAP","Sort=A","Dates=H","DateFormat=P","Fill=—","Direction=H","UseDPDF=Y")</f>
        <v>8.5917999999999992</v>
      </c>
      <c r="AB19" s="21">
        <f>_xll.BDH("AMZN US Equity","EBITDA_TO_REVENUE","FQ3 2017","FQ3 2017","Currency=USD","Period=FQ","BEST_FPERIOD_OVERRIDE=FQ","FILING_STATUS=MR","FA_ADJUSTED=GAAP","Sort=A","Dates=H","DateFormat=P","Fill=—","Direction=H","UseDPDF=Y")</f>
        <v>7.4501999999999997</v>
      </c>
      <c r="AC19" s="21">
        <f>_xll.BDH("AMZN US Equity","EBITDA_TO_REVENUE","FQ4 2017","FQ4 2017","Currency=USD","Period=FQ","BEST_FPERIOD_OVERRIDE=FQ","FILING_STATUS=MR","FA_ADJUSTED=GAAP","Sort=A","Dates=H","DateFormat=P","Fill=—","Direction=H","UseDPDF=Y")</f>
        <v>9.3047000000000004</v>
      </c>
      <c r="AD19" s="21">
        <f>_xll.BDH("AMZN US Equity","EBITDA_TO_REVENUE","FQ1 2018","FQ1 2018","Currency=USD","Period=FQ","BEST_FPERIOD_OVERRIDE=FQ","FILING_STATUS=MR","FA_ADJUSTED=GAAP","Sort=A","Dates=H","DateFormat=P","Fill=—","Direction=H","UseDPDF=Y")</f>
        <v>10.9674</v>
      </c>
      <c r="AE19" s="21">
        <f>_xll.BDH("AMZN US Equity","EBITDA_TO_REVENUE","FQ2 2018","FQ2 2018","Currency=USD","Period=FQ","BEST_FPERIOD_OVERRIDE=FQ","FILING_STATUS=MR","FA_ADJUSTED=GAAP","Sort=A","Dates=H","DateFormat=P","Fill=—","Direction=H","UseDPDF=Y")</f>
        <v>12.504300000000001</v>
      </c>
      <c r="AF19" s="21">
        <f>_xll.BDH("AMZN US Equity","EBITDA_TO_REVENUE","FQ3 2018","FQ3 2018","Currency=USD","Period=FQ","BEST_FPERIOD_OVERRIDE=FQ","FILING_STATUS=MR","FA_ADJUSTED=GAAP","Sort=A","Dates=H","DateFormat=P","Fill=—","Direction=H","UseDPDF=Y")</f>
        <v>13.26</v>
      </c>
      <c r="AG19" s="21">
        <f>_xll.BDH("AMZN US Equity","EBITDA_TO_REVENUE","FQ4 2018","FQ4 2018","Currency=USD","Period=FQ","BEST_FPERIOD_OVERRIDE=FQ","FILING_STATUS=MR","FA_ADJUSTED=GAAP","Sort=A","Dates=H","DateFormat=P","Fill=—","Direction=H","UseDPDF=Y")</f>
        <v>11.118600000000001</v>
      </c>
      <c r="AH19" s="21">
        <f>_xll.BDH("AMZN US Equity","EBITDA_TO_REVENUE","FQ1 2019","FQ1 2019","Currency=USD","Period=FQ","BEST_FPERIOD_OVERRIDE=FQ","FILING_STATUS=MR","FA_ADJUSTED=GAAP","Sort=A","Dates=H","DateFormat=P","Fill=—","Direction=H","UseDPDF=Y")</f>
        <v>16.934699999999999</v>
      </c>
      <c r="AI19" s="21">
        <f>_xll.BDH("AMZN US Equity","EBITDA_TO_REVENUE","FQ2 2019","FQ2 2019","Currency=USD","Period=FQ","BEST_FPERIOD_OVERRIDE=FQ","FILING_STATUS=MR","FA_ADJUSTED=GAAP","Sort=A","Dates=H","DateFormat=P","Fill=—","Direction=H","UseDPDF=Y")</f>
        <v>14.446999999999999</v>
      </c>
      <c r="AJ19" s="21">
        <f>_xll.BDH("AMZN US Equity","EBITDA_TO_REVENUE","FQ3 2019","FQ3 2019","Currency=USD","Period=FQ","BEST_FPERIOD_OVERRIDE=FQ","FILING_STATUS=MR","FA_ADJUSTED=GAAP","Sort=A","Dates=H","DateFormat=P","Fill=—","Direction=H","UseDPDF=Y")</f>
        <v>13.795199999999999</v>
      </c>
      <c r="AK19" s="21">
        <f>_xll.BDH("AMZN US Equity","EBITDA_TO_REVENUE","FQ4 2019","FQ4 2019","Currency=USD","Period=FQ","BEST_FPERIOD_OVERRIDE=FQ","FILING_STATUS=MR","FA_ADJUSTED=GAAP","Sort=A","Dates=H","DateFormat=P","Fill=—","Direction=H","UseDPDF=Y")</f>
        <v>12.665100000000001</v>
      </c>
      <c r="AL19" s="21">
        <f>_xll.BDH("AMZN US Equity","EBITDA_TO_REVENUE","FQ1 2020","FQ1 2020","Currency=USD","Period=FQ","BEST_FPERIOD_OVERRIDE=FQ","FILING_STATUS=MR","FA_ADJUSTED=GAAP","Sort=A","Dates=H","DateFormat=P","Fill=—","Direction=H","UseDPDF=Y")</f>
        <v>13.8088</v>
      </c>
      <c r="AM19" s="21">
        <f>_xll.BDH("AMZN US Equity","EBITDA_TO_REVENUE","FQ2 2020","FQ2 2020","Currency=USD","Period=FQ","BEST_FPERIOD_OVERRIDE=FQ","FILING_STATUS=MR","FA_ADJUSTED=GAAP","Sort=A","Dates=H","DateFormat=P","Fill=—","Direction=H","UseDPDF=Y")</f>
        <v>14.328799999999999</v>
      </c>
      <c r="AN19" s="21">
        <f>_xll.BDH("AMZN US Equity","EBITDA_TO_REVENUE","FQ3 2020","FQ3 2020","Currency=USD","Period=FQ","BEST_FPERIOD_OVERRIDE=FQ","FILING_STATUS=MR","FA_ADJUSTED=GAAP","Sort=A","Dates=H","DateFormat=P","Fill=—","Direction=H","UseDPDF=Y")</f>
        <v>14.6144</v>
      </c>
      <c r="AO19" s="21">
        <f>_xll.BDH("AMZN US Equity","EBITDA_TO_REVENUE","FQ4 2020","FQ4 2020","Currency=USD","Period=FQ","BEST_FPERIOD_OVERRIDE=FQ","FILING_STATUS=MR","FA_ADJUSTED=GAAP","Sort=A","Dates=H","DateFormat=P","Fill=—","Direction=H","UseDPDF=Y")</f>
        <v>12.710800000000001</v>
      </c>
      <c r="AP19" s="21">
        <f>_xll.BDH("AMZN US Equity","EBITDA_TO_REVENUE","FQ1 2021","FQ1 2021","Currency=USD","Period=FQ","BEST_FPERIOD_OVERRIDE=FQ","FILING_STATUS=MR","FA_ADJUSTED=GAAP","Sort=A","Dates=H","DateFormat=P","Fill=—","Direction=H","UseDPDF=Y")</f>
        <v>16.521699999999999</v>
      </c>
    </row>
    <row r="20" spans="1:42" x14ac:dyDescent="0.25">
      <c r="A20" s="19" t="s">
        <v>87</v>
      </c>
      <c r="B20" s="19" t="s">
        <v>99</v>
      </c>
      <c r="C20" s="23">
        <v>-26.127480125507699</v>
      </c>
      <c r="D20" s="23">
        <v>-40.633079410197098</v>
      </c>
      <c r="E20" s="23">
        <v>-28.602132680411</v>
      </c>
      <c r="F20" s="23">
        <v>-7.4070277024969302</v>
      </c>
      <c r="G20" s="23">
        <v>2.7554128875676498</v>
      </c>
      <c r="H20" s="23">
        <v>16.069700227603899</v>
      </c>
      <c r="I20" s="23">
        <v>41.276320735988001</v>
      </c>
      <c r="J20" s="23">
        <v>11.3769894316838</v>
      </c>
      <c r="K20" s="23">
        <v>15.2700765942723</v>
      </c>
      <c r="L20" s="23">
        <v>24.2332289921778</v>
      </c>
      <c r="M20" s="23">
        <v>14.7481316750274</v>
      </c>
      <c r="N20" s="23">
        <v>6.8141178874060202</v>
      </c>
      <c r="O20" s="23">
        <v>6.3860358912546102</v>
      </c>
      <c r="P20" s="23">
        <v>-27.826892917680201</v>
      </c>
      <c r="Q20" s="23">
        <v>16.681055372488</v>
      </c>
      <c r="R20" s="23">
        <v>26.365369367603201</v>
      </c>
      <c r="S20" s="23">
        <v>50.057312871353602</v>
      </c>
      <c r="T20" s="23">
        <v>131.455921716669</v>
      </c>
      <c r="U20" s="23">
        <v>19.1084734105191</v>
      </c>
      <c r="V20" s="23">
        <v>34.453146696271297</v>
      </c>
      <c r="W20" s="23">
        <v>23.761678942660399</v>
      </c>
      <c r="X20" s="23">
        <v>2.7981572765128702</v>
      </c>
      <c r="Y20" s="23">
        <v>1.4695017455410799</v>
      </c>
      <c r="Z20" s="23">
        <v>-3.1873247972950498</v>
      </c>
      <c r="AA20" s="23">
        <v>-18.214260998627601</v>
      </c>
      <c r="AB20" s="23">
        <v>-8.3397196783127594</v>
      </c>
      <c r="AC20" s="23">
        <v>14.615333543313101</v>
      </c>
      <c r="AD20" s="23">
        <v>13.863697310559299</v>
      </c>
      <c r="AE20" s="23">
        <v>45.537866370227299</v>
      </c>
      <c r="AF20" s="23">
        <v>77.983172184777104</v>
      </c>
      <c r="AG20" s="23">
        <v>19.494174426413899</v>
      </c>
      <c r="AH20" s="23">
        <v>54.408636327952202</v>
      </c>
      <c r="AI20" s="23">
        <v>15.536984453450801</v>
      </c>
      <c r="AJ20" s="23">
        <v>4.0356816419859998</v>
      </c>
      <c r="AK20" s="23">
        <v>13.908958052667099</v>
      </c>
      <c r="AL20" s="23">
        <v>-18.4585436045916</v>
      </c>
      <c r="AM20" s="23">
        <v>-0.81859686393846898</v>
      </c>
      <c r="AN20" s="23">
        <v>5.9383959882199404</v>
      </c>
      <c r="AO20" s="23">
        <v>0.36039929826161599</v>
      </c>
      <c r="AP20" s="23">
        <v>19.6462265056165</v>
      </c>
    </row>
    <row r="21" spans="1:42" x14ac:dyDescent="0.25">
      <c r="A21" s="18" t="s">
        <v>100</v>
      </c>
      <c r="B21" s="18" t="s">
        <v>101</v>
      </c>
      <c r="C21" s="21">
        <f>_xll.BDH("AMZN US Equity","OPER_MARGIN","FQ2 2011","FQ2 2011","Currency=USD","Period=FQ","BEST_FPERIOD_OVERRIDE=FQ","FILING_STATUS=MR","FA_ADJUSTED=GAAP","Sort=A","Dates=H","DateFormat=P","Fill=—","Direction=H","UseDPDF=Y")</f>
        <v>2.0276000000000001</v>
      </c>
      <c r="D21" s="21">
        <f>_xll.BDH("AMZN US Equity","OPER_MARGIN","FQ3 2011","FQ3 2011","Currency=USD","Period=FQ","BEST_FPERIOD_OVERRIDE=FQ","FILING_STATUS=MR","FA_ADJUSTED=GAAP","Sort=A","Dates=H","DateFormat=P","Fill=—","Direction=H","UseDPDF=Y")</f>
        <v>0.72640000000000005</v>
      </c>
      <c r="E21" s="21">
        <f>_xll.BDH("AMZN US Equity","OPER_MARGIN","FQ4 2011","FQ4 2011","Currency=USD","Period=FQ","BEST_FPERIOD_OVERRIDE=FQ","FILING_STATUS=MR","FA_ADJUSTED=GAAP","Sort=A","Dates=H","DateFormat=P","Fill=—","Direction=H","UseDPDF=Y")</f>
        <v>1.4916</v>
      </c>
      <c r="F21" s="21">
        <f>_xll.BDH("AMZN US Equity","OPER_MARGIN","FQ1 2012","FQ1 2012","Currency=USD","Period=FQ","BEST_FPERIOD_OVERRIDE=FQ","FILING_STATUS=MR","FA_ADJUSTED=GAAP","Sort=A","Dates=H","DateFormat=P","Fill=—","Direction=H","UseDPDF=Y")</f>
        <v>1.4561999999999999</v>
      </c>
      <c r="G21" s="21">
        <f>_xll.BDH("AMZN US Equity","OPER_MARGIN","FQ2 2012","FQ2 2012","Currency=USD","Period=FQ","BEST_FPERIOD_OVERRIDE=FQ","FILING_STATUS=MR","FA_ADJUSTED=GAAP","Sort=A","Dates=H","DateFormat=P","Fill=—","Direction=H","UseDPDF=Y")</f>
        <v>0.8337</v>
      </c>
      <c r="H21" s="21">
        <f>_xll.BDH("AMZN US Equity","OPER_MARGIN","FQ3 2012","FQ3 2012","Currency=USD","Period=FQ","BEST_FPERIOD_OVERRIDE=FQ","FILING_STATUS=MR","FA_ADJUSTED=GAAP","Sort=A","Dates=H","DateFormat=P","Fill=—","Direction=H","UseDPDF=Y")</f>
        <v>-0.20280000000000001</v>
      </c>
      <c r="I21" s="21">
        <f>_xll.BDH("AMZN US Equity","OPER_MARGIN","FQ4 2012","FQ4 2012","Currency=USD","Period=FQ","BEST_FPERIOD_OVERRIDE=FQ","FILING_STATUS=MR","FA_ADJUSTED=GAAP","Sort=A","Dates=H","DateFormat=P","Fill=—","Direction=H","UseDPDF=Y")</f>
        <v>1.9043000000000001</v>
      </c>
      <c r="J21" s="21">
        <f>_xll.BDH("AMZN US Equity","OPER_MARGIN","FQ1 2013","FQ1 2013","Currency=USD","Period=FQ","BEST_FPERIOD_OVERRIDE=FQ","FILING_STATUS=MR","FA_ADJUSTED=GAAP","Sort=A","Dates=H","DateFormat=P","Fill=—","Direction=H","UseDPDF=Y")</f>
        <v>1.1263000000000001</v>
      </c>
      <c r="K21" s="21">
        <f>_xll.BDH("AMZN US Equity","OPER_MARGIN","FQ2 2013","FQ2 2013","Currency=USD","Period=FQ","BEST_FPERIOD_OVERRIDE=FQ","FILING_STATUS=MR","FA_ADJUSTED=GAAP","Sort=A","Dates=H","DateFormat=P","Fill=—","Direction=H","UseDPDF=Y")</f>
        <v>0.50309999999999999</v>
      </c>
      <c r="L21" s="21">
        <f>_xll.BDH("AMZN US Equity","OPER_MARGIN","FQ3 2013","FQ3 2013","Currency=USD","Period=FQ","BEST_FPERIOD_OVERRIDE=FQ","FILING_STATUS=MR","FA_ADJUSTED=GAAP","Sort=A","Dates=H","DateFormat=P","Fill=—","Direction=H","UseDPDF=Y")</f>
        <v>-0.14630000000000001</v>
      </c>
      <c r="M21" s="21">
        <f>_xll.BDH("AMZN US Equity","OPER_MARGIN","FQ4 2013","FQ4 2013","Currency=USD","Period=FQ","BEST_FPERIOD_OVERRIDE=FQ","FILING_STATUS=MR","FA_ADJUSTED=GAAP","Sort=A","Dates=H","DateFormat=P","Fill=—","Direction=H","UseDPDF=Y")</f>
        <v>1.9931999999999999</v>
      </c>
      <c r="N21" s="21">
        <f>_xll.BDH("AMZN US Equity","OPER_MARGIN","FQ1 2014","FQ1 2014","Currency=USD","Period=FQ","BEST_FPERIOD_OVERRIDE=FQ","FILING_STATUS=MR","FA_ADJUSTED=GAAP","Sort=A","Dates=H","DateFormat=P","Fill=—","Direction=H","UseDPDF=Y")</f>
        <v>0.73960000000000004</v>
      </c>
      <c r="O21" s="21">
        <f>_xll.BDH("AMZN US Equity","OPER_MARGIN","FQ2 2014","FQ2 2014","Currency=USD","Period=FQ","BEST_FPERIOD_OVERRIDE=FQ","FILING_STATUS=MR","FA_ADJUSTED=GAAP","Sort=A","Dates=H","DateFormat=P","Fill=—","Direction=H","UseDPDF=Y")</f>
        <v>-7.7600000000000002E-2</v>
      </c>
      <c r="P21" s="21">
        <f>_xll.BDH("AMZN US Equity","OPER_MARGIN","FQ3 2014","FQ3 2014","Currency=USD","Period=FQ","BEST_FPERIOD_OVERRIDE=FQ","FILING_STATUS=MR","FA_ADJUSTED=GAAP","Sort=A","Dates=H","DateFormat=P","Fill=—","Direction=H","UseDPDF=Y")</f>
        <v>-2.6435</v>
      </c>
      <c r="Q21" s="21">
        <f>_xll.BDH("AMZN US Equity","OPER_MARGIN","FQ4 2014","FQ4 2014","Currency=USD","Period=FQ","BEST_FPERIOD_OVERRIDE=FQ","FILING_STATUS=MR","FA_ADJUSTED=GAAP","Sort=A","Dates=H","DateFormat=P","Fill=—","Direction=H","UseDPDF=Y")</f>
        <v>2.0150999999999999</v>
      </c>
      <c r="R21" s="21">
        <f>_xll.BDH("AMZN US Equity","OPER_MARGIN","FQ1 2015","FQ1 2015","Currency=USD","Period=FQ","BEST_FPERIOD_OVERRIDE=FQ","FILING_STATUS=MR","FA_ADJUSTED=GAAP","Sort=A","Dates=H","DateFormat=P","Fill=—","Direction=H","UseDPDF=Y")</f>
        <v>1.1225000000000001</v>
      </c>
      <c r="S21" s="21">
        <f>_xll.BDH("AMZN US Equity","OPER_MARGIN","FQ2 2015","FQ2 2015","Currency=USD","Period=FQ","BEST_FPERIOD_OVERRIDE=FQ","FILING_STATUS=MR","FA_ADJUSTED=GAAP","Sort=A","Dates=H","DateFormat=P","Fill=—","Direction=H","UseDPDF=Y")</f>
        <v>2.0013000000000001</v>
      </c>
      <c r="T21" s="21">
        <f>_xll.BDH("AMZN US Equity","OPER_MARGIN","FQ3 2015","FQ3 2015","Currency=USD","Period=FQ","BEST_FPERIOD_OVERRIDE=FQ","FILING_STATUS=MR","FA_ADJUSTED=GAAP","Sort=A","Dates=H","DateFormat=P","Fill=—","Direction=H","UseDPDF=Y")</f>
        <v>1.6011</v>
      </c>
      <c r="U21" s="21">
        <f>_xll.BDH("AMZN US Equity","OPER_MARGIN","FQ4 2015","FQ4 2015","Currency=USD","Period=FQ","BEST_FPERIOD_OVERRIDE=FQ","FILING_STATUS=MR","FA_ADJUSTED=GAAP","Sort=A","Dates=H","DateFormat=P","Fill=—","Direction=H","UseDPDF=Y")</f>
        <v>3.0996000000000001</v>
      </c>
      <c r="V21" s="21">
        <f>_xll.BDH("AMZN US Equity","OPER_MARGIN","FQ1 2016","FQ1 2016","Currency=USD","Period=FQ","BEST_FPERIOD_OVERRIDE=FQ","FILING_STATUS=MR","FA_ADJUSTED=GAAP","Sort=A","Dates=H","DateFormat=P","Fill=—","Direction=H","UseDPDF=Y")</f>
        <v>3.6768999999999998</v>
      </c>
      <c r="W21" s="21">
        <f>_xll.BDH("AMZN US Equity","OPER_MARGIN","FQ2 2016","FQ2 2016","Currency=USD","Period=FQ","BEST_FPERIOD_OVERRIDE=FQ","FILING_STATUS=MR","FA_ADJUSTED=GAAP","Sort=A","Dates=H","DateFormat=P","Fill=—","Direction=H","UseDPDF=Y")</f>
        <v>4.2263999999999999</v>
      </c>
      <c r="X21" s="21">
        <f>_xll.BDH("AMZN US Equity","OPER_MARGIN","FQ3 2016","FQ3 2016","Currency=USD","Period=FQ","BEST_FPERIOD_OVERRIDE=FQ","FILING_STATUS=MR","FA_ADJUSTED=GAAP","Sort=A","Dates=H","DateFormat=P","Fill=—","Direction=H","UseDPDF=Y")</f>
        <v>1.7577</v>
      </c>
      <c r="Y21" s="21">
        <f>_xll.BDH("AMZN US Equity","OPER_MARGIN","FQ4 2016","FQ4 2016","Currency=USD","Period=FQ","BEST_FPERIOD_OVERRIDE=FQ","FILING_STATUS=MR","FA_ADJUSTED=GAAP","Sort=A","Dates=H","DateFormat=P","Fill=—","Direction=H","UseDPDF=Y")</f>
        <v>2.8692000000000002</v>
      </c>
      <c r="Z21" s="21">
        <f>_xll.BDH("AMZN US Equity","OPER_MARGIN","FQ1 2017","FQ1 2017","Currency=USD","Period=FQ","BEST_FPERIOD_OVERRIDE=FQ","FILING_STATUS=MR","FA_ADJUSTED=GAAP","Sort=A","Dates=H","DateFormat=P","Fill=—","Direction=H","UseDPDF=Y")</f>
        <v>2.8140000000000001</v>
      </c>
      <c r="AA21" s="21">
        <f>_xll.BDH("AMZN US Equity","OPER_MARGIN","FQ2 2017","FQ2 2017","Currency=USD","Period=FQ","BEST_FPERIOD_OVERRIDE=FQ","FILING_STATUS=MR","FA_ADJUSTED=GAAP","Sort=A","Dates=H","DateFormat=P","Fill=—","Direction=H","UseDPDF=Y")</f>
        <v>1.6545999999999998</v>
      </c>
      <c r="AB21" s="21">
        <f>_xll.BDH("AMZN US Equity","OPER_MARGIN","FQ3 2017","FQ3 2017","Currency=USD","Period=FQ","BEST_FPERIOD_OVERRIDE=FQ","FILING_STATUS=MR","FA_ADJUSTED=GAAP","Sort=A","Dates=H","DateFormat=P","Fill=—","Direction=H","UseDPDF=Y")</f>
        <v>0.79330000000000001</v>
      </c>
      <c r="AC21" s="21">
        <f>_xll.BDH("AMZN US Equity","OPER_MARGIN","FQ4 2017","FQ4 2017","Currency=USD","Period=FQ","BEST_FPERIOD_OVERRIDE=FQ","FILING_STATUS=MR","FA_ADJUSTED=GAAP","Sort=A","Dates=H","DateFormat=P","Fill=—","Direction=H","UseDPDF=Y")</f>
        <v>3.5183999999999997</v>
      </c>
      <c r="AD21" s="21">
        <f>_xll.BDH("AMZN US Equity","OPER_MARGIN","FQ1 2018","FQ1 2018","Currency=USD","Period=FQ","BEST_FPERIOD_OVERRIDE=FQ","FILING_STATUS=MR","FA_ADJUSTED=GAAP","Sort=A","Dates=H","DateFormat=P","Fill=—","Direction=H","UseDPDF=Y")</f>
        <v>3.7753000000000001</v>
      </c>
      <c r="AE21" s="21">
        <f>_xll.BDH("AMZN US Equity","OPER_MARGIN","FQ2 2018","FQ2 2018","Currency=USD","Period=FQ","BEST_FPERIOD_OVERRIDE=FQ","FILING_STATUS=MR","FA_ADJUSTED=GAAP","Sort=A","Dates=H","DateFormat=P","Fill=—","Direction=H","UseDPDF=Y")</f>
        <v>5.6403999999999996</v>
      </c>
      <c r="AF21" s="21">
        <f>_xll.BDH("AMZN US Equity","OPER_MARGIN","FQ3 2018","FQ3 2018","Currency=USD","Period=FQ","BEST_FPERIOD_OVERRIDE=FQ","FILING_STATUS=MR","FA_ADJUSTED=GAAP","Sort=A","Dates=H","DateFormat=P","Fill=—","Direction=H","UseDPDF=Y")</f>
        <v>6.5823</v>
      </c>
      <c r="AG21" s="21">
        <f>_xll.BDH("AMZN US Equity","OPER_MARGIN","FQ4 2018","FQ4 2018","Currency=USD","Period=FQ","BEST_FPERIOD_OVERRIDE=FQ","FILING_STATUS=MR","FA_ADJUSTED=GAAP","Sort=A","Dates=H","DateFormat=P","Fill=—","Direction=H","UseDPDF=Y")</f>
        <v>5.2305000000000001</v>
      </c>
      <c r="AH21" s="21">
        <f>_xll.BDH("AMZN US Equity","OPER_MARGIN","FQ1 2019","FQ1 2019","Currency=USD","Period=FQ","BEST_FPERIOD_OVERRIDE=FQ","FILING_STATUS=MR","FA_ADJUSTED=GAAP","Sort=A","Dates=H","DateFormat=P","Fill=—","Direction=H","UseDPDF=Y")</f>
        <v>7.4036999999999997</v>
      </c>
      <c r="AI21" s="21">
        <f>_xll.BDH("AMZN US Equity","OPER_MARGIN","FQ2 2019","FQ2 2019","Currency=USD","Period=FQ","BEST_FPERIOD_OVERRIDE=FQ","FILING_STATUS=MR","FA_ADJUSTED=GAAP","Sort=A","Dates=H","DateFormat=P","Fill=—","Direction=H","UseDPDF=Y")</f>
        <v>4.8639999999999999</v>
      </c>
      <c r="AJ21" s="21">
        <f>_xll.BDH("AMZN US Equity","OPER_MARGIN","FQ3 2019","FQ3 2019","Currency=USD","Period=FQ","BEST_FPERIOD_OVERRIDE=FQ","FILING_STATUS=MR","FA_ADJUSTED=GAAP","Sort=A","Dates=H","DateFormat=P","Fill=—","Direction=H","UseDPDF=Y")</f>
        <v>4.5111999999999997</v>
      </c>
      <c r="AK21" s="21">
        <f>_xll.BDH("AMZN US Equity","OPER_MARGIN","FQ4 2019","FQ4 2019","Currency=USD","Period=FQ","BEST_FPERIOD_OVERRIDE=FQ","FILING_STATUS=MR","FA_ADJUSTED=GAAP","Sort=A","Dates=H","DateFormat=P","Fill=—","Direction=H","UseDPDF=Y")</f>
        <v>4.4363000000000001</v>
      </c>
      <c r="AL21" s="21">
        <f>_xll.BDH("AMZN US Equity","OPER_MARGIN","FQ1 2020","FQ1 2020","Currency=USD","Period=FQ","BEST_FPERIOD_OVERRIDE=FQ","FILING_STATUS=MR","FA_ADJUSTED=GAAP","Sort=A","Dates=H","DateFormat=P","Fill=—","Direction=H","UseDPDF=Y")</f>
        <v>5.2868000000000004</v>
      </c>
      <c r="AM21" s="21">
        <f>_xll.BDH("AMZN US Equity","OPER_MARGIN","FQ2 2020","FQ2 2020","Currency=USD","Period=FQ","BEST_FPERIOD_OVERRIDE=FQ","FILING_STATUS=MR","FA_ADJUSTED=GAAP","Sort=A","Dates=H","DateFormat=P","Fill=—","Direction=H","UseDPDF=Y")</f>
        <v>6.5716999999999999</v>
      </c>
      <c r="AN21" s="21">
        <f>_xll.BDH("AMZN US Equity","OPER_MARGIN","FQ3 2020","FQ3 2020","Currency=USD","Period=FQ","BEST_FPERIOD_OVERRIDE=FQ","FILING_STATUS=MR","FA_ADJUSTED=GAAP","Sort=A","Dates=H","DateFormat=P","Fill=—","Direction=H","UseDPDF=Y")</f>
        <v>6.4424000000000001</v>
      </c>
      <c r="AO21" s="21">
        <f>_xll.BDH("AMZN US Equity","OPER_MARGIN","FQ4 2020","FQ4 2020","Currency=USD","Period=FQ","BEST_FPERIOD_OVERRIDE=FQ","FILING_STATUS=MR","FA_ADJUSTED=GAAP","Sort=A","Dates=H","DateFormat=P","Fill=—","Direction=H","UseDPDF=Y")</f>
        <v>5.4741</v>
      </c>
      <c r="AP21" s="21">
        <f>_xll.BDH("AMZN US Equity","OPER_MARGIN","FQ1 2021","FQ1 2021","Currency=USD","Period=FQ","BEST_FPERIOD_OVERRIDE=FQ","FILING_STATUS=MR","FA_ADJUSTED=GAAP","Sort=A","Dates=H","DateFormat=P","Fill=—","Direction=H","UseDPDF=Y")</f>
        <v>8.1692</v>
      </c>
    </row>
    <row r="22" spans="1:42" x14ac:dyDescent="0.25">
      <c r="A22" s="19" t="s">
        <v>87</v>
      </c>
      <c r="B22" s="19" t="s">
        <v>101</v>
      </c>
      <c r="C22" s="23">
        <v>-50.690803928802197</v>
      </c>
      <c r="D22" s="23">
        <v>-79.509863824107001</v>
      </c>
      <c r="E22" s="23">
        <v>-59.254910884159898</v>
      </c>
      <c r="F22" s="23">
        <v>-55.423094889849601</v>
      </c>
      <c r="G22" s="23">
        <v>-58.882099386478899</v>
      </c>
      <c r="H22" s="23" t="s">
        <v>88</v>
      </c>
      <c r="I22" s="23">
        <v>27.666625323898199</v>
      </c>
      <c r="J22" s="23">
        <v>-22.653344320835</v>
      </c>
      <c r="K22" s="23">
        <v>-39.661374341357998</v>
      </c>
      <c r="L22" s="23">
        <v>27.8797889650412</v>
      </c>
      <c r="M22" s="23">
        <v>4.6700860015050401</v>
      </c>
      <c r="N22" s="23">
        <v>-34.336894777869901</v>
      </c>
      <c r="O22" s="23" t="s">
        <v>88</v>
      </c>
      <c r="P22" s="23">
        <v>-1707.29214381918</v>
      </c>
      <c r="Q22" s="23">
        <v>1.10069235400361</v>
      </c>
      <c r="R22" s="23">
        <v>51.776688868516899</v>
      </c>
      <c r="S22" s="23" t="s">
        <v>88</v>
      </c>
      <c r="T22" s="23" t="s">
        <v>88</v>
      </c>
      <c r="U22" s="23">
        <v>53.813756768143499</v>
      </c>
      <c r="V22" s="23">
        <v>227.559115444269</v>
      </c>
      <c r="W22" s="23">
        <v>111.184263781333</v>
      </c>
      <c r="X22" s="23">
        <v>9.7799413268476894</v>
      </c>
      <c r="Y22" s="23">
        <v>-7.43327845459405</v>
      </c>
      <c r="Z22" s="23">
        <v>-23.466972216072701</v>
      </c>
      <c r="AA22" s="23">
        <v>-60.8512220040706</v>
      </c>
      <c r="AB22" s="23">
        <v>-54.868782703337502</v>
      </c>
      <c r="AC22" s="23">
        <v>22.629394924371599</v>
      </c>
      <c r="AD22" s="23">
        <v>34.161021427330198</v>
      </c>
      <c r="AE22" s="23">
        <v>240.89596764396799</v>
      </c>
      <c r="AF22" s="23">
        <v>729.786246993389</v>
      </c>
      <c r="AG22" s="23">
        <v>48.660086470238497</v>
      </c>
      <c r="AH22" s="23">
        <v>96.107378390505502</v>
      </c>
      <c r="AI22" s="23">
        <v>-13.764685483421999</v>
      </c>
      <c r="AJ22" s="23">
        <v>-31.464279333533501</v>
      </c>
      <c r="AK22" s="23">
        <v>-15.1834715926363</v>
      </c>
      <c r="AL22" s="23">
        <v>-28.592248319586801</v>
      </c>
      <c r="AM22" s="23">
        <v>35.106987063855897</v>
      </c>
      <c r="AN22" s="23">
        <v>42.807207090581201</v>
      </c>
      <c r="AO22" s="23">
        <v>23.392226514802601</v>
      </c>
      <c r="AP22" s="23">
        <v>54.519638988008801</v>
      </c>
    </row>
    <row r="23" spans="1:42" x14ac:dyDescent="0.25">
      <c r="A23" s="18" t="s">
        <v>102</v>
      </c>
      <c r="B23" s="18" t="s">
        <v>103</v>
      </c>
      <c r="C23" s="21" t="str">
        <f>_xll.BDH("AMZN US Equity","INCREMENTAL_OPERATING_MARGIN","FQ2 2011","FQ2 2011","Currency=USD","Period=FQ","BEST_FPERIOD_OVERRIDE=FQ","FILING_STATUS=MR","FA_ADJUSTED=GAAP","Sort=A","Dates=H","DateFormat=P","Fill=—","Direction=H","UseDPDF=Y")</f>
        <v>—</v>
      </c>
      <c r="D23" s="21" t="str">
        <f>_xll.BDH("AMZN US Equity","INCREMENTAL_OPERATING_MARGIN","FQ3 2011","FQ3 2011","Currency=USD","Period=FQ","BEST_FPERIOD_OVERRIDE=FQ","FILING_STATUS=MR","FA_ADJUSTED=GAAP","Sort=A","Dates=H","DateFormat=P","Fill=—","Direction=H","UseDPDF=Y")</f>
        <v>—</v>
      </c>
      <c r="E23" s="21" t="str">
        <f>_xll.BDH("AMZN US Equity","INCREMENTAL_OPERATING_MARGIN","FQ4 2011","FQ4 2011","Currency=USD","Period=FQ","BEST_FPERIOD_OVERRIDE=FQ","FILING_STATUS=MR","FA_ADJUSTED=GAAP","Sort=A","Dates=H","DateFormat=P","Fill=—","Direction=H","UseDPDF=Y")</f>
        <v>—</v>
      </c>
      <c r="F23" s="21" t="str">
        <f>_xll.BDH("AMZN US Equity","INCREMENTAL_OPERATING_MARGIN","FQ1 2012","FQ1 2012","Currency=USD","Period=FQ","BEST_FPERIOD_OVERRIDE=FQ","FILING_STATUS=MR","FA_ADJUSTED=GAAP","Sort=A","Dates=H","DateFormat=P","Fill=—","Direction=H","UseDPDF=Y")</f>
        <v>—</v>
      </c>
      <c r="G23" s="21" t="str">
        <f>_xll.BDH("AMZN US Equity","INCREMENTAL_OPERATING_MARGIN","FQ2 2012","FQ2 2012","Currency=USD","Period=FQ","BEST_FPERIOD_OVERRIDE=FQ","FILING_STATUS=MR","FA_ADJUSTED=GAAP","Sort=A","Dates=H","DateFormat=P","Fill=—","Direction=H","UseDPDF=Y")</f>
        <v>—</v>
      </c>
      <c r="H23" s="21" t="str">
        <f>_xll.BDH("AMZN US Equity","INCREMENTAL_OPERATING_MARGIN","FQ3 2012","FQ3 2012","Currency=USD","Period=FQ","BEST_FPERIOD_OVERRIDE=FQ","FILING_STATUS=MR","FA_ADJUSTED=GAAP","Sort=A","Dates=H","DateFormat=P","Fill=—","Direction=H","UseDPDF=Y")</f>
        <v>—</v>
      </c>
      <c r="I23" s="21">
        <f>_xll.BDH("AMZN US Equity","INCREMENTAL_OPERATING_MARGIN","FQ4 2012","FQ4 2012","Currency=USD","Period=FQ","BEST_FPERIOD_OVERRIDE=FQ","FILING_STATUS=MR","FA_ADJUSTED=GAAP","Sort=A","Dates=H","DateFormat=P","Fill=—","Direction=H","UseDPDF=Y")</f>
        <v>3.7789999999999999</v>
      </c>
      <c r="J23" s="21" t="str">
        <f>_xll.BDH("AMZN US Equity","INCREMENTAL_OPERATING_MARGIN","FQ1 2013","FQ1 2013","Currency=USD","Period=FQ","BEST_FPERIOD_OVERRIDE=FQ","FILING_STATUS=MR","FA_ADJUSTED=GAAP","Sort=A","Dates=H","DateFormat=P","Fill=—","Direction=H","UseDPDF=Y")</f>
        <v>—</v>
      </c>
      <c r="K23" s="21" t="str">
        <f>_xll.BDH("AMZN US Equity","INCREMENTAL_OPERATING_MARGIN","FQ2 2013","FQ2 2013","Currency=USD","Period=FQ","BEST_FPERIOD_OVERRIDE=FQ","FILING_STATUS=MR","FA_ADJUSTED=GAAP","Sort=A","Dates=H","DateFormat=P","Fill=—","Direction=H","UseDPDF=Y")</f>
        <v>—</v>
      </c>
      <c r="L23" s="21">
        <f>_xll.BDH("AMZN US Equity","INCREMENTAL_OPERATING_MARGIN","FQ3 2013","FQ3 2013","Currency=USD","Period=FQ","BEST_FPERIOD_OVERRIDE=FQ","FILING_STATUS=MR","FA_ADJUSTED=GAAP","Sort=A","Dates=H","DateFormat=P","Fill=—","Direction=H","UseDPDF=Y")</f>
        <v>9.1300000000000006E-2</v>
      </c>
      <c r="M23" s="21">
        <f>_xll.BDH("AMZN US Equity","INCREMENTAL_OPERATING_MARGIN","FQ4 2013","FQ4 2013","Currency=USD","Period=FQ","BEST_FPERIOD_OVERRIDE=FQ","FILING_STATUS=MR","FA_ADJUSTED=GAAP","Sort=A","Dates=H","DateFormat=P","Fill=—","Direction=H","UseDPDF=Y")</f>
        <v>2.4310999999999998</v>
      </c>
      <c r="N23" s="21" t="str">
        <f>_xll.BDH("AMZN US Equity","INCREMENTAL_OPERATING_MARGIN","FQ1 2014","FQ1 2014","Currency=USD","Period=FQ","BEST_FPERIOD_OVERRIDE=FQ","FILING_STATUS=MR","FA_ADJUSTED=GAAP","Sort=A","Dates=H","DateFormat=P","Fill=—","Direction=H","UseDPDF=Y")</f>
        <v>—</v>
      </c>
      <c r="O23" s="21" t="str">
        <f>_xll.BDH("AMZN US Equity","INCREMENTAL_OPERATING_MARGIN","FQ2 2014","FQ2 2014","Currency=USD","Period=FQ","BEST_FPERIOD_OVERRIDE=FQ","FILING_STATUS=MR","FA_ADJUSTED=GAAP","Sort=A","Dates=H","DateFormat=P","Fill=—","Direction=H","UseDPDF=Y")</f>
        <v>—</v>
      </c>
      <c r="P23" s="21" t="str">
        <f>_xll.BDH("AMZN US Equity","INCREMENTAL_OPERATING_MARGIN","FQ3 2014","FQ3 2014","Currency=USD","Period=FQ","BEST_FPERIOD_OVERRIDE=FQ","FILING_STATUS=MR","FA_ADJUSTED=GAAP","Sort=A","Dates=H","DateFormat=P","Fill=—","Direction=H","UseDPDF=Y")</f>
        <v>—</v>
      </c>
      <c r="Q23" s="21">
        <f>_xll.BDH("AMZN US Equity","INCREMENTAL_OPERATING_MARGIN","FQ4 2014","FQ4 2014","Currency=USD","Period=FQ","BEST_FPERIOD_OVERRIDE=FQ","FILING_STATUS=MR","FA_ADJUSTED=GAAP","Sort=A","Dates=H","DateFormat=P","Fill=—","Direction=H","UseDPDF=Y")</f>
        <v>2.1652</v>
      </c>
      <c r="R23" s="21">
        <f>_xll.BDH("AMZN US Equity","INCREMENTAL_OPERATING_MARGIN","FQ1 2015","FQ1 2015","Currency=USD","Period=FQ","BEST_FPERIOD_OVERRIDE=FQ","FILING_STATUS=MR","FA_ADJUSTED=GAAP","Sort=A","Dates=H","DateFormat=P","Fill=—","Direction=H","UseDPDF=Y")</f>
        <v>3.6625999999999999</v>
      </c>
      <c r="S23" s="21">
        <f>_xll.BDH("AMZN US Equity","INCREMENTAL_OPERATING_MARGIN","FQ2 2015","FQ2 2015","Currency=USD","Period=FQ","BEST_FPERIOD_OVERRIDE=FQ","FILING_STATUS=MR","FA_ADJUSTED=GAAP","Sort=A","Dates=H","DateFormat=P","Fill=—","Direction=H","UseDPDF=Y")</f>
        <v>12.457699999999999</v>
      </c>
      <c r="T23" s="21">
        <f>_xll.BDH("AMZN US Equity","INCREMENTAL_OPERATING_MARGIN","FQ3 2015","FQ3 2015","Currency=USD","Period=FQ","BEST_FPERIOD_OVERRIDE=FQ","FILING_STATUS=MR","FA_ADJUSTED=GAAP","Sort=A","Dates=H","DateFormat=P","Fill=—","Direction=H","UseDPDF=Y")</f>
        <v>19.878599999999999</v>
      </c>
      <c r="U23" s="21">
        <f>_xll.BDH("AMZN US Equity","INCREMENTAL_OPERATING_MARGIN","FQ4 2015","FQ4 2015","Currency=USD","Period=FQ","BEST_FPERIOD_OVERRIDE=FQ","FILING_STATUS=MR","FA_ADJUSTED=GAAP","Sort=A","Dates=H","DateFormat=P","Fill=—","Direction=H","UseDPDF=Y")</f>
        <v>8.0541999999999998</v>
      </c>
      <c r="V23" s="21">
        <f>_xll.BDH("AMZN US Equity","INCREMENTAL_OPERATING_MARGIN","FQ1 2016","FQ1 2016","Currency=USD","Period=FQ","BEST_FPERIOD_OVERRIDE=FQ","FILING_STATUS=MR","FA_ADJUSTED=GAAP","Sort=A","Dates=H","DateFormat=P","Fill=—","Direction=H","UseDPDF=Y")</f>
        <v>12.7281</v>
      </c>
      <c r="W23" s="21">
        <f>_xll.BDH("AMZN US Equity","INCREMENTAL_OPERATING_MARGIN","FQ2 2016","FQ2 2016","Currency=USD","Period=FQ","BEST_FPERIOD_OVERRIDE=FQ","FILING_STATUS=MR","FA_ADJUSTED=GAAP","Sort=A","Dates=H","DateFormat=P","Fill=—","Direction=H","UseDPDF=Y")</f>
        <v>11.3728</v>
      </c>
      <c r="X23" s="21">
        <f>_xll.BDH("AMZN US Equity","INCREMENTAL_OPERATING_MARGIN","FQ3 2016","FQ3 2016","Currency=USD","Period=FQ","BEST_FPERIOD_OVERRIDE=FQ","FILING_STATUS=MR","FA_ADJUSTED=GAAP","Sort=A","Dates=H","DateFormat=P","Fill=—","Direction=H","UseDPDF=Y")</f>
        <v>2.2974000000000001</v>
      </c>
      <c r="Y23" s="21">
        <f>_xll.BDH("AMZN US Equity","INCREMENTAL_OPERATING_MARGIN","FQ4 2016","FQ4 2016","Currency=USD","Period=FQ","BEST_FPERIOD_OVERRIDE=FQ","FILING_STATUS=MR","FA_ADJUSTED=GAAP","Sort=A","Dates=H","DateFormat=P","Fill=—","Direction=H","UseDPDF=Y")</f>
        <v>1.8389</v>
      </c>
      <c r="Z23" s="21" t="str">
        <f>_xll.BDH("AMZN US Equity","INCREMENTAL_OPERATING_MARGIN","FQ1 2017","FQ1 2017","Currency=USD","Period=FQ","BEST_FPERIOD_OVERRIDE=FQ","FILING_STATUS=MR","FA_ADJUSTED=GAAP","Sort=A","Dates=H","DateFormat=P","Fill=—","Direction=H","UseDPDF=Y")</f>
        <v>—</v>
      </c>
      <c r="AA23" s="21" t="str">
        <f>_xll.BDH("AMZN US Equity","INCREMENTAL_OPERATING_MARGIN","FQ2 2017","FQ2 2017","Currency=USD","Period=FQ","BEST_FPERIOD_OVERRIDE=FQ","FILING_STATUS=MR","FA_ADJUSTED=GAAP","Sort=A","Dates=H","DateFormat=P","Fill=—","Direction=H","UseDPDF=Y")</f>
        <v>—</v>
      </c>
      <c r="AB23" s="21" t="str">
        <f>_xll.BDH("AMZN US Equity","INCREMENTAL_OPERATING_MARGIN","FQ3 2017","FQ3 2017","Currency=USD","Period=FQ","BEST_FPERIOD_OVERRIDE=FQ","FILING_STATUS=MR","FA_ADJUSTED=GAAP","Sort=A","Dates=H","DateFormat=P","Fill=—","Direction=H","UseDPDF=Y")</f>
        <v>—</v>
      </c>
      <c r="AC23" s="21">
        <f>_xll.BDH("AMZN US Equity","INCREMENTAL_OPERATING_MARGIN","FQ4 2017","FQ4 2017","Currency=USD","Period=FQ","BEST_FPERIOD_OVERRIDE=FQ","FILING_STATUS=MR","FA_ADJUSTED=GAAP","Sort=A","Dates=H","DateFormat=P","Fill=—","Direction=H","UseDPDF=Y")</f>
        <v>5.2178000000000004</v>
      </c>
      <c r="AD23" s="21">
        <f>_xll.BDH("AMZN US Equity","INCREMENTAL_OPERATING_MARGIN","FQ1 2018","FQ1 2018","Currency=USD","Period=FQ","BEST_FPERIOD_OVERRIDE=FQ","FILING_STATUS=MR","FA_ADJUSTED=GAAP","Sort=A","Dates=H","DateFormat=P","Fill=—","Direction=H","UseDPDF=Y")</f>
        <v>6.0151000000000003</v>
      </c>
      <c r="AE23" s="21">
        <f>_xll.BDH("AMZN US Equity","INCREMENTAL_OPERATING_MARGIN","FQ2 2018","FQ2 2018","Currency=USD","Period=FQ","BEST_FPERIOD_OVERRIDE=FQ","FILING_STATUS=MR","FA_ADJUSTED=GAAP","Sort=A","Dates=H","DateFormat=P","Fill=—","Direction=H","UseDPDF=Y")</f>
        <v>15.772600000000001</v>
      </c>
      <c r="AF23" s="21">
        <f>_xll.BDH("AMZN US Equity","INCREMENTAL_OPERATING_MARGIN","FQ3 2018","FQ3 2018","Currency=USD","Period=FQ","BEST_FPERIOD_OVERRIDE=FQ","FILING_STATUS=MR","FA_ADJUSTED=GAAP","Sort=A","Dates=H","DateFormat=P","Fill=—","Direction=H","UseDPDF=Y")</f>
        <v>26.317</v>
      </c>
      <c r="AG23" s="21">
        <f>_xll.BDH("AMZN US Equity","INCREMENTAL_OPERATING_MARGIN","FQ4 2018","FQ4 2018","Currency=USD","Period=FQ","BEST_FPERIOD_OVERRIDE=FQ","FILING_STATUS=MR","FA_ADJUSTED=GAAP","Sort=A","Dates=H","DateFormat=P","Fill=—","Direction=H","UseDPDF=Y")</f>
        <v>13.9061</v>
      </c>
      <c r="AH23" s="21">
        <f>_xll.BDH("AMZN US Equity","INCREMENTAL_OPERATING_MARGIN","FQ1 2019","FQ1 2019","Currency=USD","Period=FQ","BEST_FPERIOD_OVERRIDE=FQ","FILING_STATUS=MR","FA_ADJUSTED=GAAP","Sort=A","Dates=H","DateFormat=P","Fill=—","Direction=H","UseDPDF=Y")</f>
        <v>28.7942</v>
      </c>
      <c r="AI23" s="21">
        <f>_xll.BDH("AMZN US Equity","INCREMENTAL_OPERATING_MARGIN","FQ2 2019","FQ2 2019","Currency=USD","Period=FQ","BEST_FPERIOD_OVERRIDE=FQ","FILING_STATUS=MR","FA_ADJUSTED=GAAP","Sort=A","Dates=H","DateFormat=P","Fill=—","Direction=H","UseDPDF=Y")</f>
        <v>0.96030000000000004</v>
      </c>
      <c r="AJ23" s="21" t="str">
        <f>_xll.BDH("AMZN US Equity","INCREMENTAL_OPERATING_MARGIN","FQ3 2019","FQ3 2019","Currency=USD","Period=FQ","BEST_FPERIOD_OVERRIDE=FQ","FILING_STATUS=MR","FA_ADJUSTED=GAAP","Sort=A","Dates=H","DateFormat=P","Fill=—","Direction=H","UseDPDF=Y")</f>
        <v>—</v>
      </c>
      <c r="AK23" s="21">
        <f>_xll.BDH("AMZN US Equity","INCREMENTAL_OPERATING_MARGIN","FQ4 2019","FQ4 2019","Currency=USD","Period=FQ","BEST_FPERIOD_OVERRIDE=FQ","FILING_STATUS=MR","FA_ADJUSTED=GAAP","Sort=A","Dates=H","DateFormat=P","Fill=—","Direction=H","UseDPDF=Y")</f>
        <v>0.61780000000000002</v>
      </c>
      <c r="AL23" s="21" t="str">
        <f>_xll.BDH("AMZN US Equity","INCREMENTAL_OPERATING_MARGIN","FQ1 2020","FQ1 2020","Currency=USD","Period=FQ","BEST_FPERIOD_OVERRIDE=FQ","FILING_STATUS=MR","FA_ADJUSTED=GAAP","Sort=A","Dates=H","DateFormat=P","Fill=—","Direction=H","UseDPDF=Y")</f>
        <v>—</v>
      </c>
      <c r="AM23" s="21">
        <f>_xll.BDH("AMZN US Equity","INCREMENTAL_OPERATING_MARGIN","FQ2 2020","FQ2 2020","Currency=USD","Period=FQ","BEST_FPERIOD_OVERRIDE=FQ","FILING_STATUS=MR","FA_ADJUSTED=GAAP","Sort=A","Dates=H","DateFormat=P","Fill=—","Direction=H","UseDPDF=Y")</f>
        <v>10.8162</v>
      </c>
      <c r="AN23" s="21">
        <f>_xll.BDH("AMZN US Equity","INCREMENTAL_OPERATING_MARGIN","FQ3 2020","FQ3 2020","Currency=USD","Period=FQ","BEST_FPERIOD_OVERRIDE=FQ","FILING_STATUS=MR","FA_ADJUSTED=GAAP","Sort=A","Dates=H","DateFormat=P","Fill=—","Direction=H","UseDPDF=Y")</f>
        <v>11.6076</v>
      </c>
      <c r="AO23" s="21">
        <f>_xll.BDH("AMZN US Equity","INCREMENTAL_OPERATING_MARGIN","FQ4 2020","FQ4 2020","Currency=USD","Period=FQ","BEST_FPERIOD_OVERRIDE=FQ","FILING_STATUS=MR","FA_ADJUSTED=GAAP","Sort=A","Dates=H","DateFormat=P","Fill=—","Direction=H","UseDPDF=Y")</f>
        <v>7.8545999999999996</v>
      </c>
      <c r="AP23" s="21">
        <f>_xll.BDH("AMZN US Equity","INCREMENTAL_OPERATING_MARGIN","FQ1 2021","FQ1 2021","Currency=USD","Period=FQ","BEST_FPERIOD_OVERRIDE=FQ","FILING_STATUS=MR","FA_ADJUSTED=GAAP","Sort=A","Dates=H","DateFormat=P","Fill=—","Direction=H","UseDPDF=Y")</f>
        <v>14.7463</v>
      </c>
    </row>
    <row r="24" spans="1:42" x14ac:dyDescent="0.25">
      <c r="A24" s="19" t="s">
        <v>87</v>
      </c>
      <c r="B24" s="19" t="s">
        <v>103</v>
      </c>
      <c r="C24" s="23" t="s">
        <v>88</v>
      </c>
      <c r="D24" s="23" t="s">
        <v>88</v>
      </c>
      <c r="E24" s="23" t="s">
        <v>88</v>
      </c>
      <c r="F24" s="23" t="s">
        <v>88</v>
      </c>
      <c r="G24" s="23" t="s">
        <v>88</v>
      </c>
      <c r="H24" s="23" t="s">
        <v>88</v>
      </c>
      <c r="I24" s="23" t="s">
        <v>88</v>
      </c>
      <c r="J24" s="23" t="s">
        <v>88</v>
      </c>
      <c r="K24" s="23" t="s">
        <v>88</v>
      </c>
      <c r="L24" s="23" t="s">
        <v>88</v>
      </c>
      <c r="M24" s="23">
        <v>-35.667587723081901</v>
      </c>
      <c r="N24" s="23" t="s">
        <v>88</v>
      </c>
      <c r="O24" s="23" t="s">
        <v>88</v>
      </c>
      <c r="P24" s="23" t="s">
        <v>88</v>
      </c>
      <c r="Q24" s="23">
        <v>-10.938259681348301</v>
      </c>
      <c r="R24" s="23" t="s">
        <v>88</v>
      </c>
      <c r="S24" s="23" t="s">
        <v>88</v>
      </c>
      <c r="T24" s="23" t="s">
        <v>88</v>
      </c>
      <c r="U24" s="23">
        <v>271.985446121275</v>
      </c>
      <c r="V24" s="23">
        <v>247.51285550235201</v>
      </c>
      <c r="W24" s="23">
        <v>-8.7092142015841194</v>
      </c>
      <c r="X24" s="23">
        <v>-88.442647674619096</v>
      </c>
      <c r="Y24" s="23">
        <v>-77.168734279968206</v>
      </c>
      <c r="Z24" s="23" t="s">
        <v>88</v>
      </c>
      <c r="AA24" s="23" t="s">
        <v>88</v>
      </c>
      <c r="AB24" s="23" t="s">
        <v>88</v>
      </c>
      <c r="AC24" s="23">
        <v>183.749392972566</v>
      </c>
      <c r="AD24" s="23" t="s">
        <v>88</v>
      </c>
      <c r="AE24" s="23" t="s">
        <v>88</v>
      </c>
      <c r="AF24" s="23" t="s">
        <v>88</v>
      </c>
      <c r="AG24" s="23">
        <v>166.51266202206</v>
      </c>
      <c r="AH24" s="23">
        <v>378.69539441834701</v>
      </c>
      <c r="AI24" s="23">
        <v>-93.911835711578505</v>
      </c>
      <c r="AJ24" s="23" t="s">
        <v>88</v>
      </c>
      <c r="AK24" s="23">
        <v>-95.557523993574307</v>
      </c>
      <c r="AL24" s="23" t="s">
        <v>88</v>
      </c>
      <c r="AM24" s="23">
        <v>1026.3851731668201</v>
      </c>
      <c r="AN24" s="23" t="s">
        <v>88</v>
      </c>
      <c r="AO24" s="23">
        <v>1171.4247558985801</v>
      </c>
      <c r="AP24" s="23" t="s">
        <v>88</v>
      </c>
    </row>
    <row r="25" spans="1:42" x14ac:dyDescent="0.25">
      <c r="A25" s="18" t="s">
        <v>104</v>
      </c>
      <c r="B25" s="18" t="s">
        <v>105</v>
      </c>
      <c r="C25" s="21">
        <f>_xll.BDH("AMZN US Equity","PRETAX_INC_TO_NET_SALES","FQ2 2011","FQ2 2011","Currency=USD","Period=FQ","BEST_FPERIOD_OVERRIDE=FQ","FILING_STATUS=MR","FA_ADJUSTED=GAAP","Sort=A","Dates=H","DateFormat=P","Fill=—","Direction=H","UseDPDF=Y")</f>
        <v>2.2696999999999998</v>
      </c>
      <c r="D25" s="21">
        <f>_xll.BDH("AMZN US Equity","PRETAX_INC_TO_NET_SALES","FQ3 2011","FQ3 2011","Currency=USD","Period=FQ","BEST_FPERIOD_OVERRIDE=FQ","FILING_STATUS=MR","FA_ADJUSTED=GAAP","Sort=A","Dates=H","DateFormat=P","Fill=—","Direction=H","UseDPDF=Y")</f>
        <v>1.1953</v>
      </c>
      <c r="E25" s="21">
        <f>_xll.BDH("AMZN US Equity","PRETAX_INC_TO_NET_SALES","FQ4 2011","FQ4 2011","Currency=USD","Period=FQ","BEST_FPERIOD_OVERRIDE=FQ","FILING_STATUS=MR","FA_ADJUSTED=GAAP","Sort=A","Dates=H","DateFormat=P","Fill=—","Direction=H","UseDPDF=Y")</f>
        <v>1.5662</v>
      </c>
      <c r="F25" s="21">
        <f>_xll.BDH("AMZN US Equity","PRETAX_INC_TO_NET_SALES","FQ1 2012","FQ1 2012","Currency=USD","Period=FQ","BEST_FPERIOD_OVERRIDE=FQ","FILING_STATUS=MR","FA_ADJUSTED=GAAP","Sort=A","Dates=H","DateFormat=P","Fill=—","Direction=H","UseDPDF=Y")</f>
        <v>0.6371</v>
      </c>
      <c r="G25" s="21">
        <f>_xll.BDH("AMZN US Equity","PRETAX_INC_TO_NET_SALES","FQ2 2012","FQ2 2012","Currency=USD","Period=FQ","BEST_FPERIOD_OVERRIDE=FQ","FILING_STATUS=MR","FA_ADJUSTED=GAAP","Sort=A","Dates=H","DateFormat=P","Fill=—","Direction=H","UseDPDF=Y")</f>
        <v>1.1375999999999999</v>
      </c>
      <c r="H25" s="21">
        <f>_xll.BDH("AMZN US Equity","PRETAX_INC_TO_NET_SALES","FQ3 2012","FQ3 2012","Currency=USD","Period=FQ","BEST_FPERIOD_OVERRIDE=FQ","FILING_STATUS=MR","FA_ADJUSTED=GAAP","Sort=A","Dates=H","DateFormat=P","Fill=—","Direction=H","UseDPDF=Y")</f>
        <v>-0.15939999999999999</v>
      </c>
      <c r="I25" s="21">
        <f>_xll.BDH("AMZN US Equity","PRETAX_INC_TO_NET_SALES","FQ4 2012","FQ4 2012","Currency=USD","Period=FQ","BEST_FPERIOD_OVERRIDE=FQ","FILING_STATUS=MR","FA_ADJUSTED=GAAP","Sort=A","Dates=H","DateFormat=P","Fill=—","Direction=H","UseDPDF=Y")</f>
        <v>1.5845</v>
      </c>
      <c r="J25" s="21">
        <f>_xll.BDH("AMZN US Equity","PRETAX_INC_TO_NET_SALES","FQ1 2013","FQ1 2013","Currency=USD","Period=FQ","BEST_FPERIOD_OVERRIDE=FQ","FILING_STATUS=MR","FA_ADJUSTED=GAAP","Sort=A","Dates=H","DateFormat=P","Fill=—","Direction=H","UseDPDF=Y")</f>
        <v>0.504</v>
      </c>
      <c r="K25" s="21">
        <f>_xll.BDH("AMZN US Equity","PRETAX_INC_TO_NET_SALES","FQ2 2013","FQ2 2013","Currency=USD","Period=FQ","BEST_FPERIOD_OVERRIDE=FQ","FILING_STATUS=MR","FA_ADJUSTED=GAAP","Sort=A","Dates=H","DateFormat=P","Fill=—","Direction=H","UseDPDF=Y")</f>
        <v>0.10829999999999999</v>
      </c>
      <c r="L25" s="21">
        <f>_xll.BDH("AMZN US Equity","PRETAX_INC_TO_NET_SALES","FQ3 2013","FQ3 2013","Currency=USD","Period=FQ","BEST_FPERIOD_OVERRIDE=FQ","FILING_STATUS=MR","FA_ADJUSTED=GAAP","Sort=A","Dates=H","DateFormat=P","Fill=—","Direction=H","UseDPDF=Y")</f>
        <v>-0.25159999999999999</v>
      </c>
      <c r="M25" s="21">
        <f>_xll.BDH("AMZN US Equity","PRETAX_INC_TO_NET_SALES","FQ4 2013","FQ4 2013","Currency=USD","Period=FQ","BEST_FPERIOD_OVERRIDE=FQ","FILING_STATUS=MR","FA_ADJUSTED=GAAP","Sort=A","Dates=H","DateFormat=P","Fill=—","Direction=H","UseDPDF=Y")</f>
        <v>1.7625999999999999</v>
      </c>
      <c r="N25" s="21">
        <f>_xll.BDH("AMZN US Equity","PRETAX_INC_TO_NET_SALES","FQ1 2014","FQ1 2014","Currency=USD","Period=FQ","BEST_FPERIOD_OVERRIDE=FQ","FILING_STATUS=MR","FA_ADJUSTED=GAAP","Sort=A","Dates=H","DateFormat=P","Fill=—","Direction=H","UseDPDF=Y")</f>
        <v>0.6079</v>
      </c>
      <c r="O25" s="21">
        <f>_xll.BDH("AMZN US Equity","PRETAX_INC_TO_NET_SALES","FQ2 2014","FQ2 2014","Currency=USD","Period=FQ","BEST_FPERIOD_OVERRIDE=FQ","FILING_STATUS=MR","FA_ADJUSTED=GAAP","Sort=A","Dates=H","DateFormat=P","Fill=—","Direction=H","UseDPDF=Y")</f>
        <v>-0.1396</v>
      </c>
      <c r="P25" s="21">
        <f>_xll.BDH("AMZN US Equity","PRETAX_INC_TO_NET_SALES","FQ3 2014","FQ3 2014","Currency=USD","Period=FQ","BEST_FPERIOD_OVERRIDE=FQ","FILING_STATUS=MR","FA_ADJUSTED=GAAP","Sort=A","Dates=H","DateFormat=P","Fill=—","Direction=H","UseDPDF=Y")</f>
        <v>-3.0808</v>
      </c>
      <c r="Q25" s="21">
        <f>_xll.BDH("AMZN US Equity","PRETAX_INC_TO_NET_SALES","FQ4 2014","FQ4 2014","Currency=USD","Period=FQ","BEST_FPERIOD_OVERRIDE=FQ","FILING_STATUS=MR","FA_ADJUSTED=GAAP","Sort=A","Dates=H","DateFormat=P","Fill=—","Direction=H","UseDPDF=Y")</f>
        <v>1.4628000000000001</v>
      </c>
      <c r="R25" s="21">
        <f>_xll.BDH("AMZN US Equity","PRETAX_INC_TO_NET_SALES","FQ1 2015","FQ1 2015","Currency=USD","Period=FQ","BEST_FPERIOD_OVERRIDE=FQ","FILING_STATUS=MR","FA_ADJUSTED=GAAP","Sort=A","Dates=H","DateFormat=P","Fill=—","Direction=H","UseDPDF=Y")</f>
        <v>9.2399999999999996E-2</v>
      </c>
      <c r="S25" s="21">
        <f>_xll.BDH("AMZN US Equity","PRETAX_INC_TO_NET_SALES","FQ2 2015","FQ2 2015","Currency=USD","Period=FQ","BEST_FPERIOD_OVERRIDE=FQ","FILING_STATUS=MR","FA_ADJUSTED=GAAP","Sort=A","Dates=H","DateFormat=P","Fill=—","Direction=H","UseDPDF=Y")</f>
        <v>1.5613999999999999</v>
      </c>
      <c r="T25" s="21">
        <f>_xll.BDH("AMZN US Equity","PRETAX_INC_TO_NET_SALES","FQ3 2015","FQ3 2015","Currency=USD","Period=FQ","BEST_FPERIOD_OVERRIDE=FQ","FILING_STATUS=MR","FA_ADJUSTED=GAAP","Sort=A","Dates=H","DateFormat=P","Fill=—","Direction=H","UseDPDF=Y")</f>
        <v>0.97409999999999997</v>
      </c>
      <c r="U25" s="21">
        <f>_xll.BDH("AMZN US Equity","PRETAX_INC_TO_NET_SALES","FQ4 2015","FQ4 2015","Currency=USD","Period=FQ","BEST_FPERIOD_OVERRIDE=FQ","FILING_STATUS=MR","FA_ADJUSTED=GAAP","Sort=A","Dates=H","DateFormat=P","Fill=—","Direction=H","UseDPDF=Y")</f>
        <v>2.6240000000000001</v>
      </c>
      <c r="V25" s="21">
        <f>_xll.BDH("AMZN US Equity","PRETAX_INC_TO_NET_SALES","FQ1 2016","FQ1 2016","Currency=USD","Period=FQ","BEST_FPERIOD_OVERRIDE=FQ","FILING_STATUS=MR","FA_ADJUSTED=GAAP","Sort=A","Dates=H","DateFormat=P","Fill=—","Direction=H","UseDPDF=Y")</f>
        <v>3.6254</v>
      </c>
      <c r="W25" s="21">
        <f>_xll.BDH("AMZN US Equity","PRETAX_INC_TO_NET_SALES","FQ2 2016","FQ2 2016","Currency=USD","Period=FQ","BEST_FPERIOD_OVERRIDE=FQ","FILING_STATUS=MR","FA_ADJUSTED=GAAP","Sort=A","Dates=H","DateFormat=P","Fill=—","Direction=H","UseDPDF=Y")</f>
        <v>3.8778000000000001</v>
      </c>
      <c r="X25" s="21">
        <f>_xll.BDH("AMZN US Equity","PRETAX_INC_TO_NET_SALES","FQ3 2016","FQ3 2016","Currency=USD","Period=FQ","BEST_FPERIOD_OVERRIDE=FQ","FILING_STATUS=MR","FA_ADJUSTED=GAAP","Sort=A","Dates=H","DateFormat=P","Fill=—","Direction=H","UseDPDF=Y")</f>
        <v>1.5009000000000001</v>
      </c>
      <c r="Y25" s="21">
        <f>_xll.BDH("AMZN US Equity","PRETAX_INC_TO_NET_SALES","FQ4 2016","FQ4 2016","Currency=USD","Period=FQ","BEST_FPERIOD_OVERRIDE=FQ","FILING_STATUS=MR","FA_ADJUSTED=GAAP","Sort=A","Dates=H","DateFormat=P","Fill=—","Direction=H","UseDPDF=Y")</f>
        <v>2.6657000000000002</v>
      </c>
      <c r="Z25" s="21">
        <f>_xll.BDH("AMZN US Equity","PRETAX_INC_TO_NET_SALES","FQ1 2017","FQ1 2017","Currency=USD","Period=FQ","BEST_FPERIOD_OVERRIDE=FQ","FILING_STATUS=MR","FA_ADJUSTED=GAAP","Sort=A","Dates=H","DateFormat=P","Fill=—","Direction=H","UseDPDF=Y")</f>
        <v>2.6684000000000001</v>
      </c>
      <c r="AA25" s="21">
        <f>_xll.BDH("AMZN US Equity","PRETAX_INC_TO_NET_SALES","FQ2 2017","FQ2 2017","Currency=USD","Period=FQ","BEST_FPERIOD_OVERRIDE=FQ","FILING_STATUS=MR","FA_ADJUSTED=GAAP","Sort=A","Dates=H","DateFormat=P","Fill=—","Direction=H","UseDPDF=Y")</f>
        <v>1.7547000000000001</v>
      </c>
      <c r="AB25" s="21">
        <f>_xll.BDH("AMZN US Equity","PRETAX_INC_TO_NET_SALES","FQ3 2017","FQ3 2017","Currency=USD","Period=FQ","BEST_FPERIOD_OVERRIDE=FQ","FILING_STATUS=MR","FA_ADJUSTED=GAAP","Sort=A","Dates=H","DateFormat=P","Fill=—","Direction=H","UseDPDF=Y")</f>
        <v>0.72240000000000004</v>
      </c>
      <c r="AC25" s="21">
        <f>_xll.BDH("AMZN US Equity","PRETAX_INC_TO_NET_SALES","FQ4 2017","FQ4 2017","Currency=USD","Period=FQ","BEST_FPERIOD_OVERRIDE=FQ","FILING_STATUS=MR","FA_ADJUSTED=GAAP","Sort=A","Dates=H","DateFormat=P","Fill=—","Direction=H","UseDPDF=Y")</f>
        <v>3.0966</v>
      </c>
      <c r="AD25" s="21">
        <f>_xll.BDH("AMZN US Equity","PRETAX_INC_TO_NET_SALES","FQ1 2018","FQ1 2018","Currency=USD","Period=FQ","BEST_FPERIOD_OVERRIDE=FQ","FILING_STATUS=MR","FA_ADJUSTED=GAAP","Sort=A","Dates=H","DateFormat=P","Fill=—","Direction=H","UseDPDF=Y")</f>
        <v>3.7538</v>
      </c>
      <c r="AE25" s="21">
        <f>_xll.BDH("AMZN US Equity","PRETAX_INC_TO_NET_SALES","FQ2 2018","FQ2 2018","Currency=USD","Period=FQ","BEST_FPERIOD_OVERRIDE=FQ","FILING_STATUS=MR","FA_ADJUSTED=GAAP","Sort=A","Dates=H","DateFormat=P","Fill=—","Direction=H","UseDPDF=Y")</f>
        <v>4.9257</v>
      </c>
      <c r="AF25" s="21">
        <f>_xll.BDH("AMZN US Equity","PRETAX_INC_TO_NET_SALES","FQ3 2018","FQ3 2018","Currency=USD","Period=FQ","BEST_FPERIOD_OVERRIDE=FQ","FILING_STATUS=MR","FA_ADJUSTED=GAAP","Sort=A","Dates=H","DateFormat=P","Fill=—","Direction=H","UseDPDF=Y")</f>
        <v>5.9919000000000002</v>
      </c>
      <c r="AG25" s="21">
        <f>_xll.BDH("AMZN US Equity","PRETAX_INC_TO_NET_SALES","FQ4 2018","FQ4 2018","Currency=USD","Period=FQ","BEST_FPERIOD_OVERRIDE=FQ","FILING_STATUS=MR","FA_ADJUSTED=GAAP","Sort=A","Dates=H","DateFormat=P","Fill=—","Direction=H","UseDPDF=Y")</f>
        <v>4.6281999999999996</v>
      </c>
      <c r="AH25" s="21">
        <f>_xll.BDH("AMZN US Equity","PRETAX_INC_TO_NET_SALES","FQ1 2019","FQ1 2019","Currency=USD","Period=FQ","BEST_FPERIOD_OVERRIDE=FQ","FILING_STATUS=MR","FA_ADJUSTED=GAAP","Sort=A","Dates=H","DateFormat=P","Fill=—","Direction=H","UseDPDF=Y")</f>
        <v>7.3719000000000001</v>
      </c>
      <c r="AI25" s="21">
        <f>_xll.BDH("AMZN US Equity","PRETAX_INC_TO_NET_SALES","FQ2 2019","FQ2 2019","Currency=USD","Period=FQ","BEST_FPERIOD_OVERRIDE=FQ","FILING_STATUS=MR","FA_ADJUSTED=GAAP","Sort=A","Dates=H","DateFormat=P","Fill=—","Direction=H","UseDPDF=Y")</f>
        <v>4.5564999999999998</v>
      </c>
      <c r="AJ25" s="21">
        <f>_xll.BDH("AMZN US Equity","PRETAX_INC_TO_NET_SALES","FQ3 2019","FQ3 2019","Currency=USD","Period=FQ","BEST_FPERIOD_OVERRIDE=FQ","FILING_STATUS=MR","FA_ADJUSTED=GAAP","Sort=A","Dates=H","DateFormat=P","Fill=—","Direction=H","UseDPDF=Y")</f>
        <v>3.7610000000000001</v>
      </c>
      <c r="AK25" s="21">
        <f>_xll.BDH("AMZN US Equity","PRETAX_INC_TO_NET_SALES","FQ4 2019","FQ4 2019","Currency=USD","Period=FQ","BEST_FPERIOD_OVERRIDE=FQ","FILING_STATUS=MR","FA_ADJUSTED=GAAP","Sort=A","Dates=H","DateFormat=P","Fill=—","Direction=H","UseDPDF=Y")</f>
        <v>4.6353</v>
      </c>
      <c r="AL25" s="21">
        <f>_xll.BDH("AMZN US Equity","PRETAX_INC_TO_NET_SALES","FQ1 2020","FQ1 2020","Currency=USD","Period=FQ","BEST_FPERIOD_OVERRIDE=FQ","FILING_STATUS=MR","FA_ADJUSTED=GAAP","Sort=A","Dates=H","DateFormat=P","Fill=—","Direction=H","UseDPDF=Y")</f>
        <v>4.4836</v>
      </c>
      <c r="AM25" s="21">
        <f>_xll.BDH("AMZN US Equity","PRETAX_INC_TO_NET_SALES","FQ2 2020","FQ2 2020","Currency=USD","Period=FQ","BEST_FPERIOD_OVERRIDE=FQ","FILING_STATUS=MR","FA_ADJUSTED=GAAP","Sort=A","Dates=H","DateFormat=P","Fill=—","Direction=H","UseDPDF=Y")</f>
        <v>6.9968000000000004</v>
      </c>
      <c r="AN25" s="21">
        <f>_xll.BDH("AMZN US Equity","PRETAX_INC_TO_NET_SALES","FQ3 2020","FQ3 2020","Currency=USD","Period=FQ","BEST_FPERIOD_OVERRIDE=FQ","FILING_STATUS=MR","FA_ADJUSTED=GAAP","Sort=A","Dates=H","DateFormat=P","Fill=—","Direction=H","UseDPDF=Y")</f>
        <v>7.0819999999999999</v>
      </c>
      <c r="AO25" s="21">
        <f>_xll.BDH("AMZN US Equity","PRETAX_INC_TO_NET_SALES","FQ4 2020","FQ4 2020","Currency=USD","Period=FQ","BEST_FPERIOD_OVERRIDE=FQ","FILING_STATUS=MR","FA_ADJUSTED=GAAP","Sort=A","Dates=H","DateFormat=P","Fill=—","Direction=H","UseDPDF=Y")</f>
        <v>6.1844999999999999</v>
      </c>
      <c r="AP25" s="21">
        <f>_xll.BDH("AMZN US Equity","PRETAX_INC_TO_NET_SALES","FQ1 2021","FQ1 2021","Currency=USD","Period=FQ","BEST_FPERIOD_OVERRIDE=FQ","FILING_STATUS=MR","FA_ADJUSTED=GAAP","Sort=A","Dates=H","DateFormat=P","Fill=—","Direction=H","UseDPDF=Y")</f>
        <v>9.4619999999999997</v>
      </c>
    </row>
    <row r="26" spans="1:42" x14ac:dyDescent="0.25">
      <c r="A26" s="19" t="s">
        <v>87</v>
      </c>
      <c r="B26" s="19" t="s">
        <v>105</v>
      </c>
      <c r="C26" s="23">
        <v>-49.821015709320299</v>
      </c>
      <c r="D26" s="23">
        <v>-69.053400006317304</v>
      </c>
      <c r="E26" s="23">
        <v>-59.923248546100602</v>
      </c>
      <c r="F26" s="23">
        <v>-79.5447029382849</v>
      </c>
      <c r="G26" s="23">
        <v>-49.879744306303699</v>
      </c>
      <c r="H26" s="23" t="s">
        <v>88</v>
      </c>
      <c r="I26" s="23">
        <v>1.1726020400019099</v>
      </c>
      <c r="J26" s="23">
        <v>-20.882986337837199</v>
      </c>
      <c r="K26" s="23">
        <v>-90.484114405464794</v>
      </c>
      <c r="L26" s="23">
        <v>-57.877892200237198</v>
      </c>
      <c r="M26" s="23">
        <v>11.2382142451437</v>
      </c>
      <c r="N26" s="23">
        <v>20.5987560634467</v>
      </c>
      <c r="O26" s="23" t="s">
        <v>88</v>
      </c>
      <c r="P26" s="23">
        <v>-1124.58502265681</v>
      </c>
      <c r="Q26" s="23">
        <v>-17.011552160597802</v>
      </c>
      <c r="R26" s="23">
        <v>-84.792522109917897</v>
      </c>
      <c r="S26" s="23" t="s">
        <v>88</v>
      </c>
      <c r="T26" s="23" t="s">
        <v>88</v>
      </c>
      <c r="U26" s="23">
        <v>79.385903145137405</v>
      </c>
      <c r="V26" s="23">
        <v>3821.7866337811802</v>
      </c>
      <c r="W26" s="23">
        <v>148.360013168058</v>
      </c>
      <c r="X26" s="23">
        <v>54.0868454661558</v>
      </c>
      <c r="Y26" s="23">
        <v>1.58898870272667</v>
      </c>
      <c r="Z26" s="23">
        <v>-26.396061321053999</v>
      </c>
      <c r="AA26" s="23">
        <v>-54.749613116167801</v>
      </c>
      <c r="AB26" s="23">
        <v>-51.869429123864201</v>
      </c>
      <c r="AC26" s="23">
        <v>16.1657896582912</v>
      </c>
      <c r="AD26" s="23">
        <v>40.673866679957897</v>
      </c>
      <c r="AE26" s="23">
        <v>180.71242541502599</v>
      </c>
      <c r="AF26" s="23">
        <v>729.46628183032601</v>
      </c>
      <c r="AG26" s="23">
        <v>49.458361226640299</v>
      </c>
      <c r="AH26" s="23">
        <v>96.385421486819496</v>
      </c>
      <c r="AI26" s="23">
        <v>-7.4952762953568604</v>
      </c>
      <c r="AJ26" s="23">
        <v>-37.231998317740199</v>
      </c>
      <c r="AK26" s="23">
        <v>0.15509406656080099</v>
      </c>
      <c r="AL26" s="23">
        <v>-39.178909960160702</v>
      </c>
      <c r="AM26" s="23">
        <v>53.5567579905168</v>
      </c>
      <c r="AN26" s="23">
        <v>88.300251447678704</v>
      </c>
      <c r="AO26" s="23">
        <v>33.421604513328802</v>
      </c>
      <c r="AP26" s="23">
        <v>111.034214350155</v>
      </c>
    </row>
    <row r="27" spans="1:42" x14ac:dyDescent="0.25">
      <c r="A27" s="18" t="s">
        <v>106</v>
      </c>
      <c r="B27" s="18" t="s">
        <v>107</v>
      </c>
      <c r="C27" s="21">
        <f>_xll.BDH("AMZN US Equity","INC_BEF_XO_ITEMS_TO_NET_SALES","FQ2 2011","FQ2 2011","Currency=USD","Period=FQ","BEST_FPERIOD_OVERRIDE=FQ","FILING_STATUS=MR","FA_ADJUSTED=GAAP","Sort=A","Dates=H","DateFormat=P","Fill=—","Direction=H","UseDPDF=Y")</f>
        <v>1.9268000000000001</v>
      </c>
      <c r="D27" s="21">
        <f>_xll.BDH("AMZN US Equity","INC_BEF_XO_ITEMS_TO_NET_SALES","FQ3 2011","FQ3 2011","Currency=USD","Period=FQ","BEST_FPERIOD_OVERRIDE=FQ","FILING_STATUS=MR","FA_ADJUSTED=GAAP","Sort=A","Dates=H","DateFormat=P","Fill=—","Direction=H","UseDPDF=Y")</f>
        <v>0.57930000000000004</v>
      </c>
      <c r="E27" s="21">
        <f>_xll.BDH("AMZN US Equity","INC_BEF_XO_ITEMS_TO_NET_SALES","FQ4 2011","FQ4 2011","Currency=USD","Period=FQ","BEST_FPERIOD_OVERRIDE=FQ","FILING_STATUS=MR","FA_ADJUSTED=GAAP","Sort=A","Dates=H","DateFormat=P","Fill=—","Direction=H","UseDPDF=Y")</f>
        <v>1.0154000000000001</v>
      </c>
      <c r="F27" s="21">
        <f>_xll.BDH("AMZN US Equity","INC_BEF_XO_ITEMS_TO_NET_SALES","FQ1 2012","FQ1 2012","Currency=USD","Period=FQ","BEST_FPERIOD_OVERRIDE=FQ","FILING_STATUS=MR","FA_ADJUSTED=GAAP","Sort=A","Dates=H","DateFormat=P","Fill=—","Direction=H","UseDPDF=Y")</f>
        <v>0.98599999999999999</v>
      </c>
      <c r="G27" s="21">
        <f>_xll.BDH("AMZN US Equity","INC_BEF_XO_ITEMS_TO_NET_SALES","FQ2 2012","FQ2 2012","Currency=USD","Period=FQ","BEST_FPERIOD_OVERRIDE=FQ","FILING_STATUS=MR","FA_ADJUSTED=GAAP","Sort=A","Dates=H","DateFormat=P","Fill=—","Direction=H","UseDPDF=Y")</f>
        <v>5.45E-2</v>
      </c>
      <c r="H27" s="21">
        <f>_xll.BDH("AMZN US Equity","INC_BEF_XO_ITEMS_TO_NET_SALES","FQ3 2012","FQ3 2012","Currency=USD","Period=FQ","BEST_FPERIOD_OVERRIDE=FQ","FILING_STATUS=MR","FA_ADJUSTED=GAAP","Sort=A","Dates=H","DateFormat=P","Fill=—","Direction=H","UseDPDF=Y")</f>
        <v>-1.9845999999999999</v>
      </c>
      <c r="I27" s="21">
        <f>_xll.BDH("AMZN US Equity","INC_BEF_XO_ITEMS_TO_NET_SALES","FQ4 2012","FQ4 2012","Currency=USD","Period=FQ","BEST_FPERIOD_OVERRIDE=FQ","FILING_STATUS=MR","FA_ADJUSTED=GAAP","Sort=A","Dates=H","DateFormat=P","Fill=—","Direction=H","UseDPDF=Y")</f>
        <v>0.45610000000000001</v>
      </c>
      <c r="J27" s="21">
        <f>_xll.BDH("AMZN US Equity","INC_BEF_XO_ITEMS_TO_NET_SALES","FQ1 2013","FQ1 2013","Currency=USD","Period=FQ","BEST_FPERIOD_OVERRIDE=FQ","FILING_STATUS=MR","FA_ADJUSTED=GAAP","Sort=A","Dates=H","DateFormat=P","Fill=—","Direction=H","UseDPDF=Y")</f>
        <v>0.51029999999999998</v>
      </c>
      <c r="K27" s="21">
        <f>_xll.BDH("AMZN US Equity","INC_BEF_XO_ITEMS_TO_NET_SALES","FQ2 2013","FQ2 2013","Currency=USD","Period=FQ","BEST_FPERIOD_OVERRIDE=FQ","FILING_STATUS=MR","FA_ADJUSTED=GAAP","Sort=A","Dates=H","DateFormat=P","Fill=—","Direction=H","UseDPDF=Y")</f>
        <v>-4.4600000000000001E-2</v>
      </c>
      <c r="L27" s="21">
        <f>_xll.BDH("AMZN US Equity","INC_BEF_XO_ITEMS_TO_NET_SALES","FQ3 2013","FQ3 2013","Currency=USD","Period=FQ","BEST_FPERIOD_OVERRIDE=FQ","FILING_STATUS=MR","FA_ADJUSTED=GAAP","Sort=A","Dates=H","DateFormat=P","Fill=—","Direction=H","UseDPDF=Y")</f>
        <v>-0.2399</v>
      </c>
      <c r="M27" s="21">
        <f>_xll.BDH("AMZN US Equity","INC_BEF_XO_ITEMS_TO_NET_SALES","FQ4 2013","FQ4 2013","Currency=USD","Period=FQ","BEST_FPERIOD_OVERRIDE=FQ","FILING_STATUS=MR","FA_ADJUSTED=GAAP","Sort=A","Dates=H","DateFormat=P","Fill=—","Direction=H","UseDPDF=Y")</f>
        <v>0.93410000000000004</v>
      </c>
      <c r="N27" s="21">
        <f>_xll.BDH("AMZN US Equity","INC_BEF_XO_ITEMS_TO_NET_SALES","FQ1 2014","FQ1 2014","Currency=USD","Period=FQ","BEST_FPERIOD_OVERRIDE=FQ","FILING_STATUS=MR","FA_ADJUSTED=GAAP","Sort=A","Dates=H","DateFormat=P","Fill=—","Direction=H","UseDPDF=Y")</f>
        <v>0.54710000000000003</v>
      </c>
      <c r="O27" s="21">
        <f>_xll.BDH("AMZN US Equity","INC_BEF_XO_ITEMS_TO_NET_SALES","FQ2 2014","FQ2 2014","Currency=USD","Period=FQ","BEST_FPERIOD_OVERRIDE=FQ","FILING_STATUS=MR","FA_ADJUSTED=GAAP","Sort=A","Dates=H","DateFormat=P","Fill=—","Direction=H","UseDPDF=Y")</f>
        <v>-0.65149999999999997</v>
      </c>
      <c r="P27" s="21">
        <f>_xll.BDH("AMZN US Equity","INC_BEF_XO_ITEMS_TO_NET_SALES","FQ3 2014","FQ3 2014","Currency=USD","Period=FQ","BEST_FPERIOD_OVERRIDE=FQ","FILING_STATUS=MR","FA_ADJUSTED=GAAP","Sort=A","Dates=H","DateFormat=P","Fill=—","Direction=H","UseDPDF=Y")</f>
        <v>-2.1234999999999999</v>
      </c>
      <c r="Q27" s="21">
        <f>_xll.BDH("AMZN US Equity","INC_BEF_XO_ITEMS_TO_NET_SALES","FQ4 2014","FQ4 2014","Currency=USD","Period=FQ","BEST_FPERIOD_OVERRIDE=FQ","FILING_STATUS=MR","FA_ADJUSTED=GAAP","Sort=A","Dates=H","DateFormat=P","Fill=—","Direction=H","UseDPDF=Y")</f>
        <v>0.72970000000000002</v>
      </c>
      <c r="R27" s="21">
        <f>_xll.BDH("AMZN US Equity","INC_BEF_XO_ITEMS_TO_NET_SALES","FQ1 2015","FQ1 2015","Currency=USD","Period=FQ","BEST_FPERIOD_OVERRIDE=FQ","FILING_STATUS=MR","FA_ADJUSTED=GAAP","Sort=A","Dates=H","DateFormat=P","Fill=—","Direction=H","UseDPDF=Y")</f>
        <v>-0.25090000000000001</v>
      </c>
      <c r="S27" s="21">
        <f>_xll.BDH("AMZN US Equity","INC_BEF_XO_ITEMS_TO_NET_SALES","FQ2 2015","FQ2 2015","Currency=USD","Period=FQ","BEST_FPERIOD_OVERRIDE=FQ","FILING_STATUS=MR","FA_ADJUSTED=GAAP","Sort=A","Dates=H","DateFormat=P","Fill=—","Direction=H","UseDPDF=Y")</f>
        <v>0.39679999999999999</v>
      </c>
      <c r="T27" s="21">
        <f>_xll.BDH("AMZN US Equity","INC_BEF_XO_ITEMS_TO_NET_SALES","FQ3 2015","FQ3 2015","Currency=USD","Period=FQ","BEST_FPERIOD_OVERRIDE=FQ","FILING_STATUS=MR","FA_ADJUSTED=GAAP","Sort=A","Dates=H","DateFormat=P","Fill=—","Direction=H","UseDPDF=Y")</f>
        <v>0.3115</v>
      </c>
      <c r="U27" s="21">
        <f>_xll.BDH("AMZN US Equity","INC_BEF_XO_ITEMS_TO_NET_SALES","FQ4 2015","FQ4 2015","Currency=USD","Period=FQ","BEST_FPERIOD_OVERRIDE=FQ","FILING_STATUS=MR","FA_ADJUSTED=GAAP","Sort=A","Dates=H","DateFormat=P","Fill=—","Direction=H","UseDPDF=Y")</f>
        <v>1.3484</v>
      </c>
      <c r="V27" s="21">
        <f>_xll.BDH("AMZN US Equity","INC_BEF_XO_ITEMS_TO_NET_SALES","FQ1 2016","FQ1 2016","Currency=USD","Period=FQ","BEST_FPERIOD_OVERRIDE=FQ","FILING_STATUS=MR","FA_ADJUSTED=GAAP","Sort=A","Dates=H","DateFormat=P","Fill=—","Direction=H","UseDPDF=Y")</f>
        <v>1.7612000000000001</v>
      </c>
      <c r="W27" s="21">
        <f>_xll.BDH("AMZN US Equity","INC_BEF_XO_ITEMS_TO_NET_SALES","FQ2 2016","FQ2 2016","Currency=USD","Period=FQ","BEST_FPERIOD_OVERRIDE=FQ","FILING_STATUS=MR","FA_ADJUSTED=GAAP","Sort=A","Dates=H","DateFormat=P","Fill=—","Direction=H","UseDPDF=Y")</f>
        <v>2.8186999999999998</v>
      </c>
      <c r="X27" s="21">
        <f>_xll.BDH("AMZN US Equity","INC_BEF_XO_ITEMS_TO_NET_SALES","FQ3 2016","FQ3 2016","Currency=USD","Period=FQ","BEST_FPERIOD_OVERRIDE=FQ","FILING_STATUS=MR","FA_ADJUSTED=GAAP","Sort=A","Dates=H","DateFormat=P","Fill=—","Direction=H","UseDPDF=Y")</f>
        <v>0.77029999999999998</v>
      </c>
      <c r="Y27" s="21">
        <f>_xll.BDH("AMZN US Equity","INC_BEF_XO_ITEMS_TO_NET_SALES","FQ4 2016","FQ4 2016","Currency=USD","Period=FQ","BEST_FPERIOD_OVERRIDE=FQ","FILING_STATUS=MR","FA_ADJUSTED=GAAP","Sort=A","Dates=H","DateFormat=P","Fill=—","Direction=H","UseDPDF=Y")</f>
        <v>1.7124000000000001</v>
      </c>
      <c r="Z27" s="21">
        <f>_xll.BDH("AMZN US Equity","INC_BEF_XO_ITEMS_TO_NET_SALES","FQ1 2017","FQ1 2017","Currency=USD","Period=FQ","BEST_FPERIOD_OVERRIDE=FQ","FILING_STATUS=MR","FA_ADJUSTED=GAAP","Sort=A","Dates=H","DateFormat=P","Fill=—","Direction=H","UseDPDF=Y")</f>
        <v>2.0272000000000001</v>
      </c>
      <c r="AA27" s="21">
        <f>_xll.BDH("AMZN US Equity","INC_BEF_XO_ITEMS_TO_NET_SALES","FQ2 2017","FQ2 2017","Currency=USD","Period=FQ","BEST_FPERIOD_OVERRIDE=FQ","FILING_STATUS=MR","FA_ADJUSTED=GAAP","Sort=A","Dates=H","DateFormat=P","Fill=—","Direction=H","UseDPDF=Y")</f>
        <v>0.51900000000000002</v>
      </c>
      <c r="AB27" s="21">
        <f>_xll.BDH("AMZN US Equity","INC_BEF_XO_ITEMS_TO_NET_SALES","FQ3 2017","FQ3 2017","Currency=USD","Period=FQ","BEST_FPERIOD_OVERRIDE=FQ","FILING_STATUS=MR","FA_ADJUSTED=GAAP","Sort=A","Dates=H","DateFormat=P","Fill=—","Direction=H","UseDPDF=Y")</f>
        <v>0.58520000000000005</v>
      </c>
      <c r="AC27" s="21">
        <f>_xll.BDH("AMZN US Equity","INC_BEF_XO_ITEMS_TO_NET_SALES","FQ4 2017","FQ4 2017","Currency=USD","Period=FQ","BEST_FPERIOD_OVERRIDE=FQ","FILING_STATUS=MR","FA_ADJUSTED=GAAP","Sort=A","Dates=H","DateFormat=P","Fill=—","Direction=H","UseDPDF=Y")</f>
        <v>3.0701999999999998</v>
      </c>
      <c r="AD27" s="21">
        <f>_xll.BDH("AMZN US Equity","INC_BEF_XO_ITEMS_TO_NET_SALES","FQ1 2018","FQ1 2018","Currency=USD","Period=FQ","BEST_FPERIOD_OVERRIDE=FQ","FILING_STATUS=MR","FA_ADJUSTED=GAAP","Sort=A","Dates=H","DateFormat=P","Fill=—","Direction=H","UseDPDF=Y")</f>
        <v>3.1915</v>
      </c>
      <c r="AE27" s="21">
        <f>_xll.BDH("AMZN US Equity","INC_BEF_XO_ITEMS_TO_NET_SALES","FQ2 2018","FQ2 2018","Currency=USD","Period=FQ","BEST_FPERIOD_OVERRIDE=FQ","FILING_STATUS=MR","FA_ADJUSTED=GAAP","Sort=A","Dates=H","DateFormat=P","Fill=—","Direction=H","UseDPDF=Y")</f>
        <v>4.7914000000000003</v>
      </c>
      <c r="AF27" s="21">
        <f>_xll.BDH("AMZN US Equity","INC_BEF_XO_ITEMS_TO_NET_SALES","FQ3 2018","FQ3 2018","Currency=USD","Period=FQ","BEST_FPERIOD_OVERRIDE=FQ","FILING_STATUS=MR","FA_ADJUSTED=GAAP","Sort=A","Dates=H","DateFormat=P","Fill=—","Direction=H","UseDPDF=Y")</f>
        <v>5.0957999999999997</v>
      </c>
      <c r="AG27" s="21">
        <f>_xll.BDH("AMZN US Equity","INC_BEF_XO_ITEMS_TO_NET_SALES","FQ4 2018","FQ4 2018","Currency=USD","Period=FQ","BEST_FPERIOD_OVERRIDE=FQ","FILING_STATUS=MR","FA_ADJUSTED=GAAP","Sort=A","Dates=H","DateFormat=P","Fill=—","Direction=H","UseDPDF=Y")</f>
        <v>4.1818999999999997</v>
      </c>
      <c r="AH27" s="21">
        <f>_xll.BDH("AMZN US Equity","INC_BEF_XO_ITEMS_TO_NET_SALES","FQ1 2019","FQ1 2019","Currency=USD","Period=FQ","BEST_FPERIOD_OVERRIDE=FQ","FILING_STATUS=MR","FA_ADJUSTED=GAAP","Sort=A","Dates=H","DateFormat=P","Fill=—","Direction=H","UseDPDF=Y")</f>
        <v>5.9648000000000003</v>
      </c>
      <c r="AI27" s="21">
        <f>_xll.BDH("AMZN US Equity","INC_BEF_XO_ITEMS_TO_NET_SALES","FQ2 2019","FQ2 2019","Currency=USD","Period=FQ","BEST_FPERIOD_OVERRIDE=FQ","FILING_STATUS=MR","FA_ADJUSTED=GAAP","Sort=A","Dates=H","DateFormat=P","Fill=—","Direction=H","UseDPDF=Y")</f>
        <v>4.1401000000000003</v>
      </c>
      <c r="AJ27" s="21">
        <f>_xll.BDH("AMZN US Equity","INC_BEF_XO_ITEMS_TO_NET_SALES","FQ3 2019","FQ3 2019","Currency=USD","Period=FQ","BEST_FPERIOD_OVERRIDE=FQ","FILING_STATUS=MR","FA_ADJUSTED=GAAP","Sort=A","Dates=H","DateFormat=P","Fill=—","Direction=H","UseDPDF=Y")</f>
        <v>3.0493999999999999</v>
      </c>
      <c r="AK27" s="21">
        <f>_xll.BDH("AMZN US Equity","INC_BEF_XO_ITEMS_TO_NET_SALES","FQ4 2019","FQ4 2019","Currency=USD","Period=FQ","BEST_FPERIOD_OVERRIDE=FQ","FILING_STATUS=MR","FA_ADJUSTED=GAAP","Sort=A","Dates=H","DateFormat=P","Fill=—","Direction=H","UseDPDF=Y")</f>
        <v>3.7374999999999998</v>
      </c>
      <c r="AL27" s="21">
        <f>_xll.BDH("AMZN US Equity","INC_BEF_XO_ITEMS_TO_NET_SALES","FQ1 2020","FQ1 2020","Currency=USD","Period=FQ","BEST_FPERIOD_OVERRIDE=FQ","FILING_STATUS=MR","FA_ADJUSTED=GAAP","Sort=A","Dates=H","DateFormat=P","Fill=—","Direction=H","UseDPDF=Y")</f>
        <v>3.3597999999999999</v>
      </c>
      <c r="AM27" s="21">
        <f>_xll.BDH("AMZN US Equity","INC_BEF_XO_ITEMS_TO_NET_SALES","FQ2 2020","FQ2 2020","Currency=USD","Period=FQ","BEST_FPERIOD_OVERRIDE=FQ","FILING_STATUS=MR","FA_ADJUSTED=GAAP","Sort=A","Dates=H","DateFormat=P","Fill=—","Direction=H","UseDPDF=Y")</f>
        <v>5.8967999999999998</v>
      </c>
      <c r="AN27" s="21">
        <f>_xll.BDH("AMZN US Equity","INC_BEF_XO_ITEMS_TO_NET_SALES","FQ3 2020","FQ3 2020","Currency=USD","Period=FQ","BEST_FPERIOD_OVERRIDE=FQ","FILING_STATUS=MR","FA_ADJUSTED=GAAP","Sort=A","Dates=H","DateFormat=P","Fill=—","Direction=H","UseDPDF=Y")</f>
        <v>6.5847999999999995</v>
      </c>
      <c r="AO27" s="21">
        <f>_xll.BDH("AMZN US Equity","INC_BEF_XO_ITEMS_TO_NET_SALES","FQ4 2020","FQ4 2020","Currency=USD","Period=FQ","BEST_FPERIOD_OVERRIDE=FQ","FILING_STATUS=MR","FA_ADJUSTED=GAAP","Sort=A","Dates=H","DateFormat=P","Fill=—","Direction=H","UseDPDF=Y")</f>
        <v>5.7521000000000004</v>
      </c>
      <c r="AP27" s="21">
        <f>_xll.BDH("AMZN US Equity","INC_BEF_XO_ITEMS_TO_NET_SALES","FQ1 2021","FQ1 2021","Currency=USD","Period=FQ","BEST_FPERIOD_OVERRIDE=FQ","FILING_STATUS=MR","FA_ADJUSTED=GAAP","Sort=A","Dates=H","DateFormat=P","Fill=—","Direction=H","UseDPDF=Y")</f>
        <v>7.4706999999999999</v>
      </c>
    </row>
    <row r="28" spans="1:42" x14ac:dyDescent="0.25">
      <c r="A28" s="19" t="s">
        <v>87</v>
      </c>
      <c r="B28" s="19" t="s">
        <v>107</v>
      </c>
      <c r="C28" s="23">
        <v>-38.883443654832597</v>
      </c>
      <c r="D28" s="23">
        <v>-81.0425009392726</v>
      </c>
      <c r="E28" s="23">
        <v>-68.394675009827694</v>
      </c>
      <c r="F28" s="23">
        <v>-51.648276741403301</v>
      </c>
      <c r="G28" s="23">
        <v>-97.169189983407406</v>
      </c>
      <c r="H28" s="23" t="s">
        <v>88</v>
      </c>
      <c r="I28" s="23">
        <v>-55.084732409457303</v>
      </c>
      <c r="J28" s="23">
        <v>-48.247054420575097</v>
      </c>
      <c r="K28" s="23" t="s">
        <v>88</v>
      </c>
      <c r="L28" s="23">
        <v>87.913298304381001</v>
      </c>
      <c r="M28" s="23">
        <v>104.801747046597</v>
      </c>
      <c r="N28" s="23">
        <v>7.2152280762266097</v>
      </c>
      <c r="O28" s="23">
        <v>-1361.57936062815</v>
      </c>
      <c r="P28" s="23">
        <v>-785.25166959871297</v>
      </c>
      <c r="Q28" s="23">
        <v>-21.881704543994701</v>
      </c>
      <c r="R28" s="23" t="s">
        <v>88</v>
      </c>
      <c r="S28" s="23" t="s">
        <v>88</v>
      </c>
      <c r="T28" s="23" t="s">
        <v>88</v>
      </c>
      <c r="U28" s="23">
        <v>84.789043934447804</v>
      </c>
      <c r="V28" s="23" t="s">
        <v>88</v>
      </c>
      <c r="W28" s="23">
        <v>610.34555754924304</v>
      </c>
      <c r="X28" s="23">
        <v>147.26021461197499</v>
      </c>
      <c r="Y28" s="23">
        <v>26.994693573327702</v>
      </c>
      <c r="Z28" s="23">
        <v>15.1047699512603</v>
      </c>
      <c r="AA28" s="23">
        <v>-81.586031614484398</v>
      </c>
      <c r="AB28" s="23">
        <v>-24.0277965291986</v>
      </c>
      <c r="AC28" s="23">
        <v>79.294560931397299</v>
      </c>
      <c r="AD28" s="23">
        <v>57.432113795471203</v>
      </c>
      <c r="AE28" s="23">
        <v>823.14174739324403</v>
      </c>
      <c r="AF28" s="23">
        <v>770.74499806056804</v>
      </c>
      <c r="AG28" s="23">
        <v>36.212092292438697</v>
      </c>
      <c r="AH28" s="23">
        <v>86.897839848421896</v>
      </c>
      <c r="AI28" s="23">
        <v>-13.5934347893054</v>
      </c>
      <c r="AJ28" s="23">
        <v>-40.158581576985</v>
      </c>
      <c r="AK28" s="23">
        <v>-10.6260496073455</v>
      </c>
      <c r="AL28" s="23">
        <v>-43.673912256254297</v>
      </c>
      <c r="AM28" s="23">
        <v>42.4317718557229</v>
      </c>
      <c r="AN28" s="23">
        <v>115.939140794629</v>
      </c>
      <c r="AO28" s="23">
        <v>53.899321159219902</v>
      </c>
      <c r="AP28" s="23">
        <v>122.35718588752999</v>
      </c>
    </row>
    <row r="29" spans="1:42" x14ac:dyDescent="0.25">
      <c r="A29" s="18" t="s">
        <v>108</v>
      </c>
      <c r="B29" s="18" t="s">
        <v>109</v>
      </c>
      <c r="C29" s="21">
        <f>_xll.BDH("AMZN US Equity","PROF_MARGIN","FQ2 2011","FQ2 2011","Currency=USD","Period=FQ","BEST_FPERIOD_OVERRIDE=FQ","FILING_STATUS=MR","FA_ADJUSTED=GAAP","Sort=A","Dates=H","DateFormat=P","Fill=—","Direction=H","UseDPDF=Y")</f>
        <v>1.9268000000000001</v>
      </c>
      <c r="D29" s="21">
        <f>_xll.BDH("AMZN US Equity","PROF_MARGIN","FQ3 2011","FQ3 2011","Currency=USD","Period=FQ","BEST_FPERIOD_OVERRIDE=FQ","FILING_STATUS=MR","FA_ADJUSTED=GAAP","Sort=A","Dates=H","DateFormat=P","Fill=—","Direction=H","UseDPDF=Y")</f>
        <v>0.57930000000000004</v>
      </c>
      <c r="E29" s="21">
        <f>_xll.BDH("AMZN US Equity","PROF_MARGIN","FQ4 2011","FQ4 2011","Currency=USD","Period=FQ","BEST_FPERIOD_OVERRIDE=FQ","FILING_STATUS=MR","FA_ADJUSTED=GAAP","Sort=A","Dates=H","DateFormat=P","Fill=—","Direction=H","UseDPDF=Y")</f>
        <v>1.0154000000000001</v>
      </c>
      <c r="F29" s="21">
        <f>_xll.BDH("AMZN US Equity","PROF_MARGIN","FQ1 2012","FQ1 2012","Currency=USD","Period=FQ","BEST_FPERIOD_OVERRIDE=FQ","FILING_STATUS=MR","FA_ADJUSTED=GAAP","Sort=A","Dates=H","DateFormat=P","Fill=—","Direction=H","UseDPDF=Y")</f>
        <v>0.98599999999999999</v>
      </c>
      <c r="G29" s="21">
        <f>_xll.BDH("AMZN US Equity","PROF_MARGIN","FQ2 2012","FQ2 2012","Currency=USD","Period=FQ","BEST_FPERIOD_OVERRIDE=FQ","FILING_STATUS=MR","FA_ADJUSTED=GAAP","Sort=A","Dates=H","DateFormat=P","Fill=—","Direction=H","UseDPDF=Y")</f>
        <v>5.45E-2</v>
      </c>
      <c r="H29" s="21">
        <f>_xll.BDH("AMZN US Equity","PROF_MARGIN","FQ3 2012","FQ3 2012","Currency=USD","Period=FQ","BEST_FPERIOD_OVERRIDE=FQ","FILING_STATUS=MR","FA_ADJUSTED=GAAP","Sort=A","Dates=H","DateFormat=P","Fill=—","Direction=H","UseDPDF=Y")</f>
        <v>-1.9845999999999999</v>
      </c>
      <c r="I29" s="21">
        <f>_xll.BDH("AMZN US Equity","PROF_MARGIN","FQ4 2012","FQ4 2012","Currency=USD","Period=FQ","BEST_FPERIOD_OVERRIDE=FQ","FILING_STATUS=MR","FA_ADJUSTED=GAAP","Sort=A","Dates=H","DateFormat=P","Fill=—","Direction=H","UseDPDF=Y")</f>
        <v>0.45610000000000001</v>
      </c>
      <c r="J29" s="21">
        <f>_xll.BDH("AMZN US Equity","PROF_MARGIN","FQ1 2013","FQ1 2013","Currency=USD","Period=FQ","BEST_FPERIOD_OVERRIDE=FQ","FILING_STATUS=MR","FA_ADJUSTED=GAAP","Sort=A","Dates=H","DateFormat=P","Fill=—","Direction=H","UseDPDF=Y")</f>
        <v>0.51029999999999998</v>
      </c>
      <c r="K29" s="21">
        <f>_xll.BDH("AMZN US Equity","PROF_MARGIN","FQ2 2013","FQ2 2013","Currency=USD","Period=FQ","BEST_FPERIOD_OVERRIDE=FQ","FILING_STATUS=MR","FA_ADJUSTED=GAAP","Sort=A","Dates=H","DateFormat=P","Fill=—","Direction=H","UseDPDF=Y")</f>
        <v>-4.4600000000000001E-2</v>
      </c>
      <c r="L29" s="21">
        <f>_xll.BDH("AMZN US Equity","PROF_MARGIN","FQ3 2013","FQ3 2013","Currency=USD","Period=FQ","BEST_FPERIOD_OVERRIDE=FQ","FILING_STATUS=MR","FA_ADJUSTED=GAAP","Sort=A","Dates=H","DateFormat=P","Fill=—","Direction=H","UseDPDF=Y")</f>
        <v>-0.2399</v>
      </c>
      <c r="M29" s="21">
        <f>_xll.BDH("AMZN US Equity","PROF_MARGIN","FQ4 2013","FQ4 2013","Currency=USD","Period=FQ","BEST_FPERIOD_OVERRIDE=FQ","FILING_STATUS=MR","FA_ADJUSTED=GAAP","Sort=A","Dates=H","DateFormat=P","Fill=—","Direction=H","UseDPDF=Y")</f>
        <v>0.93410000000000004</v>
      </c>
      <c r="N29" s="21">
        <f>_xll.BDH("AMZN US Equity","PROF_MARGIN","FQ1 2014","FQ1 2014","Currency=USD","Period=FQ","BEST_FPERIOD_OVERRIDE=FQ","FILING_STATUS=MR","FA_ADJUSTED=GAAP","Sort=A","Dates=H","DateFormat=P","Fill=—","Direction=H","UseDPDF=Y")</f>
        <v>0.54710000000000003</v>
      </c>
      <c r="O29" s="21">
        <f>_xll.BDH("AMZN US Equity","PROF_MARGIN","FQ2 2014","FQ2 2014","Currency=USD","Period=FQ","BEST_FPERIOD_OVERRIDE=FQ","FILING_STATUS=MR","FA_ADJUSTED=GAAP","Sort=A","Dates=H","DateFormat=P","Fill=—","Direction=H","UseDPDF=Y")</f>
        <v>-0.65149999999999997</v>
      </c>
      <c r="P29" s="21">
        <f>_xll.BDH("AMZN US Equity","PROF_MARGIN","FQ3 2014","FQ3 2014","Currency=USD","Period=FQ","BEST_FPERIOD_OVERRIDE=FQ","FILING_STATUS=MR","FA_ADJUSTED=GAAP","Sort=A","Dates=H","DateFormat=P","Fill=—","Direction=H","UseDPDF=Y")</f>
        <v>-2.1234999999999999</v>
      </c>
      <c r="Q29" s="21">
        <f>_xll.BDH("AMZN US Equity","PROF_MARGIN","FQ4 2014","FQ4 2014","Currency=USD","Period=FQ","BEST_FPERIOD_OVERRIDE=FQ","FILING_STATUS=MR","FA_ADJUSTED=GAAP","Sort=A","Dates=H","DateFormat=P","Fill=—","Direction=H","UseDPDF=Y")</f>
        <v>0.72970000000000002</v>
      </c>
      <c r="R29" s="21">
        <f>_xll.BDH("AMZN US Equity","PROF_MARGIN","FQ1 2015","FQ1 2015","Currency=USD","Period=FQ","BEST_FPERIOD_OVERRIDE=FQ","FILING_STATUS=MR","FA_ADJUSTED=GAAP","Sort=A","Dates=H","DateFormat=P","Fill=—","Direction=H","UseDPDF=Y")</f>
        <v>-0.25090000000000001</v>
      </c>
      <c r="S29" s="21">
        <f>_xll.BDH("AMZN US Equity","PROF_MARGIN","FQ2 2015","FQ2 2015","Currency=USD","Period=FQ","BEST_FPERIOD_OVERRIDE=FQ","FILING_STATUS=MR","FA_ADJUSTED=GAAP","Sort=A","Dates=H","DateFormat=P","Fill=—","Direction=H","UseDPDF=Y")</f>
        <v>0.39679999999999999</v>
      </c>
      <c r="T29" s="21">
        <f>_xll.BDH("AMZN US Equity","PROF_MARGIN","FQ3 2015","FQ3 2015","Currency=USD","Period=FQ","BEST_FPERIOD_OVERRIDE=FQ","FILING_STATUS=MR","FA_ADJUSTED=GAAP","Sort=A","Dates=H","DateFormat=P","Fill=—","Direction=H","UseDPDF=Y")</f>
        <v>0.3115</v>
      </c>
      <c r="U29" s="21">
        <f>_xll.BDH("AMZN US Equity","PROF_MARGIN","FQ4 2015","FQ4 2015","Currency=USD","Period=FQ","BEST_FPERIOD_OVERRIDE=FQ","FILING_STATUS=MR","FA_ADJUSTED=GAAP","Sort=A","Dates=H","DateFormat=P","Fill=—","Direction=H","UseDPDF=Y")</f>
        <v>1.3484</v>
      </c>
      <c r="V29" s="21">
        <f>_xll.BDH("AMZN US Equity","PROF_MARGIN","FQ1 2016","FQ1 2016","Currency=USD","Period=FQ","BEST_FPERIOD_OVERRIDE=FQ","FILING_STATUS=MR","FA_ADJUSTED=GAAP","Sort=A","Dates=H","DateFormat=P","Fill=—","Direction=H","UseDPDF=Y")</f>
        <v>1.7612000000000001</v>
      </c>
      <c r="W29" s="21">
        <f>_xll.BDH("AMZN US Equity","PROF_MARGIN","FQ2 2016","FQ2 2016","Currency=USD","Period=FQ","BEST_FPERIOD_OVERRIDE=FQ","FILING_STATUS=MR","FA_ADJUSTED=GAAP","Sort=A","Dates=H","DateFormat=P","Fill=—","Direction=H","UseDPDF=Y")</f>
        <v>2.8186999999999998</v>
      </c>
      <c r="X29" s="21">
        <f>_xll.BDH("AMZN US Equity","PROF_MARGIN","FQ3 2016","FQ3 2016","Currency=USD","Period=FQ","BEST_FPERIOD_OVERRIDE=FQ","FILING_STATUS=MR","FA_ADJUSTED=GAAP","Sort=A","Dates=H","DateFormat=P","Fill=—","Direction=H","UseDPDF=Y")</f>
        <v>0.77029999999999998</v>
      </c>
      <c r="Y29" s="21">
        <f>_xll.BDH("AMZN US Equity","PROF_MARGIN","FQ4 2016","FQ4 2016","Currency=USD","Period=FQ","BEST_FPERIOD_OVERRIDE=FQ","FILING_STATUS=MR","FA_ADJUSTED=GAAP","Sort=A","Dates=H","DateFormat=P","Fill=—","Direction=H","UseDPDF=Y")</f>
        <v>1.7124000000000001</v>
      </c>
      <c r="Z29" s="21">
        <f>_xll.BDH("AMZN US Equity","PROF_MARGIN","FQ1 2017","FQ1 2017","Currency=USD","Period=FQ","BEST_FPERIOD_OVERRIDE=FQ","FILING_STATUS=MR","FA_ADJUSTED=GAAP","Sort=A","Dates=H","DateFormat=P","Fill=—","Direction=H","UseDPDF=Y")</f>
        <v>2.0272000000000001</v>
      </c>
      <c r="AA29" s="21">
        <f>_xll.BDH("AMZN US Equity","PROF_MARGIN","FQ2 2017","FQ2 2017","Currency=USD","Period=FQ","BEST_FPERIOD_OVERRIDE=FQ","FILING_STATUS=MR","FA_ADJUSTED=GAAP","Sort=A","Dates=H","DateFormat=P","Fill=—","Direction=H","UseDPDF=Y")</f>
        <v>0.51900000000000002</v>
      </c>
      <c r="AB29" s="21">
        <f>_xll.BDH("AMZN US Equity","PROF_MARGIN","FQ3 2017","FQ3 2017","Currency=USD","Period=FQ","BEST_FPERIOD_OVERRIDE=FQ","FILING_STATUS=MR","FA_ADJUSTED=GAAP","Sort=A","Dates=H","DateFormat=P","Fill=—","Direction=H","UseDPDF=Y")</f>
        <v>0.58520000000000005</v>
      </c>
      <c r="AC29" s="21">
        <f>_xll.BDH("AMZN US Equity","PROF_MARGIN","FQ4 2017","FQ4 2017","Currency=USD","Period=FQ","BEST_FPERIOD_OVERRIDE=FQ","FILING_STATUS=MR","FA_ADJUSTED=GAAP","Sort=A","Dates=H","DateFormat=P","Fill=—","Direction=H","UseDPDF=Y")</f>
        <v>3.0701999999999998</v>
      </c>
      <c r="AD29" s="21">
        <f>_xll.BDH("AMZN US Equity","PROF_MARGIN","FQ1 2018","FQ1 2018","Currency=USD","Period=FQ","BEST_FPERIOD_OVERRIDE=FQ","FILING_STATUS=MR","FA_ADJUSTED=GAAP","Sort=A","Dates=H","DateFormat=P","Fill=—","Direction=H","UseDPDF=Y")</f>
        <v>3.1915</v>
      </c>
      <c r="AE29" s="21">
        <f>_xll.BDH("AMZN US Equity","PROF_MARGIN","FQ2 2018","FQ2 2018","Currency=USD","Period=FQ","BEST_FPERIOD_OVERRIDE=FQ","FILING_STATUS=MR","FA_ADJUSTED=GAAP","Sort=A","Dates=H","DateFormat=P","Fill=—","Direction=H","UseDPDF=Y")</f>
        <v>4.7914000000000003</v>
      </c>
      <c r="AF29" s="21">
        <f>_xll.BDH("AMZN US Equity","PROF_MARGIN","FQ3 2018","FQ3 2018","Currency=USD","Period=FQ","BEST_FPERIOD_OVERRIDE=FQ","FILING_STATUS=MR","FA_ADJUSTED=GAAP","Sort=A","Dates=H","DateFormat=P","Fill=—","Direction=H","UseDPDF=Y")</f>
        <v>5.0957999999999997</v>
      </c>
      <c r="AG29" s="21">
        <f>_xll.BDH("AMZN US Equity","PROF_MARGIN","FQ4 2018","FQ4 2018","Currency=USD","Period=FQ","BEST_FPERIOD_OVERRIDE=FQ","FILING_STATUS=MR","FA_ADJUSTED=GAAP","Sort=A","Dates=H","DateFormat=P","Fill=—","Direction=H","UseDPDF=Y")</f>
        <v>4.1818999999999997</v>
      </c>
      <c r="AH29" s="21">
        <f>_xll.BDH("AMZN US Equity","PROF_MARGIN","FQ1 2019","FQ1 2019","Currency=USD","Period=FQ","BEST_FPERIOD_OVERRIDE=FQ","FILING_STATUS=MR","FA_ADJUSTED=GAAP","Sort=A","Dates=H","DateFormat=P","Fill=—","Direction=H","UseDPDF=Y")</f>
        <v>5.9648000000000003</v>
      </c>
      <c r="AI29" s="21">
        <f>_xll.BDH("AMZN US Equity","PROF_MARGIN","FQ2 2019","FQ2 2019","Currency=USD","Period=FQ","BEST_FPERIOD_OVERRIDE=FQ","FILING_STATUS=MR","FA_ADJUSTED=GAAP","Sort=A","Dates=H","DateFormat=P","Fill=—","Direction=H","UseDPDF=Y")</f>
        <v>4.1401000000000003</v>
      </c>
      <c r="AJ29" s="21">
        <f>_xll.BDH("AMZN US Equity","PROF_MARGIN","FQ3 2019","FQ3 2019","Currency=USD","Period=FQ","BEST_FPERIOD_OVERRIDE=FQ","FILING_STATUS=MR","FA_ADJUSTED=GAAP","Sort=A","Dates=H","DateFormat=P","Fill=—","Direction=H","UseDPDF=Y")</f>
        <v>3.0493999999999999</v>
      </c>
      <c r="AK29" s="21">
        <f>_xll.BDH("AMZN US Equity","PROF_MARGIN","FQ4 2019","FQ4 2019","Currency=USD","Period=FQ","BEST_FPERIOD_OVERRIDE=FQ","FILING_STATUS=MR","FA_ADJUSTED=GAAP","Sort=A","Dates=H","DateFormat=P","Fill=—","Direction=H","UseDPDF=Y")</f>
        <v>3.7374999999999998</v>
      </c>
      <c r="AL29" s="21">
        <f>_xll.BDH("AMZN US Equity","PROF_MARGIN","FQ1 2020","FQ1 2020","Currency=USD","Period=FQ","BEST_FPERIOD_OVERRIDE=FQ","FILING_STATUS=MR","FA_ADJUSTED=GAAP","Sort=A","Dates=H","DateFormat=P","Fill=—","Direction=H","UseDPDF=Y")</f>
        <v>3.3597999999999999</v>
      </c>
      <c r="AM29" s="21">
        <f>_xll.BDH("AMZN US Equity","PROF_MARGIN","FQ2 2020","FQ2 2020","Currency=USD","Period=FQ","BEST_FPERIOD_OVERRIDE=FQ","FILING_STATUS=MR","FA_ADJUSTED=GAAP","Sort=A","Dates=H","DateFormat=P","Fill=—","Direction=H","UseDPDF=Y")</f>
        <v>5.8967999999999998</v>
      </c>
      <c r="AN29" s="21">
        <f>_xll.BDH("AMZN US Equity","PROF_MARGIN","FQ3 2020","FQ3 2020","Currency=USD","Period=FQ","BEST_FPERIOD_OVERRIDE=FQ","FILING_STATUS=MR","FA_ADJUSTED=GAAP","Sort=A","Dates=H","DateFormat=P","Fill=—","Direction=H","UseDPDF=Y")</f>
        <v>6.5847999999999995</v>
      </c>
      <c r="AO29" s="21">
        <f>_xll.BDH("AMZN US Equity","PROF_MARGIN","FQ4 2020","FQ4 2020","Currency=USD","Period=FQ","BEST_FPERIOD_OVERRIDE=FQ","FILING_STATUS=MR","FA_ADJUSTED=GAAP","Sort=A","Dates=H","DateFormat=P","Fill=—","Direction=H","UseDPDF=Y")</f>
        <v>5.7521000000000004</v>
      </c>
      <c r="AP29" s="21">
        <f>_xll.BDH("AMZN US Equity","PROF_MARGIN","FQ1 2021","FQ1 2021","Currency=USD","Period=FQ","BEST_FPERIOD_OVERRIDE=FQ","FILING_STATUS=MR","FA_ADJUSTED=GAAP","Sort=A","Dates=H","DateFormat=P","Fill=—","Direction=H","UseDPDF=Y")</f>
        <v>7.4706999999999999</v>
      </c>
    </row>
    <row r="30" spans="1:42" x14ac:dyDescent="0.25">
      <c r="A30" s="19" t="s">
        <v>87</v>
      </c>
      <c r="B30" s="19" t="s">
        <v>109</v>
      </c>
      <c r="C30" s="23">
        <v>-38.883443654832597</v>
      </c>
      <c r="D30" s="23">
        <v>-81.0425009392726</v>
      </c>
      <c r="E30" s="23">
        <v>-68.394675009827694</v>
      </c>
      <c r="F30" s="23">
        <v>-51.648276741403301</v>
      </c>
      <c r="G30" s="23">
        <v>-97.169189983407406</v>
      </c>
      <c r="H30" s="23" t="s">
        <v>88</v>
      </c>
      <c r="I30" s="23">
        <v>-55.084732409457303</v>
      </c>
      <c r="J30" s="23">
        <v>-48.247054420575097</v>
      </c>
      <c r="K30" s="23" t="s">
        <v>88</v>
      </c>
      <c r="L30" s="23">
        <v>87.913298304381001</v>
      </c>
      <c r="M30" s="23">
        <v>104.801747046597</v>
      </c>
      <c r="N30" s="23">
        <v>7.2152280762266097</v>
      </c>
      <c r="O30" s="23">
        <v>-1361.57936062815</v>
      </c>
      <c r="P30" s="23">
        <v>-785.25166959871297</v>
      </c>
      <c r="Q30" s="23">
        <v>-21.881704543994701</v>
      </c>
      <c r="R30" s="23" t="s">
        <v>88</v>
      </c>
      <c r="S30" s="23" t="s">
        <v>88</v>
      </c>
      <c r="T30" s="23" t="s">
        <v>88</v>
      </c>
      <c r="U30" s="23">
        <v>84.789043934447804</v>
      </c>
      <c r="V30" s="23" t="s">
        <v>88</v>
      </c>
      <c r="W30" s="23">
        <v>610.34555754924304</v>
      </c>
      <c r="X30" s="23">
        <v>147.26021461197499</v>
      </c>
      <c r="Y30" s="23">
        <v>26.994693573327702</v>
      </c>
      <c r="Z30" s="23">
        <v>15.1047699512603</v>
      </c>
      <c r="AA30" s="23">
        <v>-81.586031614484398</v>
      </c>
      <c r="AB30" s="23">
        <v>-24.0277965291986</v>
      </c>
      <c r="AC30" s="23">
        <v>79.294560931397299</v>
      </c>
      <c r="AD30" s="23">
        <v>57.432113795471203</v>
      </c>
      <c r="AE30" s="23">
        <v>823.14174739324403</v>
      </c>
      <c r="AF30" s="23">
        <v>770.74499806056804</v>
      </c>
      <c r="AG30" s="23">
        <v>36.212092292438697</v>
      </c>
      <c r="AH30" s="23">
        <v>86.897839848421896</v>
      </c>
      <c r="AI30" s="23">
        <v>-13.5934347893054</v>
      </c>
      <c r="AJ30" s="23">
        <v>-40.158581576985</v>
      </c>
      <c r="AK30" s="23">
        <v>-10.6260496073455</v>
      </c>
      <c r="AL30" s="23">
        <v>-43.673912256254297</v>
      </c>
      <c r="AM30" s="23">
        <v>42.4317718557229</v>
      </c>
      <c r="AN30" s="23">
        <v>115.939140794629</v>
      </c>
      <c r="AO30" s="23">
        <v>53.899321159219902</v>
      </c>
      <c r="AP30" s="23">
        <v>122.35718588752999</v>
      </c>
    </row>
    <row r="31" spans="1:42" x14ac:dyDescent="0.25">
      <c r="A31" s="18" t="s">
        <v>110</v>
      </c>
      <c r="B31" s="18" t="s">
        <v>111</v>
      </c>
      <c r="C31" s="21">
        <f>_xll.BDH("AMZN US Equity","NET_INCOME_TO_COMMON_MARGIN","FQ2 2011","FQ2 2011","Currency=USD","Period=FQ","BEST_FPERIOD_OVERRIDE=FQ","FILING_STATUS=MR","FA_ADJUSTED=GAAP","Sort=A","Dates=H","DateFormat=P","Fill=—","Direction=H","UseDPDF=Y")</f>
        <v>1.9268000000000001</v>
      </c>
      <c r="D31" s="21">
        <f>_xll.BDH("AMZN US Equity","NET_INCOME_TO_COMMON_MARGIN","FQ3 2011","FQ3 2011","Currency=USD","Period=FQ","BEST_FPERIOD_OVERRIDE=FQ","FILING_STATUS=MR","FA_ADJUSTED=GAAP","Sort=A","Dates=H","DateFormat=P","Fill=—","Direction=H","UseDPDF=Y")</f>
        <v>0.57930000000000004</v>
      </c>
      <c r="E31" s="21">
        <f>_xll.BDH("AMZN US Equity","NET_INCOME_TO_COMMON_MARGIN","FQ4 2011","FQ4 2011","Currency=USD","Period=FQ","BEST_FPERIOD_OVERRIDE=FQ","FILING_STATUS=MR","FA_ADJUSTED=GAAP","Sort=A","Dates=H","DateFormat=P","Fill=—","Direction=H","UseDPDF=Y")</f>
        <v>1.0154000000000001</v>
      </c>
      <c r="F31" s="21">
        <f>_xll.BDH("AMZN US Equity","NET_INCOME_TO_COMMON_MARGIN","FQ1 2012","FQ1 2012","Currency=USD","Period=FQ","BEST_FPERIOD_OVERRIDE=FQ","FILING_STATUS=MR","FA_ADJUSTED=GAAP","Sort=A","Dates=H","DateFormat=P","Fill=—","Direction=H","UseDPDF=Y")</f>
        <v>0.98599999999999999</v>
      </c>
      <c r="G31" s="21">
        <f>_xll.BDH("AMZN US Equity","NET_INCOME_TO_COMMON_MARGIN","FQ2 2012","FQ2 2012","Currency=USD","Period=FQ","BEST_FPERIOD_OVERRIDE=FQ","FILING_STATUS=MR","FA_ADJUSTED=GAAP","Sort=A","Dates=H","DateFormat=P","Fill=—","Direction=H","UseDPDF=Y")</f>
        <v>5.45E-2</v>
      </c>
      <c r="H31" s="21">
        <f>_xll.BDH("AMZN US Equity","NET_INCOME_TO_COMMON_MARGIN","FQ3 2012","FQ3 2012","Currency=USD","Period=FQ","BEST_FPERIOD_OVERRIDE=FQ","FILING_STATUS=MR","FA_ADJUSTED=GAAP","Sort=A","Dates=H","DateFormat=P","Fill=—","Direction=H","UseDPDF=Y")</f>
        <v>-1.9845999999999999</v>
      </c>
      <c r="I31" s="21">
        <f>_xll.BDH("AMZN US Equity","NET_INCOME_TO_COMMON_MARGIN","FQ4 2012","FQ4 2012","Currency=USD","Period=FQ","BEST_FPERIOD_OVERRIDE=FQ","FILING_STATUS=MR","FA_ADJUSTED=GAAP","Sort=A","Dates=H","DateFormat=P","Fill=—","Direction=H","UseDPDF=Y")</f>
        <v>0.45610000000000001</v>
      </c>
      <c r="J31" s="21">
        <f>_xll.BDH("AMZN US Equity","NET_INCOME_TO_COMMON_MARGIN","FQ1 2013","FQ1 2013","Currency=USD","Period=FQ","BEST_FPERIOD_OVERRIDE=FQ","FILING_STATUS=MR","FA_ADJUSTED=GAAP","Sort=A","Dates=H","DateFormat=P","Fill=—","Direction=H","UseDPDF=Y")</f>
        <v>0.51029999999999998</v>
      </c>
      <c r="K31" s="21">
        <f>_xll.BDH("AMZN US Equity","NET_INCOME_TO_COMMON_MARGIN","FQ2 2013","FQ2 2013","Currency=USD","Period=FQ","BEST_FPERIOD_OVERRIDE=FQ","FILING_STATUS=MR","FA_ADJUSTED=GAAP","Sort=A","Dates=H","DateFormat=P","Fill=—","Direction=H","UseDPDF=Y")</f>
        <v>-4.4600000000000001E-2</v>
      </c>
      <c r="L31" s="21">
        <f>_xll.BDH("AMZN US Equity","NET_INCOME_TO_COMMON_MARGIN","FQ3 2013","FQ3 2013","Currency=USD","Period=FQ","BEST_FPERIOD_OVERRIDE=FQ","FILING_STATUS=MR","FA_ADJUSTED=GAAP","Sort=A","Dates=H","DateFormat=P","Fill=—","Direction=H","UseDPDF=Y")</f>
        <v>-0.2399</v>
      </c>
      <c r="M31" s="21">
        <f>_xll.BDH("AMZN US Equity","NET_INCOME_TO_COMMON_MARGIN","FQ4 2013","FQ4 2013","Currency=USD","Period=FQ","BEST_FPERIOD_OVERRIDE=FQ","FILING_STATUS=MR","FA_ADJUSTED=GAAP","Sort=A","Dates=H","DateFormat=P","Fill=—","Direction=H","UseDPDF=Y")</f>
        <v>0.93410000000000004</v>
      </c>
      <c r="N31" s="21">
        <f>_xll.BDH("AMZN US Equity","NET_INCOME_TO_COMMON_MARGIN","FQ1 2014","FQ1 2014","Currency=USD","Period=FQ","BEST_FPERIOD_OVERRIDE=FQ","FILING_STATUS=MR","FA_ADJUSTED=GAAP","Sort=A","Dates=H","DateFormat=P","Fill=—","Direction=H","UseDPDF=Y")</f>
        <v>0.54710000000000003</v>
      </c>
      <c r="O31" s="21">
        <f>_xll.BDH("AMZN US Equity","NET_INCOME_TO_COMMON_MARGIN","FQ2 2014","FQ2 2014","Currency=USD","Period=FQ","BEST_FPERIOD_OVERRIDE=FQ","FILING_STATUS=MR","FA_ADJUSTED=GAAP","Sort=A","Dates=H","DateFormat=P","Fill=—","Direction=H","UseDPDF=Y")</f>
        <v>-0.65149999999999997</v>
      </c>
      <c r="P31" s="21">
        <f>_xll.BDH("AMZN US Equity","NET_INCOME_TO_COMMON_MARGIN","FQ3 2014","FQ3 2014","Currency=USD","Period=FQ","BEST_FPERIOD_OVERRIDE=FQ","FILING_STATUS=MR","FA_ADJUSTED=GAAP","Sort=A","Dates=H","DateFormat=P","Fill=—","Direction=H","UseDPDF=Y")</f>
        <v>-2.1234999999999999</v>
      </c>
      <c r="Q31" s="21">
        <f>_xll.BDH("AMZN US Equity","NET_INCOME_TO_COMMON_MARGIN","FQ4 2014","FQ4 2014","Currency=USD","Period=FQ","BEST_FPERIOD_OVERRIDE=FQ","FILING_STATUS=MR","FA_ADJUSTED=GAAP","Sort=A","Dates=H","DateFormat=P","Fill=—","Direction=H","UseDPDF=Y")</f>
        <v>0.72970000000000002</v>
      </c>
      <c r="R31" s="21">
        <f>_xll.BDH("AMZN US Equity","NET_INCOME_TO_COMMON_MARGIN","FQ1 2015","FQ1 2015","Currency=USD","Period=FQ","BEST_FPERIOD_OVERRIDE=FQ","FILING_STATUS=MR","FA_ADJUSTED=GAAP","Sort=A","Dates=H","DateFormat=P","Fill=—","Direction=H","UseDPDF=Y")</f>
        <v>-0.25090000000000001</v>
      </c>
      <c r="S31" s="21">
        <f>_xll.BDH("AMZN US Equity","NET_INCOME_TO_COMMON_MARGIN","FQ2 2015","FQ2 2015","Currency=USD","Period=FQ","BEST_FPERIOD_OVERRIDE=FQ","FILING_STATUS=MR","FA_ADJUSTED=GAAP","Sort=A","Dates=H","DateFormat=P","Fill=—","Direction=H","UseDPDF=Y")</f>
        <v>0.39679999999999999</v>
      </c>
      <c r="T31" s="21">
        <f>_xll.BDH("AMZN US Equity","NET_INCOME_TO_COMMON_MARGIN","FQ3 2015","FQ3 2015","Currency=USD","Period=FQ","BEST_FPERIOD_OVERRIDE=FQ","FILING_STATUS=MR","FA_ADJUSTED=GAAP","Sort=A","Dates=H","DateFormat=P","Fill=—","Direction=H","UseDPDF=Y")</f>
        <v>0.3115</v>
      </c>
      <c r="U31" s="21">
        <f>_xll.BDH("AMZN US Equity","NET_INCOME_TO_COMMON_MARGIN","FQ4 2015","FQ4 2015","Currency=USD","Period=FQ","BEST_FPERIOD_OVERRIDE=FQ","FILING_STATUS=MR","FA_ADJUSTED=GAAP","Sort=A","Dates=H","DateFormat=P","Fill=—","Direction=H","UseDPDF=Y")</f>
        <v>1.3484</v>
      </c>
      <c r="V31" s="21">
        <f>_xll.BDH("AMZN US Equity","NET_INCOME_TO_COMMON_MARGIN","FQ1 2016","FQ1 2016","Currency=USD","Period=FQ","BEST_FPERIOD_OVERRIDE=FQ","FILING_STATUS=MR","FA_ADJUSTED=GAAP","Sort=A","Dates=H","DateFormat=P","Fill=—","Direction=H","UseDPDF=Y")</f>
        <v>1.7612000000000001</v>
      </c>
      <c r="W31" s="21">
        <f>_xll.BDH("AMZN US Equity","NET_INCOME_TO_COMMON_MARGIN","FQ2 2016","FQ2 2016","Currency=USD","Period=FQ","BEST_FPERIOD_OVERRIDE=FQ","FILING_STATUS=MR","FA_ADJUSTED=GAAP","Sort=A","Dates=H","DateFormat=P","Fill=—","Direction=H","UseDPDF=Y")</f>
        <v>2.8186999999999998</v>
      </c>
      <c r="X31" s="21">
        <f>_xll.BDH("AMZN US Equity","NET_INCOME_TO_COMMON_MARGIN","FQ3 2016","FQ3 2016","Currency=USD","Period=FQ","BEST_FPERIOD_OVERRIDE=FQ","FILING_STATUS=MR","FA_ADJUSTED=GAAP","Sort=A","Dates=H","DateFormat=P","Fill=—","Direction=H","UseDPDF=Y")</f>
        <v>0.77029999999999998</v>
      </c>
      <c r="Y31" s="21">
        <f>_xll.BDH("AMZN US Equity","NET_INCOME_TO_COMMON_MARGIN","FQ4 2016","FQ4 2016","Currency=USD","Period=FQ","BEST_FPERIOD_OVERRIDE=FQ","FILING_STATUS=MR","FA_ADJUSTED=GAAP","Sort=A","Dates=H","DateFormat=P","Fill=—","Direction=H","UseDPDF=Y")</f>
        <v>1.7124000000000001</v>
      </c>
      <c r="Z31" s="21">
        <f>_xll.BDH("AMZN US Equity","NET_INCOME_TO_COMMON_MARGIN","FQ1 2017","FQ1 2017","Currency=USD","Period=FQ","BEST_FPERIOD_OVERRIDE=FQ","FILING_STATUS=MR","FA_ADJUSTED=GAAP","Sort=A","Dates=H","DateFormat=P","Fill=—","Direction=H","UseDPDF=Y")</f>
        <v>2.0272000000000001</v>
      </c>
      <c r="AA31" s="21">
        <f>_xll.BDH("AMZN US Equity","NET_INCOME_TO_COMMON_MARGIN","FQ2 2017","FQ2 2017","Currency=USD","Period=FQ","BEST_FPERIOD_OVERRIDE=FQ","FILING_STATUS=MR","FA_ADJUSTED=GAAP","Sort=A","Dates=H","DateFormat=P","Fill=—","Direction=H","UseDPDF=Y")</f>
        <v>0.51900000000000002</v>
      </c>
      <c r="AB31" s="21">
        <f>_xll.BDH("AMZN US Equity","NET_INCOME_TO_COMMON_MARGIN","FQ3 2017","FQ3 2017","Currency=USD","Period=FQ","BEST_FPERIOD_OVERRIDE=FQ","FILING_STATUS=MR","FA_ADJUSTED=GAAP","Sort=A","Dates=H","DateFormat=P","Fill=—","Direction=H","UseDPDF=Y")</f>
        <v>0.58520000000000005</v>
      </c>
      <c r="AC31" s="21">
        <f>_xll.BDH("AMZN US Equity","NET_INCOME_TO_COMMON_MARGIN","FQ4 2017","FQ4 2017","Currency=USD","Period=FQ","BEST_FPERIOD_OVERRIDE=FQ","FILING_STATUS=MR","FA_ADJUSTED=GAAP","Sort=A","Dates=H","DateFormat=P","Fill=—","Direction=H","UseDPDF=Y")</f>
        <v>3.0701999999999998</v>
      </c>
      <c r="AD31" s="21">
        <f>_xll.BDH("AMZN US Equity","NET_INCOME_TO_COMMON_MARGIN","FQ1 2018","FQ1 2018","Currency=USD","Period=FQ","BEST_FPERIOD_OVERRIDE=FQ","FILING_STATUS=MR","FA_ADJUSTED=GAAP","Sort=A","Dates=H","DateFormat=P","Fill=—","Direction=H","UseDPDF=Y")</f>
        <v>3.1915</v>
      </c>
      <c r="AE31" s="21">
        <f>_xll.BDH("AMZN US Equity","NET_INCOME_TO_COMMON_MARGIN","FQ2 2018","FQ2 2018","Currency=USD","Period=FQ","BEST_FPERIOD_OVERRIDE=FQ","FILING_STATUS=MR","FA_ADJUSTED=GAAP","Sort=A","Dates=H","DateFormat=P","Fill=—","Direction=H","UseDPDF=Y")</f>
        <v>4.7914000000000003</v>
      </c>
      <c r="AF31" s="21">
        <f>_xll.BDH("AMZN US Equity","NET_INCOME_TO_COMMON_MARGIN","FQ3 2018","FQ3 2018","Currency=USD","Period=FQ","BEST_FPERIOD_OVERRIDE=FQ","FILING_STATUS=MR","FA_ADJUSTED=GAAP","Sort=A","Dates=H","DateFormat=P","Fill=—","Direction=H","UseDPDF=Y")</f>
        <v>5.0957999999999997</v>
      </c>
      <c r="AG31" s="21">
        <f>_xll.BDH("AMZN US Equity","NET_INCOME_TO_COMMON_MARGIN","FQ4 2018","FQ4 2018","Currency=USD","Period=FQ","BEST_FPERIOD_OVERRIDE=FQ","FILING_STATUS=MR","FA_ADJUSTED=GAAP","Sort=A","Dates=H","DateFormat=P","Fill=—","Direction=H","UseDPDF=Y")</f>
        <v>4.1818999999999997</v>
      </c>
      <c r="AH31" s="21">
        <f>_xll.BDH("AMZN US Equity","NET_INCOME_TO_COMMON_MARGIN","FQ1 2019","FQ1 2019","Currency=USD","Period=FQ","BEST_FPERIOD_OVERRIDE=FQ","FILING_STATUS=MR","FA_ADJUSTED=GAAP","Sort=A","Dates=H","DateFormat=P","Fill=—","Direction=H","UseDPDF=Y")</f>
        <v>5.9648000000000003</v>
      </c>
      <c r="AI31" s="21">
        <f>_xll.BDH("AMZN US Equity","NET_INCOME_TO_COMMON_MARGIN","FQ2 2019","FQ2 2019","Currency=USD","Period=FQ","BEST_FPERIOD_OVERRIDE=FQ","FILING_STATUS=MR","FA_ADJUSTED=GAAP","Sort=A","Dates=H","DateFormat=P","Fill=—","Direction=H","UseDPDF=Y")</f>
        <v>4.1401000000000003</v>
      </c>
      <c r="AJ31" s="21">
        <f>_xll.BDH("AMZN US Equity","NET_INCOME_TO_COMMON_MARGIN","FQ3 2019","FQ3 2019","Currency=USD","Period=FQ","BEST_FPERIOD_OVERRIDE=FQ","FILING_STATUS=MR","FA_ADJUSTED=GAAP","Sort=A","Dates=H","DateFormat=P","Fill=—","Direction=H","UseDPDF=Y")</f>
        <v>3.0493999999999999</v>
      </c>
      <c r="AK31" s="21">
        <f>_xll.BDH("AMZN US Equity","NET_INCOME_TO_COMMON_MARGIN","FQ4 2019","FQ4 2019","Currency=USD","Period=FQ","BEST_FPERIOD_OVERRIDE=FQ","FILING_STATUS=MR","FA_ADJUSTED=GAAP","Sort=A","Dates=H","DateFormat=P","Fill=—","Direction=H","UseDPDF=Y")</f>
        <v>3.7374999999999998</v>
      </c>
      <c r="AL31" s="21">
        <f>_xll.BDH("AMZN US Equity","NET_INCOME_TO_COMMON_MARGIN","FQ1 2020","FQ1 2020","Currency=USD","Period=FQ","BEST_FPERIOD_OVERRIDE=FQ","FILING_STATUS=MR","FA_ADJUSTED=GAAP","Sort=A","Dates=H","DateFormat=P","Fill=—","Direction=H","UseDPDF=Y")</f>
        <v>3.3597999999999999</v>
      </c>
      <c r="AM31" s="21">
        <f>_xll.BDH("AMZN US Equity","NET_INCOME_TO_COMMON_MARGIN","FQ2 2020","FQ2 2020","Currency=USD","Period=FQ","BEST_FPERIOD_OVERRIDE=FQ","FILING_STATUS=MR","FA_ADJUSTED=GAAP","Sort=A","Dates=H","DateFormat=P","Fill=—","Direction=H","UseDPDF=Y")</f>
        <v>5.8967999999999998</v>
      </c>
      <c r="AN31" s="21">
        <f>_xll.BDH("AMZN US Equity","NET_INCOME_TO_COMMON_MARGIN","FQ3 2020","FQ3 2020","Currency=USD","Period=FQ","BEST_FPERIOD_OVERRIDE=FQ","FILING_STATUS=MR","FA_ADJUSTED=GAAP","Sort=A","Dates=H","DateFormat=P","Fill=—","Direction=H","UseDPDF=Y")</f>
        <v>6.5847999999999995</v>
      </c>
      <c r="AO31" s="21">
        <f>_xll.BDH("AMZN US Equity","NET_INCOME_TO_COMMON_MARGIN","FQ4 2020","FQ4 2020","Currency=USD","Period=FQ","BEST_FPERIOD_OVERRIDE=FQ","FILING_STATUS=MR","FA_ADJUSTED=GAAP","Sort=A","Dates=H","DateFormat=P","Fill=—","Direction=H","UseDPDF=Y")</f>
        <v>5.7521000000000004</v>
      </c>
      <c r="AP31" s="21">
        <f>_xll.BDH("AMZN US Equity","NET_INCOME_TO_COMMON_MARGIN","FQ1 2021","FQ1 2021","Currency=USD","Period=FQ","BEST_FPERIOD_OVERRIDE=FQ","FILING_STATUS=MR","FA_ADJUSTED=GAAP","Sort=A","Dates=H","DateFormat=P","Fill=—","Direction=H","UseDPDF=Y")</f>
        <v>7.4706999999999999</v>
      </c>
    </row>
    <row r="32" spans="1:42" x14ac:dyDescent="0.25">
      <c r="A32" s="19" t="s">
        <v>87</v>
      </c>
      <c r="B32" s="19" t="s">
        <v>111</v>
      </c>
      <c r="C32" s="23">
        <v>-38.883443654832597</v>
      </c>
      <c r="D32" s="23">
        <v>-81.0425009392726</v>
      </c>
      <c r="E32" s="23">
        <v>-68.394675009827694</v>
      </c>
      <c r="F32" s="23">
        <v>-51.648276741403301</v>
      </c>
      <c r="G32" s="23">
        <v>-97.169189983407406</v>
      </c>
      <c r="H32" s="23" t="s">
        <v>88</v>
      </c>
      <c r="I32" s="23">
        <v>-55.084732409457303</v>
      </c>
      <c r="J32" s="23">
        <v>-48.247054420575097</v>
      </c>
      <c r="K32" s="23" t="s">
        <v>88</v>
      </c>
      <c r="L32" s="23">
        <v>87.913298304381001</v>
      </c>
      <c r="M32" s="23">
        <v>104.801747046597</v>
      </c>
      <c r="N32" s="23">
        <v>7.2152280762266097</v>
      </c>
      <c r="O32" s="23">
        <v>-1361.57936062815</v>
      </c>
      <c r="P32" s="23">
        <v>-785.25166959871297</v>
      </c>
      <c r="Q32" s="23">
        <v>-21.881704543994701</v>
      </c>
      <c r="R32" s="23" t="s">
        <v>88</v>
      </c>
      <c r="S32" s="23" t="s">
        <v>88</v>
      </c>
      <c r="T32" s="23" t="s">
        <v>88</v>
      </c>
      <c r="U32" s="23">
        <v>84.789043934447804</v>
      </c>
      <c r="V32" s="23" t="s">
        <v>88</v>
      </c>
      <c r="W32" s="23">
        <v>610.34555754924304</v>
      </c>
      <c r="X32" s="23">
        <v>147.26021461197499</v>
      </c>
      <c r="Y32" s="23">
        <v>26.994693573327702</v>
      </c>
      <c r="Z32" s="23">
        <v>15.1047699512603</v>
      </c>
      <c r="AA32" s="23">
        <v>-81.586031614484398</v>
      </c>
      <c r="AB32" s="23">
        <v>-24.0277965291986</v>
      </c>
      <c r="AC32" s="23">
        <v>79.294560931397299</v>
      </c>
      <c r="AD32" s="23">
        <v>57.432113795471203</v>
      </c>
      <c r="AE32" s="23">
        <v>823.14174739324403</v>
      </c>
      <c r="AF32" s="23">
        <v>770.74499806056804</v>
      </c>
      <c r="AG32" s="23">
        <v>36.212092292438697</v>
      </c>
      <c r="AH32" s="23">
        <v>86.897839848421896</v>
      </c>
      <c r="AI32" s="23">
        <v>-13.5934347893054</v>
      </c>
      <c r="AJ32" s="23">
        <v>-40.158581576985</v>
      </c>
      <c r="AK32" s="23">
        <v>-10.6260496073455</v>
      </c>
      <c r="AL32" s="23">
        <v>-43.673912256254297</v>
      </c>
      <c r="AM32" s="23">
        <v>42.4317718557229</v>
      </c>
      <c r="AN32" s="23">
        <v>115.939140794629</v>
      </c>
      <c r="AO32" s="23">
        <v>53.899321159219902</v>
      </c>
      <c r="AP32" s="23">
        <v>122.35718588752999</v>
      </c>
    </row>
    <row r="33" spans="1:42" x14ac:dyDescent="0.25">
      <c r="A33" s="18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</row>
    <row r="34" spans="1:42" x14ac:dyDescent="0.25">
      <c r="A34" s="14" t="s">
        <v>112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x14ac:dyDescent="0.25">
      <c r="A35" s="18" t="s">
        <v>113</v>
      </c>
      <c r="B35" s="18" t="s">
        <v>114</v>
      </c>
      <c r="C35" s="21">
        <f>_xll.BDH("AMZN US Equity","EFF_TAX_RATE","FQ2 2011","FQ2 2011","Currency=USD","Period=FQ","BEST_FPERIOD_OVERRIDE=FQ","FILING_STATUS=MR","FA_ADJUSTED=GAAP","Sort=A","Dates=H","DateFormat=P","Fill=—","Direction=H","UseDPDF=Y")</f>
        <v>21.777799999999999</v>
      </c>
      <c r="D35" s="21">
        <f>_xll.BDH("AMZN US Equity","EFF_TAX_RATE","FQ3 2011","FQ3 2011","Currency=USD","Period=FQ","BEST_FPERIOD_OVERRIDE=FQ","FILING_STATUS=MR","FA_ADJUSTED=GAAP","Sort=A","Dates=H","DateFormat=P","Fill=—","Direction=H","UseDPDF=Y")</f>
        <v>51.538499999999999</v>
      </c>
      <c r="E35" s="21">
        <f>_xll.BDH("AMZN US Equity","EFF_TAX_RATE","FQ4 2011","FQ4 2011","Currency=USD","Period=FQ","BEST_FPERIOD_OVERRIDE=FQ","FILING_STATUS=MR","FA_ADJUSTED=GAAP","Sort=A","Dates=H","DateFormat=P","Fill=—","Direction=H","UseDPDF=Y")</f>
        <v>31.501799999999999</v>
      </c>
      <c r="F35" s="21">
        <f>_xll.BDH("AMZN US Equity","EFF_TAX_RATE","FQ1 2012","FQ1 2012","Currency=USD","Period=FQ","BEST_FPERIOD_OVERRIDE=FQ","FILING_STATUS=MR","FA_ADJUSTED=GAAP","Sort=A","Dates=H","DateFormat=P","Fill=—","Direction=H","UseDPDF=Y")</f>
        <v>51.1905</v>
      </c>
      <c r="G35" s="21">
        <f>_xll.BDH("AMZN US Equity","EFF_TAX_RATE","FQ2 2012","FQ2 2012","Currency=USD","Period=FQ","BEST_FPERIOD_OVERRIDE=FQ","FILING_STATUS=MR","FA_ADJUSTED=GAAP","Sort=A","Dates=H","DateFormat=P","Fill=—","Direction=H","UseDPDF=Y")</f>
        <v>74.657499999999999</v>
      </c>
      <c r="H35" s="21" t="str">
        <f>_xll.BDH("AMZN US Equity","EFF_TAX_RATE","FQ3 2012","FQ3 2012","Currency=USD","Period=FQ","BEST_FPERIOD_OVERRIDE=FQ","FILING_STATUS=MR","FA_ADJUSTED=GAAP","Sort=A","Dates=H","DateFormat=P","Fill=—","Direction=H","UseDPDF=Y")</f>
        <v>—</v>
      </c>
      <c r="I35" s="21">
        <f>_xll.BDH("AMZN US Equity","EFF_TAX_RATE","FQ4 2012","FQ4 2012","Currency=USD","Period=FQ","BEST_FPERIOD_OVERRIDE=FQ","FILING_STATUS=MR","FA_ADJUSTED=GAAP","Sort=A","Dates=H","DateFormat=P","Fill=—","Direction=H","UseDPDF=Y")</f>
        <v>57.566800000000001</v>
      </c>
      <c r="J35" s="21" t="str">
        <f>_xll.BDH("AMZN US Equity","EFF_TAX_RATE","FQ1 2013","FQ1 2013","Currency=USD","Period=FQ","BEST_FPERIOD_OVERRIDE=FQ","FILING_STATUS=MR","FA_ADJUSTED=GAAP","Sort=A","Dates=H","DateFormat=P","Fill=—","Direction=H","UseDPDF=Y")</f>
        <v>—</v>
      </c>
      <c r="K35" s="21">
        <f>_xll.BDH("AMZN US Equity","EFF_TAX_RATE","FQ2 2013","FQ2 2013","Currency=USD","Period=FQ","BEST_FPERIOD_OVERRIDE=FQ","FILING_STATUS=MR","FA_ADJUSTED=GAAP","Sort=A","Dates=H","DateFormat=P","Fill=—","Direction=H","UseDPDF=Y")</f>
        <v>76.470600000000005</v>
      </c>
      <c r="L35" s="21" t="str">
        <f>_xll.BDH("AMZN US Equity","EFF_TAX_RATE","FQ3 2013","FQ3 2013","Currency=USD","Period=FQ","BEST_FPERIOD_OVERRIDE=FQ","FILING_STATUS=MR","FA_ADJUSTED=GAAP","Sort=A","Dates=H","DateFormat=P","Fill=—","Direction=H","UseDPDF=Y")</f>
        <v>—</v>
      </c>
      <c r="M35" s="21">
        <f>_xll.BDH("AMZN US Equity","EFF_TAX_RATE","FQ4 2013","FQ4 2013","Currency=USD","Period=FQ","BEST_FPERIOD_OVERRIDE=FQ","FILING_STATUS=MR","FA_ADJUSTED=GAAP","Sort=A","Dates=H","DateFormat=P","Fill=—","Direction=H","UseDPDF=Y")</f>
        <v>39.689599999999999</v>
      </c>
      <c r="N35" s="21">
        <f>_xll.BDH("AMZN US Equity","EFF_TAX_RATE","FQ1 2014","FQ1 2014","Currency=USD","Period=FQ","BEST_FPERIOD_OVERRIDE=FQ","FILING_STATUS=MR","FA_ADJUSTED=GAAP","Sort=A","Dates=H","DateFormat=P","Fill=—","Direction=H","UseDPDF=Y")</f>
        <v>60.833300000000001</v>
      </c>
      <c r="O35" s="21" t="str">
        <f>_xll.BDH("AMZN US Equity","EFF_TAX_RATE","FQ2 2014","FQ2 2014","Currency=USD","Period=FQ","BEST_FPERIOD_OVERRIDE=FQ","FILING_STATUS=MR","FA_ADJUSTED=GAAP","Sort=A","Dates=H","DateFormat=P","Fill=—","Direction=H","UseDPDF=Y")</f>
        <v>—</v>
      </c>
      <c r="P35" s="21" t="str">
        <f>_xll.BDH("AMZN US Equity","EFF_TAX_RATE","FQ3 2014","FQ3 2014","Currency=USD","Period=FQ","BEST_FPERIOD_OVERRIDE=FQ","FILING_STATUS=MR","FA_ADJUSTED=GAAP","Sort=A","Dates=H","DateFormat=P","Fill=—","Direction=H","UseDPDF=Y")</f>
        <v>—</v>
      </c>
      <c r="Q35" s="21">
        <f>_xll.BDH("AMZN US Equity","EFF_TAX_RATE","FQ4 2014","FQ4 2014","Currency=USD","Period=FQ","BEST_FPERIOD_OVERRIDE=FQ","FILING_STATUS=MR","FA_ADJUSTED=GAAP","Sort=A","Dates=H","DateFormat=P","Fill=—","Direction=H","UseDPDF=Y")</f>
        <v>47.785499999999999</v>
      </c>
      <c r="R35" s="21">
        <f>_xll.BDH("AMZN US Equity","EFF_TAX_RATE","FQ1 2015","FQ1 2015","Currency=USD","Period=FQ","BEST_FPERIOD_OVERRIDE=FQ","FILING_STATUS=MR","FA_ADJUSTED=GAAP","Sort=A","Dates=H","DateFormat=P","Fill=—","Direction=H","UseDPDF=Y")</f>
        <v>338.09519999999998</v>
      </c>
      <c r="S35" s="21">
        <f>_xll.BDH("AMZN US Equity","EFF_TAX_RATE","FQ2 2015","FQ2 2015","Currency=USD","Period=FQ","BEST_FPERIOD_OVERRIDE=FQ","FILING_STATUS=MR","FA_ADJUSTED=GAAP","Sort=A","Dates=H","DateFormat=P","Fill=—","Direction=H","UseDPDF=Y")</f>
        <v>73.480699999999999</v>
      </c>
      <c r="T35" s="21">
        <f>_xll.BDH("AMZN US Equity","EFF_TAX_RATE","FQ3 2015","FQ3 2015","Currency=USD","Period=FQ","BEST_FPERIOD_OVERRIDE=FQ","FILING_STATUS=MR","FA_ADJUSTED=GAAP","Sort=A","Dates=H","DateFormat=P","Fill=—","Direction=H","UseDPDF=Y")</f>
        <v>65.182199999999995</v>
      </c>
      <c r="U35" s="21">
        <f>_xll.BDH("AMZN US Equity","EFF_TAX_RATE","FQ4 2015","FQ4 2015","Currency=USD","Period=FQ","BEST_FPERIOD_OVERRIDE=FQ","FILING_STATUS=MR","FA_ADJUSTED=GAAP","Sort=A","Dates=H","DateFormat=P","Fill=—","Direction=H","UseDPDF=Y")</f>
        <v>48.294200000000004</v>
      </c>
      <c r="V35" s="21">
        <f>_xll.BDH("AMZN US Equity","EFF_TAX_RATE","FQ1 2016","FQ1 2016","Currency=USD","Period=FQ","BEST_FPERIOD_OVERRIDE=FQ","FILING_STATUS=MR","FA_ADJUSTED=GAAP","Sort=A","Dates=H","DateFormat=P","Fill=—","Direction=H","UseDPDF=Y")</f>
        <v>44.981099999999998</v>
      </c>
      <c r="W35" s="21">
        <f>_xll.BDH("AMZN US Equity","EFF_TAX_RATE","FQ2 2016","FQ2 2016","Currency=USD","Period=FQ","BEST_FPERIOD_OVERRIDE=FQ","FILING_STATUS=MR","FA_ADJUSTED=GAAP","Sort=A","Dates=H","DateFormat=P","Fill=—","Direction=H","UseDPDF=Y")</f>
        <v>26.039000000000001</v>
      </c>
      <c r="X35" s="21">
        <f>_xll.BDH("AMZN US Equity","EFF_TAX_RATE","FQ3 2016","FQ3 2016","Currency=USD","Period=FQ","BEST_FPERIOD_OVERRIDE=FQ","FILING_STATUS=MR","FA_ADJUSTED=GAAP","Sort=A","Dates=H","DateFormat=P","Fill=—","Direction=H","UseDPDF=Y")</f>
        <v>46.639499999999998</v>
      </c>
      <c r="Y35" s="21">
        <f>_xll.BDH("AMZN US Equity","EFF_TAX_RATE","FQ4 2016","FQ4 2016","Currency=USD","Period=FQ","BEST_FPERIOD_OVERRIDE=FQ","FILING_STATUS=MR","FA_ADJUSTED=GAAP","Sort=A","Dates=H","DateFormat=P","Fill=—","Direction=H","UseDPDF=Y")</f>
        <v>35.506</v>
      </c>
      <c r="Z35" s="21">
        <f>_xll.BDH("AMZN US Equity","EFF_TAX_RATE","FQ1 2017","FQ1 2017","Currency=USD","Period=FQ","BEST_FPERIOD_OVERRIDE=FQ","FILING_STATUS=MR","FA_ADJUSTED=GAAP","Sort=A","Dates=H","DateFormat=P","Fill=—","Direction=H","UseDPDF=Y")</f>
        <v>24.029399999999999</v>
      </c>
      <c r="AA35" s="21">
        <f>_xll.BDH("AMZN US Equity","EFF_TAX_RATE","FQ2 2017","FQ2 2017","Currency=USD","Period=FQ","BEST_FPERIOD_OVERRIDE=FQ","FILING_STATUS=MR","FA_ADJUSTED=GAAP","Sort=A","Dates=H","DateFormat=P","Fill=—","Direction=H","UseDPDF=Y")</f>
        <v>70.120099999999994</v>
      </c>
      <c r="AB35" s="21">
        <f>_xll.BDH("AMZN US Equity","EFF_TAX_RATE","FQ3 2017","FQ3 2017","Currency=USD","Period=FQ","BEST_FPERIOD_OVERRIDE=FQ","FILING_STATUS=MR","FA_ADJUSTED=GAAP","Sort=A","Dates=H","DateFormat=P","Fill=—","Direction=H","UseDPDF=Y")</f>
        <v>18.354399999999998</v>
      </c>
      <c r="AC35" s="21">
        <f>_xll.BDH("AMZN US Equity","EFF_TAX_RATE","FQ4 2017","FQ4 2017","Currency=USD","Period=FQ","BEST_FPERIOD_OVERRIDE=FQ","FILING_STATUS=MR","FA_ADJUSTED=GAAP","Sort=A","Dates=H","DateFormat=P","Fill=—","Direction=H","UseDPDF=Y")</f>
        <v>0.85470000000000002</v>
      </c>
      <c r="AD35" s="21">
        <f>_xll.BDH("AMZN US Equity","EFF_TAX_RATE","FQ1 2018","FQ1 2018","Currency=USD","Period=FQ","BEST_FPERIOD_OVERRIDE=FQ","FILING_STATUS=MR","FA_ADJUSTED=GAAP","Sort=A","Dates=H","DateFormat=P","Fill=—","Direction=H","UseDPDF=Y")</f>
        <v>14.979100000000001</v>
      </c>
      <c r="AE35" s="21">
        <f>_xll.BDH("AMZN US Equity","EFF_TAX_RATE","FQ2 2018","FQ2 2018","Currency=USD","Period=FQ","BEST_FPERIOD_OVERRIDE=FQ","FILING_STATUS=MR","FA_ADJUSTED=GAAP","Sort=A","Dates=H","DateFormat=P","Fill=—","Direction=H","UseDPDF=Y")</f>
        <v>2.8407</v>
      </c>
      <c r="AF35" s="21">
        <f>_xll.BDH("AMZN US Equity","EFF_TAX_RATE","FQ3 2018","FQ3 2018","Currency=USD","Period=FQ","BEST_FPERIOD_OVERRIDE=FQ","FILING_STATUS=MR","FA_ADJUSTED=GAAP","Sort=A","Dates=H","DateFormat=P","Fill=—","Direction=H","UseDPDF=Y")</f>
        <v>14.985300000000001</v>
      </c>
      <c r="AG35" s="21">
        <f>_xll.BDH("AMZN US Equity","EFF_TAX_RATE","FQ4 2018","FQ4 2018","Currency=USD","Period=FQ","BEST_FPERIOD_OVERRIDE=FQ","FILING_STATUS=MR","FA_ADJUSTED=GAAP","Sort=A","Dates=H","DateFormat=P","Fill=—","Direction=H","UseDPDF=Y")</f>
        <v>9.7612000000000005</v>
      </c>
      <c r="AH35" s="21">
        <f>_xll.BDH("AMZN US Equity","EFF_TAX_RATE","FQ1 2019","FQ1 2019","Currency=USD","Period=FQ","BEST_FPERIOD_OVERRIDE=FQ","FILING_STATUS=MR","FA_ADJUSTED=GAAP","Sort=A","Dates=H","DateFormat=P","Fill=—","Direction=H","UseDPDF=Y")</f>
        <v>18.995699999999999</v>
      </c>
      <c r="AI35" s="21">
        <f>_xll.BDH("AMZN US Equity","EFF_TAX_RATE","FQ2 2019","FQ2 2019","Currency=USD","Period=FQ","BEST_FPERIOD_OVERRIDE=FQ","FILING_STATUS=MR","FA_ADJUSTED=GAAP","Sort=A","Dates=H","DateFormat=P","Fill=—","Direction=H","UseDPDF=Y")</f>
        <v>8.8957999999999995</v>
      </c>
      <c r="AJ35" s="21">
        <f>_xll.BDH("AMZN US Equity","EFF_TAX_RATE","FQ3 2019","FQ3 2019","Currency=USD","Period=FQ","BEST_FPERIOD_OVERRIDE=FQ","FILING_STATUS=MR","FA_ADJUSTED=GAAP","Sort=A","Dates=H","DateFormat=P","Fill=—","Direction=H","UseDPDF=Y")</f>
        <v>18.768999999999998</v>
      </c>
      <c r="AK35" s="21">
        <f>_xll.BDH("AMZN US Equity","EFF_TAX_RATE","FQ4 2019","FQ4 2019","Currency=USD","Period=FQ","BEST_FPERIOD_OVERRIDE=FQ","FILING_STATUS=MR","FA_ADJUSTED=GAAP","Sort=A","Dates=H","DateFormat=P","Fill=—","Direction=H","UseDPDF=Y")</f>
        <v>19.393000000000001</v>
      </c>
      <c r="AL35" s="21">
        <f>_xll.BDH("AMZN US Equity","EFF_TAX_RATE","FQ1 2020","FQ1 2020","Currency=USD","Period=FQ","BEST_FPERIOD_OVERRIDE=FQ","FILING_STATUS=MR","FA_ADJUSTED=GAAP","Sort=A","Dates=H","DateFormat=P","Fill=—","Direction=H","UseDPDF=Y")</f>
        <v>21.9923</v>
      </c>
      <c r="AM35" s="21">
        <f>_xll.BDH("AMZN US Equity","EFF_TAX_RATE","FQ2 2020","FQ2 2020","Currency=USD","Period=FQ","BEST_FPERIOD_OVERRIDE=FQ","FILING_STATUS=MR","FA_ADJUSTED=GAAP","Sort=A","Dates=H","DateFormat=P","Fill=—","Direction=H","UseDPDF=Y")</f>
        <v>15.817399999999999</v>
      </c>
      <c r="AN35" s="21">
        <f>_xll.BDH("AMZN US Equity","EFF_TAX_RATE","FQ3 2020","FQ3 2020","Currency=USD","Period=FQ","BEST_FPERIOD_OVERRIDE=FQ","FILING_STATUS=MR","FA_ADJUSTED=GAAP","Sort=A","Dates=H","DateFormat=P","Fill=—","Direction=H","UseDPDF=Y")</f>
        <v>8.3566000000000003</v>
      </c>
      <c r="AO35" s="21">
        <f>_xll.BDH("AMZN US Equity","EFF_TAX_RATE","FQ4 2020","FQ4 2020","Currency=USD","Period=FQ","BEST_FPERIOD_OVERRIDE=FQ","FILING_STATUS=MR","FA_ADJUSTED=GAAP","Sort=A","Dates=H","DateFormat=P","Fill=—","Direction=H","UseDPDF=Y")</f>
        <v>7.2891000000000004</v>
      </c>
      <c r="AP35" s="21">
        <f>_xll.BDH("AMZN US Equity","EFF_TAX_RATE","FQ1 2021","FQ1 2021","Currency=USD","Period=FQ","BEST_FPERIOD_OVERRIDE=FQ","FILING_STATUS=MR","FA_ADJUSTED=GAAP","Sort=A","Dates=H","DateFormat=P","Fill=—","Direction=H","UseDPDF=Y")</f>
        <v>20.997299999999999</v>
      </c>
    </row>
    <row r="36" spans="1:42" x14ac:dyDescent="0.25">
      <c r="A36" s="19" t="s">
        <v>87</v>
      </c>
      <c r="B36" s="19" t="s">
        <v>114</v>
      </c>
      <c r="C36" s="23">
        <v>-26.500000168749999</v>
      </c>
      <c r="D36" s="23">
        <v>90.496590345630096</v>
      </c>
      <c r="E36" s="23">
        <v>89.761030061760295</v>
      </c>
      <c r="F36" s="23">
        <v>76.578383584979093</v>
      </c>
      <c r="G36" s="23">
        <v>242.81520364474301</v>
      </c>
      <c r="H36" s="23" t="s">
        <v>88</v>
      </c>
      <c r="I36" s="23">
        <v>82.741010110142199</v>
      </c>
      <c r="J36" s="23" t="s">
        <v>88</v>
      </c>
      <c r="K36" s="23">
        <v>2.4284943566445798</v>
      </c>
      <c r="L36" s="23" t="s">
        <v>88</v>
      </c>
      <c r="M36" s="23">
        <v>-31.054700901558402</v>
      </c>
      <c r="N36" s="23" t="s">
        <v>88</v>
      </c>
      <c r="O36" s="23" t="s">
        <v>88</v>
      </c>
      <c r="P36" s="23" t="s">
        <v>88</v>
      </c>
      <c r="Q36" s="23">
        <v>20.398223422828401</v>
      </c>
      <c r="R36" s="23">
        <v>455.77299701793402</v>
      </c>
      <c r="S36" s="23" t="s">
        <v>88</v>
      </c>
      <c r="T36" s="23" t="s">
        <v>88</v>
      </c>
      <c r="U36" s="23">
        <v>1.06453733668599</v>
      </c>
      <c r="V36" s="23">
        <v>-86.695742517379102</v>
      </c>
      <c r="W36" s="23">
        <v>-64.563444398970603</v>
      </c>
      <c r="X36" s="23">
        <v>-28.4474580217362</v>
      </c>
      <c r="Y36" s="23">
        <v>-26.479843570588699</v>
      </c>
      <c r="Z36" s="23">
        <v>-46.578892392066997</v>
      </c>
      <c r="AA36" s="23">
        <v>169.28867050890099</v>
      </c>
      <c r="AB36" s="23">
        <v>-60.646178301483502</v>
      </c>
      <c r="AC36" s="23">
        <v>-97.592798603661507</v>
      </c>
      <c r="AD36" s="23">
        <v>-37.663300606869598</v>
      </c>
      <c r="AE36" s="23">
        <v>-95.948821821753896</v>
      </c>
      <c r="AF36" s="23">
        <v>-18.356217000473499</v>
      </c>
      <c r="AG36" s="23">
        <v>1042.05950384988</v>
      </c>
      <c r="AH36" s="23">
        <v>26.814386930396399</v>
      </c>
      <c r="AI36" s="23">
        <v>213.15662280762001</v>
      </c>
      <c r="AJ36" s="23">
        <v>25.249800620623599</v>
      </c>
      <c r="AK36" s="23">
        <v>98.674895714602101</v>
      </c>
      <c r="AL36" s="23">
        <v>15.775331689837101</v>
      </c>
      <c r="AM36" s="23">
        <v>77.807186123088002</v>
      </c>
      <c r="AN36" s="23">
        <v>-55.476645875109902</v>
      </c>
      <c r="AO36" s="23">
        <v>-62.413746126059003</v>
      </c>
      <c r="AP36" s="23">
        <v>-4.5244986714677404</v>
      </c>
    </row>
    <row r="37" spans="1:42" x14ac:dyDescent="0.25">
      <c r="A37" s="18" t="s">
        <v>115</v>
      </c>
      <c r="B37" s="18" t="s">
        <v>116</v>
      </c>
      <c r="C37" s="21">
        <f>_xll.BDH("AMZN US Equity","DVD_PAYOUT_RATIO","FQ2 2011","FQ2 2011","Currency=USD","Period=FQ","BEST_FPERIOD_OVERRIDE=FQ","FILING_STATUS=MR","FA_ADJUSTED=GAAP","Sort=A","Dates=H","DateFormat=P","Fill=—","Direction=H","UseDPDF=Y")</f>
        <v>0</v>
      </c>
      <c r="D37" s="21">
        <f>_xll.BDH("AMZN US Equity","DVD_PAYOUT_RATIO","FQ3 2011","FQ3 2011","Currency=USD","Period=FQ","BEST_FPERIOD_OVERRIDE=FQ","FILING_STATUS=MR","FA_ADJUSTED=GAAP","Sort=A","Dates=H","DateFormat=P","Fill=—","Direction=H","UseDPDF=Y")</f>
        <v>0</v>
      </c>
      <c r="E37" s="21">
        <f>_xll.BDH("AMZN US Equity","DVD_PAYOUT_RATIO","FQ4 2011","FQ4 2011","Currency=USD","Period=FQ","BEST_FPERIOD_OVERRIDE=FQ","FILING_STATUS=MR","FA_ADJUSTED=GAAP","Sort=A","Dates=H","DateFormat=P","Fill=—","Direction=H","UseDPDF=Y")</f>
        <v>0</v>
      </c>
      <c r="F37" s="21">
        <f>_xll.BDH("AMZN US Equity","DVD_PAYOUT_RATIO","FQ1 2012","FQ1 2012","Currency=USD","Period=FQ","BEST_FPERIOD_OVERRIDE=FQ","FILING_STATUS=MR","FA_ADJUSTED=GAAP","Sort=A","Dates=H","DateFormat=P","Fill=—","Direction=H","UseDPDF=Y")</f>
        <v>0</v>
      </c>
      <c r="G37" s="21">
        <f>_xll.BDH("AMZN US Equity","DVD_PAYOUT_RATIO","FQ2 2012","FQ2 2012","Currency=USD","Period=FQ","BEST_FPERIOD_OVERRIDE=FQ","FILING_STATUS=MR","FA_ADJUSTED=GAAP","Sort=A","Dates=H","DateFormat=P","Fill=—","Direction=H","UseDPDF=Y")</f>
        <v>0</v>
      </c>
      <c r="H37" s="21" t="str">
        <f>_xll.BDH("AMZN US Equity","DVD_PAYOUT_RATIO","FQ3 2012","FQ3 2012","Currency=USD","Period=FQ","BEST_FPERIOD_OVERRIDE=FQ","FILING_STATUS=MR","FA_ADJUSTED=GAAP","Sort=A","Dates=H","DateFormat=P","Fill=—","Direction=H","UseDPDF=Y")</f>
        <v>—</v>
      </c>
      <c r="I37" s="21">
        <f>_xll.BDH("AMZN US Equity","DVD_PAYOUT_RATIO","FQ4 2012","FQ4 2012","Currency=USD","Period=FQ","BEST_FPERIOD_OVERRIDE=FQ","FILING_STATUS=MR","FA_ADJUSTED=GAAP","Sort=A","Dates=H","DateFormat=P","Fill=—","Direction=H","UseDPDF=Y")</f>
        <v>0</v>
      </c>
      <c r="J37" s="21">
        <f>_xll.BDH("AMZN US Equity","DVD_PAYOUT_RATIO","FQ1 2013","FQ1 2013","Currency=USD","Period=FQ","BEST_FPERIOD_OVERRIDE=FQ","FILING_STATUS=MR","FA_ADJUSTED=GAAP","Sort=A","Dates=H","DateFormat=P","Fill=—","Direction=H","UseDPDF=Y")</f>
        <v>0</v>
      </c>
      <c r="K37" s="21" t="str">
        <f>_xll.BDH("AMZN US Equity","DVD_PAYOUT_RATIO","FQ2 2013","FQ2 2013","Currency=USD","Period=FQ","BEST_FPERIOD_OVERRIDE=FQ","FILING_STATUS=MR","FA_ADJUSTED=GAAP","Sort=A","Dates=H","DateFormat=P","Fill=—","Direction=H","UseDPDF=Y")</f>
        <v>—</v>
      </c>
      <c r="L37" s="21" t="str">
        <f>_xll.BDH("AMZN US Equity","DVD_PAYOUT_RATIO","FQ3 2013","FQ3 2013","Currency=USD","Period=FQ","BEST_FPERIOD_OVERRIDE=FQ","FILING_STATUS=MR","FA_ADJUSTED=GAAP","Sort=A","Dates=H","DateFormat=P","Fill=—","Direction=H","UseDPDF=Y")</f>
        <v>—</v>
      </c>
      <c r="M37" s="21">
        <f>_xll.BDH("AMZN US Equity","DVD_PAYOUT_RATIO","FQ4 2013","FQ4 2013","Currency=USD","Period=FQ","BEST_FPERIOD_OVERRIDE=FQ","FILING_STATUS=MR","FA_ADJUSTED=GAAP","Sort=A","Dates=H","DateFormat=P","Fill=—","Direction=H","UseDPDF=Y")</f>
        <v>0</v>
      </c>
      <c r="N37" s="21">
        <f>_xll.BDH("AMZN US Equity","DVD_PAYOUT_RATIO","FQ1 2014","FQ1 2014","Currency=USD","Period=FQ","BEST_FPERIOD_OVERRIDE=FQ","FILING_STATUS=MR","FA_ADJUSTED=GAAP","Sort=A","Dates=H","DateFormat=P","Fill=—","Direction=H","UseDPDF=Y")</f>
        <v>0</v>
      </c>
      <c r="O37" s="21" t="str">
        <f>_xll.BDH("AMZN US Equity","DVD_PAYOUT_RATIO","FQ2 2014","FQ2 2014","Currency=USD","Period=FQ","BEST_FPERIOD_OVERRIDE=FQ","FILING_STATUS=MR","FA_ADJUSTED=GAAP","Sort=A","Dates=H","DateFormat=P","Fill=—","Direction=H","UseDPDF=Y")</f>
        <v>—</v>
      </c>
      <c r="P37" s="21" t="str">
        <f>_xll.BDH("AMZN US Equity","DVD_PAYOUT_RATIO","FQ3 2014","FQ3 2014","Currency=USD","Period=FQ","BEST_FPERIOD_OVERRIDE=FQ","FILING_STATUS=MR","FA_ADJUSTED=GAAP","Sort=A","Dates=H","DateFormat=P","Fill=—","Direction=H","UseDPDF=Y")</f>
        <v>—</v>
      </c>
      <c r="Q37" s="21">
        <f>_xll.BDH("AMZN US Equity","DVD_PAYOUT_RATIO","FQ4 2014","FQ4 2014","Currency=USD","Period=FQ","BEST_FPERIOD_OVERRIDE=FQ","FILING_STATUS=MR","FA_ADJUSTED=GAAP","Sort=A","Dates=H","DateFormat=P","Fill=—","Direction=H","UseDPDF=Y")</f>
        <v>0</v>
      </c>
      <c r="R37" s="21" t="str">
        <f>_xll.BDH("AMZN US Equity","DVD_PAYOUT_RATIO","FQ1 2015","FQ1 2015","Currency=USD","Period=FQ","BEST_FPERIOD_OVERRIDE=FQ","FILING_STATUS=MR","FA_ADJUSTED=GAAP","Sort=A","Dates=H","DateFormat=P","Fill=—","Direction=H","UseDPDF=Y")</f>
        <v>—</v>
      </c>
      <c r="S37" s="21">
        <f>_xll.BDH("AMZN US Equity","DVD_PAYOUT_RATIO","FQ2 2015","FQ2 2015","Currency=USD","Period=FQ","BEST_FPERIOD_OVERRIDE=FQ","FILING_STATUS=MR","FA_ADJUSTED=GAAP","Sort=A","Dates=H","DateFormat=P","Fill=—","Direction=H","UseDPDF=Y")</f>
        <v>0</v>
      </c>
      <c r="T37" s="21">
        <f>_xll.BDH("AMZN US Equity","DVD_PAYOUT_RATIO","FQ3 2015","FQ3 2015","Currency=USD","Period=FQ","BEST_FPERIOD_OVERRIDE=FQ","FILING_STATUS=MR","FA_ADJUSTED=GAAP","Sort=A","Dates=H","DateFormat=P","Fill=—","Direction=H","UseDPDF=Y")</f>
        <v>0</v>
      </c>
      <c r="U37" s="21">
        <f>_xll.BDH("AMZN US Equity","DVD_PAYOUT_RATIO","FQ4 2015","FQ4 2015","Currency=USD","Period=FQ","BEST_FPERIOD_OVERRIDE=FQ","FILING_STATUS=MR","FA_ADJUSTED=GAAP","Sort=A","Dates=H","DateFormat=P","Fill=—","Direction=H","UseDPDF=Y")</f>
        <v>0</v>
      </c>
      <c r="V37" s="21">
        <f>_xll.BDH("AMZN US Equity","DVD_PAYOUT_RATIO","FQ1 2016","FQ1 2016","Currency=USD","Period=FQ","BEST_FPERIOD_OVERRIDE=FQ","FILING_STATUS=MR","FA_ADJUSTED=GAAP","Sort=A","Dates=H","DateFormat=P","Fill=—","Direction=H","UseDPDF=Y")</f>
        <v>0</v>
      </c>
      <c r="W37" s="21">
        <f>_xll.BDH("AMZN US Equity","DVD_PAYOUT_RATIO","FQ2 2016","FQ2 2016","Currency=USD","Period=FQ","BEST_FPERIOD_OVERRIDE=FQ","FILING_STATUS=MR","FA_ADJUSTED=GAAP","Sort=A","Dates=H","DateFormat=P","Fill=—","Direction=H","UseDPDF=Y")</f>
        <v>0</v>
      </c>
      <c r="X37" s="21">
        <f>_xll.BDH("AMZN US Equity","DVD_PAYOUT_RATIO","FQ3 2016","FQ3 2016","Currency=USD","Period=FQ","BEST_FPERIOD_OVERRIDE=FQ","FILING_STATUS=MR","FA_ADJUSTED=GAAP","Sort=A","Dates=H","DateFormat=P","Fill=—","Direction=H","UseDPDF=Y")</f>
        <v>0</v>
      </c>
      <c r="Y37" s="21">
        <f>_xll.BDH("AMZN US Equity","DVD_PAYOUT_RATIO","FQ4 2016","FQ4 2016","Currency=USD","Period=FQ","BEST_FPERIOD_OVERRIDE=FQ","FILING_STATUS=MR","FA_ADJUSTED=GAAP","Sort=A","Dates=H","DateFormat=P","Fill=—","Direction=H","UseDPDF=Y")</f>
        <v>0</v>
      </c>
      <c r="Z37" s="21">
        <f>_xll.BDH("AMZN US Equity","DVD_PAYOUT_RATIO","FQ1 2017","FQ1 2017","Currency=USD","Period=FQ","BEST_FPERIOD_OVERRIDE=FQ","FILING_STATUS=MR","FA_ADJUSTED=GAAP","Sort=A","Dates=H","DateFormat=P","Fill=—","Direction=H","UseDPDF=Y")</f>
        <v>0</v>
      </c>
      <c r="AA37" s="21">
        <f>_xll.BDH("AMZN US Equity","DVD_PAYOUT_RATIO","FQ2 2017","FQ2 2017","Currency=USD","Period=FQ","BEST_FPERIOD_OVERRIDE=FQ","FILING_STATUS=MR","FA_ADJUSTED=GAAP","Sort=A","Dates=H","DateFormat=P","Fill=—","Direction=H","UseDPDF=Y")</f>
        <v>0</v>
      </c>
      <c r="AB37" s="21">
        <f>_xll.BDH("AMZN US Equity","DVD_PAYOUT_RATIO","FQ3 2017","FQ3 2017","Currency=USD","Period=FQ","BEST_FPERIOD_OVERRIDE=FQ","FILING_STATUS=MR","FA_ADJUSTED=GAAP","Sort=A","Dates=H","DateFormat=P","Fill=—","Direction=H","UseDPDF=Y")</f>
        <v>0</v>
      </c>
      <c r="AC37" s="21">
        <f>_xll.BDH("AMZN US Equity","DVD_PAYOUT_RATIO","FQ4 2017","FQ4 2017","Currency=USD","Period=FQ","BEST_FPERIOD_OVERRIDE=FQ","FILING_STATUS=MR","FA_ADJUSTED=GAAP","Sort=A","Dates=H","DateFormat=P","Fill=—","Direction=H","UseDPDF=Y")</f>
        <v>0</v>
      </c>
      <c r="AD37" s="21">
        <f>_xll.BDH("AMZN US Equity","DVD_PAYOUT_RATIO","FQ1 2018","FQ1 2018","Currency=USD","Period=FQ","BEST_FPERIOD_OVERRIDE=FQ","FILING_STATUS=MR","FA_ADJUSTED=GAAP","Sort=A","Dates=H","DateFormat=P","Fill=—","Direction=H","UseDPDF=Y")</f>
        <v>0</v>
      </c>
      <c r="AE37" s="21">
        <f>_xll.BDH("AMZN US Equity","DVD_PAYOUT_RATIO","FQ2 2018","FQ2 2018","Currency=USD","Period=FQ","BEST_FPERIOD_OVERRIDE=FQ","FILING_STATUS=MR","FA_ADJUSTED=GAAP","Sort=A","Dates=H","DateFormat=P","Fill=—","Direction=H","UseDPDF=Y")</f>
        <v>0</v>
      </c>
      <c r="AF37" s="21">
        <f>_xll.BDH("AMZN US Equity","DVD_PAYOUT_RATIO","FQ3 2018","FQ3 2018","Currency=USD","Period=FQ","BEST_FPERIOD_OVERRIDE=FQ","FILING_STATUS=MR","FA_ADJUSTED=GAAP","Sort=A","Dates=H","DateFormat=P","Fill=—","Direction=H","UseDPDF=Y")</f>
        <v>0</v>
      </c>
      <c r="AG37" s="21">
        <f>_xll.BDH("AMZN US Equity","DVD_PAYOUT_RATIO","FQ4 2018","FQ4 2018","Currency=USD","Period=FQ","BEST_FPERIOD_OVERRIDE=FQ","FILING_STATUS=MR","FA_ADJUSTED=GAAP","Sort=A","Dates=H","DateFormat=P","Fill=—","Direction=H","UseDPDF=Y")</f>
        <v>0</v>
      </c>
      <c r="AH37" s="21">
        <f>_xll.BDH("AMZN US Equity","DVD_PAYOUT_RATIO","FQ1 2019","FQ1 2019","Currency=USD","Period=FQ","BEST_FPERIOD_OVERRIDE=FQ","FILING_STATUS=MR","FA_ADJUSTED=GAAP","Sort=A","Dates=H","DateFormat=P","Fill=—","Direction=H","UseDPDF=Y")</f>
        <v>0</v>
      </c>
      <c r="AI37" s="21">
        <f>_xll.BDH("AMZN US Equity","DVD_PAYOUT_RATIO","FQ2 2019","FQ2 2019","Currency=USD","Period=FQ","BEST_FPERIOD_OVERRIDE=FQ","FILING_STATUS=MR","FA_ADJUSTED=GAAP","Sort=A","Dates=H","DateFormat=P","Fill=—","Direction=H","UseDPDF=Y")</f>
        <v>0</v>
      </c>
      <c r="AJ37" s="21">
        <f>_xll.BDH("AMZN US Equity","DVD_PAYOUT_RATIO","FQ3 2019","FQ3 2019","Currency=USD","Period=FQ","BEST_FPERIOD_OVERRIDE=FQ","FILING_STATUS=MR","FA_ADJUSTED=GAAP","Sort=A","Dates=H","DateFormat=P","Fill=—","Direction=H","UseDPDF=Y")</f>
        <v>0</v>
      </c>
      <c r="AK37" s="21">
        <f>_xll.BDH("AMZN US Equity","DVD_PAYOUT_RATIO","FQ4 2019","FQ4 2019","Currency=USD","Period=FQ","BEST_FPERIOD_OVERRIDE=FQ","FILING_STATUS=MR","FA_ADJUSTED=GAAP","Sort=A","Dates=H","DateFormat=P","Fill=—","Direction=H","UseDPDF=Y")</f>
        <v>0</v>
      </c>
      <c r="AL37" s="21">
        <f>_xll.BDH("AMZN US Equity","DVD_PAYOUT_RATIO","FQ1 2020","FQ1 2020","Currency=USD","Period=FQ","BEST_FPERIOD_OVERRIDE=FQ","FILING_STATUS=MR","FA_ADJUSTED=GAAP","Sort=A","Dates=H","DateFormat=P","Fill=—","Direction=H","UseDPDF=Y")</f>
        <v>0</v>
      </c>
      <c r="AM37" s="21">
        <f>_xll.BDH("AMZN US Equity","DVD_PAYOUT_RATIO","FQ2 2020","FQ2 2020","Currency=USD","Period=FQ","BEST_FPERIOD_OVERRIDE=FQ","FILING_STATUS=MR","FA_ADJUSTED=GAAP","Sort=A","Dates=H","DateFormat=P","Fill=—","Direction=H","UseDPDF=Y")</f>
        <v>0</v>
      </c>
      <c r="AN37" s="21">
        <f>_xll.BDH("AMZN US Equity","DVD_PAYOUT_RATIO","FQ3 2020","FQ3 2020","Currency=USD","Period=FQ","BEST_FPERIOD_OVERRIDE=FQ","FILING_STATUS=MR","FA_ADJUSTED=GAAP","Sort=A","Dates=H","DateFormat=P","Fill=—","Direction=H","UseDPDF=Y")</f>
        <v>0</v>
      </c>
      <c r="AO37" s="21">
        <f>_xll.BDH("AMZN US Equity","DVD_PAYOUT_RATIO","FQ4 2020","FQ4 2020","Currency=USD","Period=FQ","BEST_FPERIOD_OVERRIDE=FQ","FILING_STATUS=MR","FA_ADJUSTED=GAAP","Sort=A","Dates=H","DateFormat=P","Fill=—","Direction=H","UseDPDF=Y")</f>
        <v>0</v>
      </c>
      <c r="AP37" s="21">
        <f>_xll.BDH("AMZN US Equity","DVD_PAYOUT_RATIO","FQ1 2021","FQ1 2021","Currency=USD","Period=FQ","BEST_FPERIOD_OVERRIDE=FQ","FILING_STATUS=MR","FA_ADJUSTED=GAAP","Sort=A","Dates=H","DateFormat=P","Fill=—","Direction=H","UseDPDF=Y")</f>
        <v>0</v>
      </c>
    </row>
    <row r="38" spans="1:42" x14ac:dyDescent="0.25">
      <c r="A38" s="18" t="s">
        <v>117</v>
      </c>
      <c r="B38" s="18" t="s">
        <v>118</v>
      </c>
      <c r="C38" s="21">
        <f>_xll.BDH("AMZN US Equity","SUSTAIN_GROWTH_RT","FQ2 2011","FQ2 2011","Currency=USD","Period=FQ","BEST_FPERIOD_OVERRIDE=FQ","FILING_STATUS=MR","FA_ADJUSTED=GAAP","Sort=A","Dates=H","DateFormat=P","Fill=—","Direction=H","UseDPDF=Y")</f>
        <v>15.2547</v>
      </c>
      <c r="D38" s="21">
        <f>_xll.BDH("AMZN US Equity","SUSTAIN_GROWTH_RT","FQ3 2011","FQ3 2011","Currency=USD","Period=FQ","BEST_FPERIOD_OVERRIDE=FQ","FILING_STATUS=MR","FA_ADJUSTED=GAAP","Sort=A","Dates=H","DateFormat=P","Fill=—","Direction=H","UseDPDF=Y")</f>
        <v>12.2997</v>
      </c>
      <c r="E38" s="21">
        <f>_xll.BDH("AMZN US Equity","SUSTAIN_GROWTH_RT","FQ4 2011","FQ4 2011","Currency=USD","Period=FQ","BEST_FPERIOD_OVERRIDE=FQ","FILING_STATUS=MR","FA_ADJUSTED=GAAP","Sort=A","Dates=H","DateFormat=P","Fill=—","Direction=H","UseDPDF=Y")</f>
        <v>8.6450999999999993</v>
      </c>
      <c r="F38" s="21">
        <f>_xll.BDH("AMZN US Equity","SUSTAIN_GROWTH_RT","FQ1 2012","FQ1 2012","Currency=USD","Period=FQ","BEST_FPERIOD_OVERRIDE=FQ","FILING_STATUS=MR","FA_ADJUSTED=GAAP","Sort=A","Dates=H","DateFormat=P","Fill=—","Direction=H","UseDPDF=Y")</f>
        <v>7.6754999999999995</v>
      </c>
      <c r="G38" s="21">
        <f>_xll.BDH("AMZN US Equity","SUSTAIN_GROWTH_RT","FQ2 2012","FQ2 2012","Currency=USD","Period=FQ","BEST_FPERIOD_OVERRIDE=FQ","FILING_STATUS=MR","FA_ADJUSTED=GAAP","Sort=A","Dates=H","DateFormat=P","Fill=—","Direction=H","UseDPDF=Y")</f>
        <v>4.9378000000000002</v>
      </c>
      <c r="H38" s="21" t="str">
        <f>_xll.BDH("AMZN US Equity","SUSTAIN_GROWTH_RT","FQ3 2012","FQ3 2012","Currency=USD","Period=FQ","BEST_FPERIOD_OVERRIDE=FQ","FILING_STATUS=MR","FA_ADJUSTED=GAAP","Sort=A","Dates=H","DateFormat=P","Fill=—","Direction=H","UseDPDF=Y")</f>
        <v>—</v>
      </c>
      <c r="I38" s="21">
        <f>_xll.BDH("AMZN US Equity","SUSTAIN_GROWTH_RT","FQ4 2012","FQ4 2012","Currency=USD","Period=FQ","BEST_FPERIOD_OVERRIDE=FQ","FILING_STATUS=MR","FA_ADJUSTED=GAAP","Sort=A","Dates=H","DateFormat=P","Fill=—","Direction=H","UseDPDF=Y")</f>
        <v>-0.50160000000000005</v>
      </c>
      <c r="J38" s="21">
        <f>_xll.BDH("AMZN US Equity","SUSTAIN_GROWTH_RT","FQ1 2013","FQ1 2013","Currency=USD","Period=FQ","BEST_FPERIOD_OVERRIDE=FQ","FILING_STATUS=MR","FA_ADJUSTED=GAAP","Sort=A","Dates=H","DateFormat=P","Fill=—","Direction=H","UseDPDF=Y")</f>
        <v>-1.1208</v>
      </c>
      <c r="K38" s="21" t="str">
        <f>_xll.BDH("AMZN US Equity","SUSTAIN_GROWTH_RT","FQ2 2013","FQ2 2013","Currency=USD","Period=FQ","BEST_FPERIOD_OVERRIDE=FQ","FILING_STATUS=MR","FA_ADJUSTED=GAAP","Sort=A","Dates=H","DateFormat=P","Fill=—","Direction=H","UseDPDF=Y")</f>
        <v>—</v>
      </c>
      <c r="L38" s="21" t="str">
        <f>_xll.BDH("AMZN US Equity","SUSTAIN_GROWTH_RT","FQ3 2013","FQ3 2013","Currency=USD","Period=FQ","BEST_FPERIOD_OVERRIDE=FQ","FILING_STATUS=MR","FA_ADJUSTED=GAAP","Sort=A","Dates=H","DateFormat=P","Fill=—","Direction=H","UseDPDF=Y")</f>
        <v>—</v>
      </c>
      <c r="M38" s="21">
        <f>_xll.BDH("AMZN US Equity","SUSTAIN_GROWTH_RT","FQ4 2013","FQ4 2013","Currency=USD","Period=FQ","BEST_FPERIOD_OVERRIDE=FQ","FILING_STATUS=MR","FA_ADJUSTED=GAAP","Sort=A","Dates=H","DateFormat=P","Fill=—","Direction=H","UseDPDF=Y")</f>
        <v>3.0438000000000001</v>
      </c>
      <c r="N38" s="21">
        <f>_xll.BDH("AMZN US Equity","SUSTAIN_GROWTH_RT","FQ1 2014","FQ1 2014","Currency=USD","Period=FQ","BEST_FPERIOD_OVERRIDE=FQ","FILING_STATUS=MR","FA_ADJUSTED=GAAP","Sort=A","Dates=H","DateFormat=P","Fill=—","Direction=H","UseDPDF=Y")</f>
        <v>3.1875999999999998</v>
      </c>
      <c r="O38" s="21" t="str">
        <f>_xll.BDH("AMZN US Equity","SUSTAIN_GROWTH_RT","FQ2 2014","FQ2 2014","Currency=USD","Period=FQ","BEST_FPERIOD_OVERRIDE=FQ","FILING_STATUS=MR","FA_ADJUSTED=GAAP","Sort=A","Dates=H","DateFormat=P","Fill=—","Direction=H","UseDPDF=Y")</f>
        <v>—</v>
      </c>
      <c r="P38" s="21" t="str">
        <f>_xll.BDH("AMZN US Equity","SUSTAIN_GROWTH_RT","FQ3 2014","FQ3 2014","Currency=USD","Period=FQ","BEST_FPERIOD_OVERRIDE=FQ","FILING_STATUS=MR","FA_ADJUSTED=GAAP","Sort=A","Dates=H","DateFormat=P","Fill=—","Direction=H","UseDPDF=Y")</f>
        <v>—</v>
      </c>
      <c r="Q38" s="21">
        <f>_xll.BDH("AMZN US Equity","SUSTAIN_GROWTH_RT","FQ4 2014","FQ4 2014","Currency=USD","Period=FQ","BEST_FPERIOD_OVERRIDE=FQ","FILING_STATUS=MR","FA_ADJUSTED=GAAP","Sort=A","Dates=H","DateFormat=P","Fill=—","Direction=H","UseDPDF=Y")</f>
        <v>-2.3527</v>
      </c>
      <c r="R38" s="21" t="str">
        <f>_xll.BDH("AMZN US Equity","SUSTAIN_GROWTH_RT","FQ1 2015","FQ1 2015","Currency=USD","Period=FQ","BEST_FPERIOD_OVERRIDE=FQ","FILING_STATUS=MR","FA_ADJUSTED=GAAP","Sort=A","Dates=H","DateFormat=P","Fill=—","Direction=H","UseDPDF=Y")</f>
        <v>—</v>
      </c>
      <c r="S38" s="21">
        <f>_xll.BDH("AMZN US Equity","SUSTAIN_GROWTH_RT","FQ2 2015","FQ2 2015","Currency=USD","Period=FQ","BEST_FPERIOD_OVERRIDE=FQ","FILING_STATUS=MR","FA_ADJUSTED=GAAP","Sort=A","Dates=H","DateFormat=P","Fill=—","Direction=H","UseDPDF=Y")</f>
        <v>-1.6808000000000001</v>
      </c>
      <c r="T38" s="21">
        <f>_xll.BDH("AMZN US Equity","SUSTAIN_GROWTH_RT","FQ3 2015","FQ3 2015","Currency=USD","Period=FQ","BEST_FPERIOD_OVERRIDE=FQ","FILING_STATUS=MR","FA_ADJUSTED=GAAP","Sort=A","Dates=H","DateFormat=P","Fill=—","Direction=H","UseDPDF=Y")</f>
        <v>2.8815</v>
      </c>
      <c r="U38" s="21">
        <f>_xll.BDH("AMZN US Equity","SUSTAIN_GROWTH_RT","FQ4 2015","FQ4 2015","Currency=USD","Period=FQ","BEST_FPERIOD_OVERRIDE=FQ","FILING_STATUS=MR","FA_ADJUSTED=GAAP","Sort=A","Dates=H","DateFormat=P","Fill=—","Direction=H","UseDPDF=Y")</f>
        <v>4.9409000000000001</v>
      </c>
      <c r="V38" s="21">
        <f>_xll.BDH("AMZN US Equity","SUSTAIN_GROWTH_RT","FQ1 2016","FQ1 2016","Currency=USD","Period=FQ","BEST_FPERIOD_OVERRIDE=FQ","FILING_STATUS=MR","FA_ADJUSTED=GAAP","Sort=A","Dates=H","DateFormat=P","Fill=—","Direction=H","UseDPDF=Y")</f>
        <v>9.0991</v>
      </c>
      <c r="W38" s="21">
        <f>_xll.BDH("AMZN US Equity","SUSTAIN_GROWTH_RT","FQ2 2016","FQ2 2016","Currency=USD","Period=FQ","BEST_FPERIOD_OVERRIDE=FQ","FILING_STATUS=MR","FA_ADJUSTED=GAAP","Sort=A","Dates=H","DateFormat=P","Fill=—","Direction=H","UseDPDF=Y")</f>
        <v>13.643800000000001</v>
      </c>
      <c r="X38" s="21">
        <f>_xll.BDH("AMZN US Equity","SUSTAIN_GROWTH_RT","FQ3 2016","FQ3 2016","Currency=USD","Period=FQ","BEST_FPERIOD_OVERRIDE=FQ","FILING_STATUS=MR","FA_ADJUSTED=GAAP","Sort=A","Dates=H","DateFormat=P","Fill=—","Direction=H","UseDPDF=Y")</f>
        <v>13.9282</v>
      </c>
      <c r="Y38" s="21">
        <f>_xll.BDH("AMZN US Equity","SUSTAIN_GROWTH_RT","FQ4 2016","FQ4 2016","Currency=USD","Period=FQ","BEST_FPERIOD_OVERRIDE=FQ","FILING_STATUS=MR","FA_ADJUSTED=GAAP","Sort=A","Dates=H","DateFormat=P","Fill=—","Direction=H","UseDPDF=Y")</f>
        <v>14.5153</v>
      </c>
      <c r="Z38" s="21">
        <f>_xll.BDH("AMZN US Equity","SUSTAIN_GROWTH_RT","FQ1 2017","FQ1 2017","Currency=USD","Period=FQ","BEST_FPERIOD_OVERRIDE=FQ","FILING_STATUS=MR","FA_ADJUSTED=GAAP","Sort=A","Dates=H","DateFormat=P","Fill=—","Direction=H","UseDPDF=Y")</f>
        <v>14.1751</v>
      </c>
      <c r="AA38" s="21">
        <f>_xll.BDH("AMZN US Equity","SUSTAIN_GROWTH_RT","FQ2 2017","FQ2 2017","Currency=USD","Period=FQ","BEST_FPERIOD_OVERRIDE=FQ","FILING_STATUS=MR","FA_ADJUSTED=GAAP","Sort=A","Dates=H","DateFormat=P","Fill=—","Direction=H","UseDPDF=Y")</f>
        <v>9.67</v>
      </c>
      <c r="AB38" s="21">
        <f>_xll.BDH("AMZN US Equity","SUSTAIN_GROWTH_RT","FQ3 2017","FQ3 2017","Currency=USD","Period=FQ","BEST_FPERIOD_OVERRIDE=FQ","FILING_STATUS=MR","FA_ADJUSTED=GAAP","Sort=A","Dates=H","DateFormat=P","Fill=—","Direction=H","UseDPDF=Y")</f>
        <v>9.0762999999999998</v>
      </c>
      <c r="AC38" s="21">
        <f>_xll.BDH("AMZN US Equity","SUSTAIN_GROWTH_RT","FQ4 2017","FQ4 2017","Currency=USD","Period=FQ","BEST_FPERIOD_OVERRIDE=FQ","FILING_STATUS=MR","FA_ADJUSTED=GAAP","Sort=A","Dates=H","DateFormat=P","Fill=—","Direction=H","UseDPDF=Y")</f>
        <v>12.907999999999999</v>
      </c>
      <c r="AD38" s="21">
        <f>_xll.BDH("AMZN US Equity","SUSTAIN_GROWTH_RT","FQ1 2018","FQ1 2018","Currency=USD","Period=FQ","BEST_FPERIOD_OVERRIDE=FQ","FILING_STATUS=MR","FA_ADJUSTED=GAAP","Sort=A","Dates=H","DateFormat=P","Fill=—","Direction=H","UseDPDF=Y")</f>
        <v>14.822100000000001</v>
      </c>
      <c r="AE38" s="21">
        <f>_xll.BDH("AMZN US Equity","SUSTAIN_GROWTH_RT","FQ2 2018","FQ2 2018","Currency=USD","Period=FQ","BEST_FPERIOD_OVERRIDE=FQ","FILING_STATUS=MR","FA_ADJUSTED=GAAP","Sort=A","Dates=H","DateFormat=P","Fill=—","Direction=H","UseDPDF=Y")</f>
        <v>21.560200000000002</v>
      </c>
      <c r="AF38" s="21">
        <f>_xll.BDH("AMZN US Equity","SUSTAIN_GROWTH_RT","FQ3 2018","FQ3 2018","Currency=USD","Period=FQ","BEST_FPERIOD_OVERRIDE=FQ","FILING_STATUS=MR","FA_ADJUSTED=GAAP","Sort=A","Dates=H","DateFormat=P","Fill=—","Direction=H","UseDPDF=Y")</f>
        <v>27.913399999999999</v>
      </c>
      <c r="AG38" s="21">
        <f>_xll.BDH("AMZN US Equity","SUSTAIN_GROWTH_RT","FQ4 2018","FQ4 2018","Currency=USD","Period=FQ","BEST_FPERIOD_OVERRIDE=FQ","FILING_STATUS=MR","FA_ADJUSTED=GAAP","Sort=A","Dates=H","DateFormat=P","Fill=—","Direction=H","UseDPDF=Y")</f>
        <v>28.271899999999999</v>
      </c>
      <c r="AH38" s="21">
        <f>_xll.BDH("AMZN US Equity","SUSTAIN_GROWTH_RT","FQ1 2019","FQ1 2019","Currency=USD","Period=FQ","BEST_FPERIOD_OVERRIDE=FQ","FILING_STATUS=MR","FA_ADJUSTED=GAAP","Sort=A","Dates=H","DateFormat=P","Fill=—","Direction=H","UseDPDF=Y")</f>
        <v>30.060199999999998</v>
      </c>
      <c r="AI38" s="21">
        <f>_xll.BDH("AMZN US Equity","SUSTAIN_GROWTH_RT","FQ2 2019","FQ2 2019","Currency=USD","Period=FQ","BEST_FPERIOD_OVERRIDE=FQ","FILING_STATUS=MR","FA_ADJUSTED=GAAP","Sort=A","Dates=H","DateFormat=P","Fill=—","Direction=H","UseDPDF=Y")</f>
        <v>27.473400000000002</v>
      </c>
      <c r="AJ38" s="21">
        <f>_xll.BDH("AMZN US Equity","SUSTAIN_GROWTH_RT","FQ3 2019","FQ3 2019","Currency=USD","Period=FQ","BEST_FPERIOD_OVERRIDE=FQ","FILING_STATUS=MR","FA_ADJUSTED=GAAP","Sort=A","Dates=H","DateFormat=P","Fill=—","Direction=H","UseDPDF=Y")</f>
        <v>23.7303</v>
      </c>
      <c r="AK38" s="21">
        <f>_xll.BDH("AMZN US Equity","SUSTAIN_GROWTH_RT","FQ4 2019","FQ4 2019","Currency=USD","Period=FQ","BEST_FPERIOD_OVERRIDE=FQ","FILING_STATUS=MR","FA_ADJUSTED=GAAP","Sort=A","Dates=H","DateFormat=P","Fill=—","Direction=H","UseDPDF=Y")</f>
        <v>21.9451</v>
      </c>
      <c r="AL38" s="21">
        <f>_xll.BDH("AMZN US Equity","SUSTAIN_GROWTH_RT","FQ1 2020","FQ1 2020","Currency=USD","Period=FQ","BEST_FPERIOD_OVERRIDE=FQ","FILING_STATUS=MR","FA_ADJUSTED=GAAP","Sort=A","Dates=H","DateFormat=P","Fill=—","Direction=H","UseDPDF=Y")</f>
        <v>18.581700000000001</v>
      </c>
      <c r="AM38" s="21">
        <f>_xll.BDH("AMZN US Equity","SUSTAIN_GROWTH_RT","FQ2 2020","FQ2 2020","Currency=USD","Period=FQ","BEST_FPERIOD_OVERRIDE=FQ","FILING_STATUS=MR","FA_ADJUSTED=GAAP","Sort=A","Dates=H","DateFormat=P","Fill=—","Direction=H","UseDPDF=Y")</f>
        <v>20.790399999999998</v>
      </c>
      <c r="AN38" s="21">
        <f>_xll.BDH("AMZN US Equity","SUSTAIN_GROWTH_RT","FQ3 2020","FQ3 2020","Currency=USD","Period=FQ","BEST_FPERIOD_OVERRIDE=FQ","FILING_STATUS=MR","FA_ADJUSTED=GAAP","Sort=A","Dates=H","DateFormat=P","Fill=—","Direction=H","UseDPDF=Y")</f>
        <v>24.952100000000002</v>
      </c>
      <c r="AO38" s="21">
        <f>_xll.BDH("AMZN US Equity","SUSTAIN_GROWTH_RT","FQ4 2020","FQ4 2020","Currency=USD","Period=FQ","BEST_FPERIOD_OVERRIDE=FQ","FILING_STATUS=MR","FA_ADJUSTED=GAAP","Sort=A","Dates=H","DateFormat=P","Fill=—","Direction=H","UseDPDF=Y")</f>
        <v>27.441700000000001</v>
      </c>
      <c r="AP38" s="21">
        <f>_xll.BDH("AMZN US Equity","SUSTAIN_GROWTH_RT","FQ1 2021","FQ1 2021","Currency=USD","Period=FQ","BEST_FPERIOD_OVERRIDE=FQ","FILING_STATUS=MR","FA_ADJUSTED=GAAP","Sort=A","Dates=H","DateFormat=P","Fill=—","Direction=H","UseDPDF=Y")</f>
        <v>31.914899999999999</v>
      </c>
    </row>
    <row r="39" spans="1:42" x14ac:dyDescent="0.25">
      <c r="A39" s="19" t="s">
        <v>87</v>
      </c>
      <c r="B39" s="19" t="s">
        <v>118</v>
      </c>
      <c r="C39" s="23">
        <v>-36.172451266893198</v>
      </c>
      <c r="D39" s="23">
        <v>-45.238561560867801</v>
      </c>
      <c r="E39" s="23">
        <v>-54.558865247332299</v>
      </c>
      <c r="F39" s="23">
        <v>-52.8376975511203</v>
      </c>
      <c r="G39" s="23">
        <v>-67.631119124652102</v>
      </c>
      <c r="H39" s="23" t="s">
        <v>88</v>
      </c>
      <c r="I39" s="23" t="s">
        <v>88</v>
      </c>
      <c r="J39" s="23" t="s">
        <v>88</v>
      </c>
      <c r="K39" s="23" t="s">
        <v>88</v>
      </c>
      <c r="L39" s="23" t="s">
        <v>88</v>
      </c>
      <c r="M39" s="23" t="s">
        <v>88</v>
      </c>
      <c r="N39" s="23" t="s">
        <v>88</v>
      </c>
      <c r="O39" s="23" t="s">
        <v>88</v>
      </c>
      <c r="P39" s="23" t="s">
        <v>88</v>
      </c>
      <c r="Q39" s="23" t="s">
        <v>88</v>
      </c>
      <c r="R39" s="23" t="s">
        <v>88</v>
      </c>
      <c r="S39" s="23" t="s">
        <v>88</v>
      </c>
      <c r="T39" s="23" t="s">
        <v>88</v>
      </c>
      <c r="U39" s="23" t="s">
        <v>88</v>
      </c>
      <c r="V39" s="23" t="s">
        <v>88</v>
      </c>
      <c r="W39" s="23" t="s">
        <v>88</v>
      </c>
      <c r="X39" s="23">
        <v>383.36936793117502</v>
      </c>
      <c r="Y39" s="23">
        <v>193.77629690586801</v>
      </c>
      <c r="Z39" s="23">
        <v>55.786631750266302</v>
      </c>
      <c r="AA39" s="23">
        <v>-29.125394411360499</v>
      </c>
      <c r="AB39" s="23">
        <v>-34.834961201128102</v>
      </c>
      <c r="AC39" s="23">
        <v>-11.072868678476301</v>
      </c>
      <c r="AD39" s="23">
        <v>4.5638664336764396</v>
      </c>
      <c r="AE39" s="23">
        <v>122.961143351871</v>
      </c>
      <c r="AF39" s="23">
        <v>207.54009627005101</v>
      </c>
      <c r="AG39" s="23">
        <v>119.025760009408</v>
      </c>
      <c r="AH39" s="23">
        <v>102.807254104422</v>
      </c>
      <c r="AI39" s="23">
        <v>27.426345903385101</v>
      </c>
      <c r="AJ39" s="23">
        <v>-14.9859669519228</v>
      </c>
      <c r="AK39" s="23">
        <v>-22.378443227382601</v>
      </c>
      <c r="AL39" s="23">
        <v>-38.185224919005101</v>
      </c>
      <c r="AM39" s="23">
        <v>-24.3252479687098</v>
      </c>
      <c r="AN39" s="23">
        <v>5.1485817584622504</v>
      </c>
      <c r="AO39" s="23">
        <v>25.047159732567199</v>
      </c>
      <c r="AP39" s="23">
        <v>71.754958572588095</v>
      </c>
    </row>
    <row r="40" spans="1:42" x14ac:dyDescent="0.25">
      <c r="A40" s="15" t="s">
        <v>119</v>
      </c>
      <c r="B40" s="15"/>
      <c r="C40" s="15" t="s"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"/>
  <sheetViews>
    <sheetView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160</v>
      </c>
      <c r="D4" s="3" t="s">
        <v>159</v>
      </c>
      <c r="E4" s="3" t="s">
        <v>158</v>
      </c>
      <c r="F4" s="3" t="s">
        <v>157</v>
      </c>
      <c r="G4" s="3" t="s">
        <v>156</v>
      </c>
      <c r="H4" s="3" t="s">
        <v>155</v>
      </c>
      <c r="I4" s="3" t="s">
        <v>154</v>
      </c>
      <c r="J4" s="3" t="s">
        <v>153</v>
      </c>
      <c r="K4" s="3" t="s">
        <v>152</v>
      </c>
      <c r="L4" s="3" t="s">
        <v>151</v>
      </c>
      <c r="M4" s="3" t="s">
        <v>150</v>
      </c>
      <c r="N4" s="3" t="s">
        <v>149</v>
      </c>
      <c r="O4" s="3" t="s">
        <v>148</v>
      </c>
      <c r="P4" s="3" t="s">
        <v>147</v>
      </c>
      <c r="Q4" s="3" t="s">
        <v>146</v>
      </c>
      <c r="R4" s="3" t="s">
        <v>145</v>
      </c>
      <c r="S4" s="3" t="s">
        <v>144</v>
      </c>
      <c r="T4" s="3" t="s">
        <v>143</v>
      </c>
      <c r="U4" s="3" t="s">
        <v>142</v>
      </c>
      <c r="V4" s="3" t="s">
        <v>141</v>
      </c>
      <c r="W4" s="3" t="s">
        <v>140</v>
      </c>
      <c r="X4" s="3" t="s">
        <v>139</v>
      </c>
      <c r="Y4" s="3" t="s">
        <v>138</v>
      </c>
      <c r="Z4" s="3" t="s">
        <v>137</v>
      </c>
      <c r="AA4" s="3" t="s">
        <v>136</v>
      </c>
      <c r="AB4" s="3" t="s">
        <v>135</v>
      </c>
      <c r="AC4" s="3" t="s">
        <v>134</v>
      </c>
      <c r="AD4" s="3" t="s">
        <v>133</v>
      </c>
      <c r="AE4" s="3" t="s">
        <v>132</v>
      </c>
      <c r="AF4" s="3" t="s">
        <v>131</v>
      </c>
      <c r="AG4" s="3" t="s">
        <v>130</v>
      </c>
      <c r="AH4" s="3" t="s">
        <v>129</v>
      </c>
      <c r="AI4" s="3" t="s">
        <v>128</v>
      </c>
      <c r="AJ4" s="3" t="s">
        <v>127</v>
      </c>
      <c r="AK4" s="3" t="s">
        <v>126</v>
      </c>
      <c r="AL4" s="3" t="s">
        <v>125</v>
      </c>
      <c r="AM4" s="3" t="s">
        <v>124</v>
      </c>
      <c r="AN4" s="3" t="s">
        <v>123</v>
      </c>
      <c r="AO4" s="3" t="s">
        <v>122</v>
      </c>
      <c r="AP4" s="3" t="s">
        <v>121</v>
      </c>
    </row>
    <row r="5" spans="1:42" x14ac:dyDescent="0.25">
      <c r="A5" s="4" t="s">
        <v>120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6" t="s">
        <v>84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x14ac:dyDescent="0.25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</row>
    <row r="8" spans="1:42" x14ac:dyDescent="0.25">
      <c r="A8" s="6" t="s">
        <v>95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x14ac:dyDescent="0.25">
      <c r="A9" s="8" t="s">
        <v>96</v>
      </c>
      <c r="B9" s="8" t="s">
        <v>97</v>
      </c>
      <c r="C9" s="21">
        <f>_xll.BDP("AMZN US Equity","GROSS_MARGIN","EQY_FUND_YEAR=2011","FUND_PER=C2","EQY_FUND_CRNCY=USD","FILING_STATUS=MR","FA_ADJUSTED=GAAP","Fill=—")</f>
        <v>23.45472938796156</v>
      </c>
      <c r="D9" s="21">
        <f>_xll.BDP("AMZN US Equity","GROSS_MARGIN","EQY_FUND_YEAR=2011","FUND_PER=C3","EQY_FUND_CRNCY=USD","FILING_STATUS=MR","FA_ADJUSTED=GAAP","Fill=—")</f>
        <v>23.458200091365921</v>
      </c>
      <c r="E9" s="21">
        <f>_xll.BDP("AMZN US Equity","GROSS_MARGIN","EQY_FUND_YEAR=2011","FUND_PER=C4","EQY_FUND_CRNCY=USD","FILING_STATUS=MR","FA_ADJUSTED=GAAP","Fill=—")</f>
        <v>22.441084094265452</v>
      </c>
      <c r="F9" s="21">
        <f>_xll.BDP("AMZN US Equity","GROSS_MARGIN","EQY_FUND_YEAR=2012","FUND_PER=C1","EQY_FUND_CRNCY=USD","FILING_STATUS=MR","FA_ADJUSTED=GAAP","Fill=—")</f>
        <v>23.951459992415625</v>
      </c>
      <c r="G9" s="21">
        <f>_xll.BDP("AMZN US Equity","GROSS_MARGIN","EQY_FUND_YEAR=2012","FUND_PER=C2","EQY_FUND_CRNCY=USD","FILING_STATUS=MR","FA_ADJUSTED=GAAP","Fill=—")</f>
        <v>24.997117491064223</v>
      </c>
      <c r="H9" s="21">
        <f>_xll.BDP("AMZN US Equity","GROSS_MARGIN","EQY_FUND_YEAR=2012","FUND_PER=C3","EQY_FUND_CRNCY=USD","FILING_STATUS=MR","FA_ADJUSTED=GAAP","Fill=—")</f>
        <v>25.087256748273703</v>
      </c>
      <c r="I9" s="21">
        <f>_xll.BDP("AMZN US Equity","GROSS_MARGIN","EQY_FUND_YEAR=2012","FUND_PER=C4","EQY_FUND_CRNCY=USD","FILING_STATUS=MR","FA_ADJUSTED=GAAP","Fill=—")</f>
        <v>24.752426628255286</v>
      </c>
      <c r="J9" s="21">
        <f>_xll.BDP("AMZN US Equity","GROSS_MARGIN","EQY_FUND_YEAR=2013","FUND_PER=C1","EQY_FUND_CRNCY=USD","FILING_STATUS=MR","FA_ADJUSTED=GAAP","Fill=—")</f>
        <v>26.565028002489111</v>
      </c>
      <c r="K9" s="21">
        <f>_xll.BDP("AMZN US Equity","GROSS_MARGIN","EQY_FUND_YEAR=2013","FUND_PER=C2","EQY_FUND_CRNCY=USD","FILING_STATUS=MR","FA_ADJUSTED=GAAP","Fill=—")</f>
        <v>27.582299993705551</v>
      </c>
      <c r="L9" s="21">
        <f>_xll.BDP("AMZN US Equity","GROSS_MARGIN","EQY_FUND_YEAR=2013","FUND_PER=C3","EQY_FUND_CRNCY=USD","FILING_STATUS=MR","FA_ADJUSTED=GAAP","Fill=—")</f>
        <v>27.606671441727205</v>
      </c>
      <c r="M9" s="21">
        <f>_xll.BDP("AMZN US Equity","GROSS_MARGIN","EQY_FUND_YEAR=2013","FUND_PER=C4","EQY_FUND_CRNCY=USD","FILING_STATUS=MR","FA_ADJUSTED=GAAP","Fill=—")</f>
        <v>27.226938161500026</v>
      </c>
      <c r="N9" s="21">
        <f>_xll.BDP("AMZN US Equity","GROSS_MARGIN","EQY_FUND_YEAR=2014","FUND_PER=C1","EQY_FUND_CRNCY=USD","FILING_STATUS=MR","FA_ADJUSTED=GAAP","Fill=—")</f>
        <v>28.80299883491211</v>
      </c>
      <c r="O9" s="21">
        <f>_xll.BDP("AMZN US Equity","GROSS_MARGIN","EQY_FUND_YEAR=2014","FUND_PER=C2","EQY_FUND_CRNCY=USD","FILING_STATUS=MR","FA_ADJUSTED=GAAP","Fill=—")</f>
        <v>29.753588700391497</v>
      </c>
      <c r="P9" s="21">
        <f>_xll.BDP("AMZN US Equity","GROSS_MARGIN","EQY_FUND_YEAR=2014","FUND_PER=C3","EQY_FUND_CRNCY=USD","FILING_STATUS=MR","FA_ADJUSTED=GAAP","Fill=—")</f>
        <v>29.4657972812149</v>
      </c>
      <c r="Q9" s="21">
        <f>_xll.BDP("AMZN US Equity","GROSS_MARGIN","EQY_FUND_YEAR=2014","FUND_PER=C4","EQY_FUND_CRNCY=USD","FILING_STATUS=MR","FA_ADJUSTED=GAAP","Fill=—")</f>
        <v>29.482626871038786</v>
      </c>
      <c r="R9" s="21">
        <f>_xll.BDP("AMZN US Equity","GROSS_MARGIN","EQY_FUND_YEAR=2015","FUND_PER=C1","EQY_FUND_CRNCY=USD","FILING_STATUS=MR","FA_ADJUSTED=GAAP","Fill=—")</f>
        <v>32.231368578597532</v>
      </c>
      <c r="S9" s="21">
        <f>_xll.BDP("AMZN US Equity","GROSS_MARGIN","EQY_FUND_YEAR=2015","FUND_PER=C2","EQY_FUND_CRNCY=USD","FILING_STATUS=MR","FA_ADJUSTED=GAAP","Fill=—")</f>
        <v>33.432822814317774</v>
      </c>
      <c r="T9" s="21">
        <f>_xll.BDP("AMZN US Equity","GROSS_MARGIN","EQY_FUND_YEAR=2015","FUND_PER=C3","EQY_FUND_CRNCY=USD","FILING_STATUS=MR","FA_ADJUSTED=GAAP","Fill=—")</f>
        <v>33.608386309097796</v>
      </c>
      <c r="U9" s="21">
        <f>_xll.BDP("AMZN US Equity","GROSS_MARGIN","EQY_FUND_YEAR=2015","FUND_PER=C4","EQY_FUND_CRNCY=USD","FILING_STATUS=MR","FA_ADJUSTED=GAAP","Fill=—")</f>
        <v>33.040203353083008</v>
      </c>
      <c r="V9" s="21">
        <f>_xll.BDP("AMZN US Equity","GROSS_MARGIN","EQY_FUND_YEAR=2016","FUND_PER=C1","EQY_FUND_CRNCY=USD","FILING_STATUS=MR","FA_ADJUSTED=GAAP","Fill=—")</f>
        <v>35.230705850041197</v>
      </c>
      <c r="W9" s="21">
        <f>_xll.BDP("AMZN US Equity","GROSS_MARGIN","EQY_FUND_YEAR=2016","FUND_PER=C2","EQY_FUND_CRNCY=USD","FILING_STATUS=MR","FA_ADJUSTED=GAAP","Fill=—")</f>
        <v>36.089834038836258</v>
      </c>
      <c r="X9" s="21">
        <f>_xll.BDP("AMZN US Equity","GROSS_MARGIN","EQY_FUND_YEAR=2016","FUND_PER=C3","EQY_FUND_CRNCY=USD","FILING_STATUS=MR","FA_ADJUSTED=GAAP","Fill=—")</f>
        <v>35.708865425059081</v>
      </c>
      <c r="Y9" s="21">
        <f>_xll.BDP("AMZN US Equity","GROSS_MARGIN","EQY_FUND_YEAR=2016","FUND_PER=C4","EQY_FUND_CRNCY=USD","FILING_STATUS=MR","FA_ADJUSTED=GAAP","Fill=—")</f>
        <v>35.0930603660644</v>
      </c>
      <c r="Z9" s="21">
        <f>_xll.BDP("AMZN US Equity","GROSS_MARGIN","EQY_FUND_YEAR=2017","FUND_PER=C1","EQY_FUND_CRNCY=USD","FILING_STATUS=MR","FA_ADJUSTED=GAAP","Fill=—")</f>
        <v>37.167497339978716</v>
      </c>
      <c r="AA9" s="21">
        <f>_xll.BDP("AMZN US Equity","GROSS_MARGIN","EQY_FUND_YEAR=2017","FUND_PER=C2","EQY_FUND_CRNCY=USD","FILING_STATUS=MR","FA_ADJUSTED=GAAP","Fill=—")</f>
        <v>37.706497984226736</v>
      </c>
      <c r="AB9" s="21">
        <f>_xll.BDP("AMZN US Equity","GROSS_MARGIN","EQY_FUND_YEAR=2017","FUND_PER=C3","EQY_FUND_CRNCY=USD","FILING_STATUS=MR","FA_ADJUSTED=GAAP","Fill=—")</f>
        <v>37.452411572824133</v>
      </c>
      <c r="AC9" s="21">
        <f>_xll.BDP("AMZN US Equity","GROSS_MARGIN","EQY_FUND_YEAR=2017","FUND_PER=C4","EQY_FUND_CRNCY=USD","FILING_STATUS=MR","FA_ADJUSTED=GAAP","Fill=—")</f>
        <v>37.068354828916149</v>
      </c>
      <c r="AD9" s="21">
        <f>_xll.BDP("AMZN US Equity","GROSS_MARGIN","EQY_FUND_YEAR=2018","FUND_PER=C1","EQY_FUND_CRNCY=USD","FILING_STATUS=MR","FA_ADJUSTED=GAAP","Fill=—")</f>
        <v>39.784883037498531</v>
      </c>
      <c r="AE9" s="21">
        <f>_xll.BDP("AMZN US Equity","GROSS_MARGIN","EQY_FUND_YEAR=2018","FUND_PER=C2","EQY_FUND_CRNCY=USD","FILING_STATUS=MR","FA_ADJUSTED=GAAP","Fill=—")</f>
        <v>40.952390116234319</v>
      </c>
      <c r="AF9" s="21">
        <f>_xll.BDP("AMZN US Equity","GROSS_MARGIN","EQY_FUND_YEAR=2018","FUND_PER=C3","EQY_FUND_CRNCY=USD","FILING_STATUS=MR","FA_ADJUSTED=GAAP","Fill=—")</f>
        <v>41.20395753376863</v>
      </c>
      <c r="AG9" s="21">
        <f>_xll.BDP("AMZN US Equity","GROSS_MARGIN","EQY_FUND_YEAR=2018","FUND_PER=C4","EQY_FUND_CRNCY=USD","FILING_STATUS=MR","FA_ADJUSTED=GAAP","Fill=—")</f>
        <v>40.247416128852187</v>
      </c>
      <c r="AH9" s="21">
        <f>_xll.BDP("AMZN US Equity","GROSS_MARGIN","EQY_FUND_YEAR=2019","FUND_PER=C1","EQY_FUND_CRNCY=USD","FILING_STATUS=MR","FA_ADJUSTED=GAAP","Fill=—")</f>
        <v>43.18257956448911</v>
      </c>
      <c r="AI9" s="21">
        <f>_xll.BDP("AMZN US Equity","GROSS_MARGIN","EQY_FUND_YEAR=2019","FUND_PER=C2","EQY_FUND_CRNCY=USD","FILING_STATUS=MR","FA_ADJUSTED=GAAP","Fill=—")</f>
        <v>42.928743176501172</v>
      </c>
      <c r="AJ9" s="21">
        <f>_xll.BDP("AMZN US Equity","GROSS_MARGIN","EQY_FUND_YEAR=2019","FUND_PER=C3","EQY_FUND_CRNCY=USD","FILING_STATUS=MR","FA_ADJUSTED=GAAP","Fill=—")</f>
        <v>42.223154449312737</v>
      </c>
      <c r="AK9" s="21">
        <f>_xll.BDP("AMZN US Equity","GROSS_MARGIN","EQY_FUND_YEAR=2019","FUND_PER=C4","EQY_FUND_CRNCY=USD","FILING_STATUS=MR","FA_ADJUSTED=GAAP","Fill=—")</f>
        <v>40.990011478600607</v>
      </c>
      <c r="AL9" s="21">
        <f>_xll.BDP("AMZN US Equity","GROSS_MARGIN","EQY_FUND_YEAR=2020","FUND_PER=C1","EQY_FUND_CRNCY=USD","FILING_STATUS=MR","FA_ADJUSTED=GAAP","Fill=—")</f>
        <v>41.344165827280918</v>
      </c>
      <c r="AM9" s="21">
        <f>_xll.BDP("AMZN US Equity","GROSS_MARGIN","EQY_FUND_YEAR=2020","FUND_PER=C2","EQY_FUND_CRNCY=USD","FILING_STATUS=MR","FA_ADJUSTED=GAAP","Fill=—")</f>
        <v>41.035141515173635</v>
      </c>
      <c r="AN9" s="21">
        <f>_xll.BDP("AMZN US Equity","GROSS_MARGIN","EQY_FUND_YEAR=2020","FUND_PER=C3","EQY_FUND_CRNCY=USD","FILING_STATUS=MR","FA_ADJUSTED=GAAP","Fill=—")</f>
        <v>40.87613095900717</v>
      </c>
      <c r="AO9" s="21">
        <f>_xll.BDP("AMZN US Equity","GROSS_MARGIN","EQY_FUND_YEAR=2020","FUND_PER=C4","EQY_FUND_CRNCY=USD","FILING_STATUS=MR","FA_ADJUSTED=GAAP","Fill=—")</f>
        <v>39.567791868705704</v>
      </c>
      <c r="AP9" s="21">
        <f>_xll.BDP("AMZN US Equity","GROSS_MARGIN","EQY_FUND_YEAR=2021","FUND_PER=C1","EQY_FUND_CRNCY=USD","FILING_STATUS=MR","FA_ADJUSTED=GAAP","Fill=—")</f>
        <v>42.495254243535626</v>
      </c>
    </row>
    <row r="10" spans="1:42" x14ac:dyDescent="0.25">
      <c r="A10" s="7" t="s">
        <v>87</v>
      </c>
      <c r="B10" s="7" t="s">
        <v>97</v>
      </c>
      <c r="C10" s="23">
        <v>-0.81524425781078103</v>
      </c>
      <c r="D10" s="23">
        <v>-0.52843553061084403</v>
      </c>
      <c r="E10" s="23">
        <v>0.42847412480633501</v>
      </c>
      <c r="F10" s="23">
        <v>4.9753393115518998</v>
      </c>
      <c r="G10" s="23">
        <v>6.5760214070262704</v>
      </c>
      <c r="H10" s="23">
        <v>6.9445098089367399</v>
      </c>
      <c r="I10" s="23">
        <v>10.2996049566946</v>
      </c>
      <c r="J10" s="23">
        <v>10.911936057342601</v>
      </c>
      <c r="K10" s="23">
        <v>10.3419246307484</v>
      </c>
      <c r="L10" s="23">
        <v>10.0426044983714</v>
      </c>
      <c r="M10" s="23">
        <v>9.9970439262380193</v>
      </c>
      <c r="N10" s="23">
        <v>8.4245008136260893</v>
      </c>
      <c r="O10" s="23">
        <v>7.8720375023112696</v>
      </c>
      <c r="P10" s="23">
        <v>6.7343360595705297</v>
      </c>
      <c r="Q10" s="23">
        <v>8.2847692972305609</v>
      </c>
      <c r="R10" s="23">
        <v>11.902823035892901</v>
      </c>
      <c r="S10" s="23">
        <v>12.365681330074199</v>
      </c>
      <c r="T10" s="23">
        <v>14.058974885356101</v>
      </c>
      <c r="U10" s="23">
        <v>12.0666859164212</v>
      </c>
      <c r="V10" s="23">
        <v>9.3056456894523993</v>
      </c>
      <c r="W10" s="23">
        <v>7.9473127351525301</v>
      </c>
      <c r="X10" s="23">
        <v>6.2498657329155902</v>
      </c>
      <c r="Y10" s="23">
        <v>6.21320940431269</v>
      </c>
      <c r="Z10" s="23">
        <v>5.4974515696619903</v>
      </c>
      <c r="AA10" s="23">
        <v>4.4795551013063699</v>
      </c>
      <c r="AB10" s="23">
        <v>4.8826726920611998</v>
      </c>
      <c r="AC10" s="23">
        <v>5.6287340003977899</v>
      </c>
      <c r="AD10" s="23">
        <v>7.0421368433822797</v>
      </c>
      <c r="AE10" s="23">
        <v>8.6083093688520105</v>
      </c>
      <c r="AF10" s="23">
        <v>10.016834162777</v>
      </c>
      <c r="AG10" s="23">
        <v>8.5762127831137995</v>
      </c>
      <c r="AH10" s="23">
        <v>8.5401708985797509</v>
      </c>
      <c r="AI10" s="23">
        <v>4.8259771896096799</v>
      </c>
      <c r="AJ10" s="23">
        <v>2.4735390711737</v>
      </c>
      <c r="AK10" s="23">
        <v>1.8450749732603999</v>
      </c>
      <c r="AL10" s="23">
        <v>-4.2573046816563496</v>
      </c>
      <c r="AM10" s="23">
        <v>-4.4110329529098902</v>
      </c>
      <c r="AN10" s="23">
        <v>-3.1902472278598601</v>
      </c>
      <c r="AO10" s="23">
        <v>-3.4696721598830602</v>
      </c>
      <c r="AP10" s="23">
        <v>2.7841606479618002</v>
      </c>
    </row>
    <row r="11" spans="1:42" x14ac:dyDescent="0.25">
      <c r="A11" s="8" t="s">
        <v>98</v>
      </c>
      <c r="B11" s="8" t="s">
        <v>99</v>
      </c>
      <c r="C11" s="21">
        <f>_xll.BDP("AMZN US Equity","EBITDA_TO_REVENUE","EQY_FUND_YEAR=2011","FUND_PER=C2","EQY_FUND_CRNCY=USD","FILING_STATUS=MR","FA_ADJUSTED=GAAP","Fill=—")</f>
        <v>4.901365705614567</v>
      </c>
      <c r="D11" s="21">
        <f>_xll.BDP("AMZN US Equity","EBITDA_TO_REVENUE","EQY_FUND_YEAR=2011","FUND_PER=C3","EQY_FUND_CRNCY=USD","FILING_STATUS=MR","FA_ADJUSTED=GAAP","Fill=—")</f>
        <v>4.3268289499445274</v>
      </c>
      <c r="E11" s="21">
        <f>_xll.BDP("AMZN US Equity","EBITDA_TO_REVENUE","EQY_FUND_YEAR=2011","FUND_PER=C4","EQY_FUND_CRNCY=USD","FILING_STATUS=MR","FA_ADJUSTED=GAAP","Fill=—")</f>
        <v>4.0455935270503574</v>
      </c>
      <c r="F11" s="21">
        <f>_xll.BDP("AMZN US Equity","EBITDA_TO_REVENUE","EQY_FUND_YEAR=2012","FUND_PER=C1","EQY_FUND_CRNCY=USD","FILING_STATUS=MR","FA_ADJUSTED=GAAP","Fill=—")</f>
        <v>4.9222601441031477</v>
      </c>
      <c r="G11" s="21">
        <f>_xll.BDP("AMZN US Equity","EBITDA_TO_REVENUE","EQY_FUND_YEAR=2012","FUND_PER=C2","EQY_FUND_CRNCY=USD","FILING_STATUS=MR","FA_ADJUSTED=GAAP","Fill=—")</f>
        <v>4.7657481071524659</v>
      </c>
      <c r="H11" s="21">
        <f>_xll.BDP("AMZN US Equity","EBITDA_TO_REVENUE","EQY_FUND_YEAR=2012","FUND_PER=C3","EQY_FUND_CRNCY=USD","FILING_STATUS=MR","FA_ADJUSTED=GAAP","Fill=—")</f>
        <v>4.4394224733207786</v>
      </c>
      <c r="I11" s="21">
        <f>_xll.BDP("AMZN US Equity","EBITDA_TO_REVENUE","EQY_FUND_YEAR=2012","FUND_PER=C4","EQY_FUND_CRNCY=USD","FILING_STATUS=MR","FA_ADJUSTED=GAAP","Fill=—")</f>
        <v>4.640466174520812</v>
      </c>
      <c r="J11" s="21">
        <f>_xll.BDP("AMZN US Equity","EBITDA_TO_REVENUE","EQY_FUND_YEAR=2013","FUND_PER=C1","EQY_FUND_CRNCY=USD","FILING_STATUS=MR","FA_ADJUSTED=GAAP","Fill=—")</f>
        <v>5.4822650902302428</v>
      </c>
      <c r="K11" s="21">
        <f>_xll.BDP("AMZN US Equity","EBITDA_TO_REVENUE","EQY_FUND_YEAR=2013","FUND_PER=C2","EQY_FUND_CRNCY=USD","FILING_STATUS=MR","FA_ADJUSTED=GAAP","Fill=—")</f>
        <v>5.403789261660477</v>
      </c>
      <c r="L11" s="21">
        <f>_xll.BDP("AMZN US Equity","EBITDA_TO_REVENUE","EQY_FUND_YEAR=2013","FUND_PER=C3","EQY_FUND_CRNCY=USD","FILING_STATUS=MR","FA_ADJUSTED=GAAP","Fill=—")</f>
        <v>5.1693441113271259</v>
      </c>
      <c r="M11" s="21">
        <f>_xll.BDP("AMZN US Equity","EBITDA_TO_REVENUE","EQY_FUND_YEAR=2013","FUND_PER=C4","EQY_FUND_CRNCY=USD","FILING_STATUS=MR","FA_ADJUSTED=GAAP","Fill=—")</f>
        <v>5.3699027561381829</v>
      </c>
      <c r="N11" s="21">
        <f>_xll.BDP("AMZN US Equity","EBITDA_TO_REVENUE","EQY_FUND_YEAR=2014","FUND_PER=C1","EQY_FUND_CRNCY=USD","FILING_STATUS=MR","FA_ADJUSTED=GAAP","Fill=—")</f>
        <v>5.8558330378400285</v>
      </c>
      <c r="O11" s="21">
        <f>_xll.BDP("AMZN US Equity","EBITDA_TO_REVENUE","EQY_FUND_YEAR=2014","FUND_PER=C2","EQY_FUND_CRNCY=USD","FILING_STATUS=MR","FA_ADJUSTED=GAAP","Fill=—")</f>
        <v>5.7598321434968396</v>
      </c>
      <c r="P11" s="21">
        <f>_xll.BDP("AMZN US Equity","EBITDA_TO_REVENUE","EQY_FUND_YEAR=2014","FUND_PER=C3","EQY_FUND_CRNCY=USD","FILING_STATUS=MR","FA_ADJUSTED=GAAP","Fill=—")</f>
        <v>4.9514742117702273</v>
      </c>
      <c r="Q11" s="21">
        <f>_xll.BDP("AMZN US Equity","EBITDA_TO_REVENUE","EQY_FUND_YEAR=2014","FUND_PER=C4","EQY_FUND_CRNCY=USD","FILING_STATUS=MR","FA_ADJUSTED=GAAP","Fill=—")</f>
        <v>5.5333303366746076</v>
      </c>
      <c r="R11" s="21">
        <f>_xll.BDP("AMZN US Equity","EBITDA_TO_REVENUE","EQY_FUND_YEAR=2015","FUND_PER=C1","EQY_FUND_CRNCY=USD","FILING_STATUS=MR","FA_ADJUSTED=GAAP","Fill=—")</f>
        <v>7.3997446845974384</v>
      </c>
      <c r="S11" s="21">
        <f>_xll.BDP("AMZN US Equity","EBITDA_TO_REVENUE","EQY_FUND_YEAR=2015","FUND_PER=C2","EQY_FUND_CRNCY=USD","FILING_STATUS=MR","FA_ADJUSTED=GAAP","Fill=—")</f>
        <v>7.9497178710703471</v>
      </c>
      <c r="T11" s="21">
        <f>_xll.BDP("AMZN US Equity","EBITDA_TO_REVENUE","EQY_FUND_YEAR=2015","FUND_PER=C3","EQY_FUND_CRNCY=USD","FILING_STATUS=MR","FA_ADJUSTED=GAAP","Fill=—")</f>
        <v>7.9330330203904067</v>
      </c>
      <c r="U11" s="21">
        <f>_xll.BDP("AMZN US Equity","EBITDA_TO_REVENUE","EQY_FUND_YEAR=2015","FUND_PER=C4","EQY_FUND_CRNCY=USD","FILING_STATUS=MR","FA_ADJUSTED=GAAP","Fill=—")</f>
        <v>7.9565631833728947</v>
      </c>
      <c r="V11" s="21">
        <f>_xll.BDP("AMZN US Equity","EBITDA_TO_REVENUE","EQY_FUND_YEAR=2016","FUND_PER=C1","EQY_FUND_CRNCY=USD","FILING_STATUS=MR","FA_ADJUSTED=GAAP","Fill=—")</f>
        <v>9.9491897830266414</v>
      </c>
      <c r="W11" s="21">
        <f>_xll.BDP("AMZN US Equity","EBITDA_TO_REVENUE","EQY_FUND_YEAR=2016","FUND_PER=C2","EQY_FUND_CRNCY=USD","FILING_STATUS=MR","FA_ADJUSTED=GAAP","Fill=—")</f>
        <v>10.233151918296041</v>
      </c>
      <c r="X11" s="21">
        <f>_xll.BDP("AMZN US Equity","EBITDA_TO_REVENUE","EQY_FUND_YEAR=2016","FUND_PER=C3","EQY_FUND_CRNCY=USD","FILING_STATUS=MR","FA_ADJUSTED=GAAP","Fill=—")</f>
        <v>9.4855061466079835</v>
      </c>
      <c r="Y11" s="21">
        <f>_xll.BDP("AMZN US Equity","EBITDA_TO_REVENUE","EQY_FUND_YEAR=2016","FUND_PER=C4","EQY_FUND_CRNCY=USD","FILING_STATUS=MR","FA_ADJUSTED=GAAP","Fill=—")</f>
        <v>9.0464529697691702</v>
      </c>
      <c r="Z11" s="21">
        <f>_xll.BDP("AMZN US Equity","EBITDA_TO_REVENUE","EQY_FUND_YEAR=2017","FUND_PER=C1","EQY_FUND_CRNCY=USD","FILING_STATUS=MR","FA_ADJUSTED=GAAP","Fill=—")</f>
        <v>9.6320770566164526</v>
      </c>
      <c r="AA11" s="21">
        <f>_xll.BDP("AMZN US Equity","EBITDA_TO_REVENUE","EQY_FUND_YEAR=2017","FUND_PER=C2","EQY_FUND_CRNCY=USD","FILING_STATUS=MR","FA_ADJUSTED=GAAP","Fill=—")</f>
        <v>9.0947345559190431</v>
      </c>
      <c r="AB11" s="21">
        <f>_xll.BDP("AMZN US Equity","EBITDA_TO_REVENUE","EQY_FUND_YEAR=2017","FUND_PER=C3","EQY_FUND_CRNCY=USD","FILING_STATUS=MR","FA_ADJUSTED=GAAP","Fill=—")</f>
        <v>8.4820249887150485</v>
      </c>
      <c r="AC11" s="21">
        <f>_xll.BDP("AMZN US Equity","EBITDA_TO_REVENUE","EQY_FUND_YEAR=2017","FUND_PER=C4","EQY_FUND_CRNCY=USD","FILING_STATUS=MR","FA_ADJUSTED=GAAP","Fill=—")</f>
        <v>8.7616520301800236</v>
      </c>
      <c r="AD11" s="21">
        <f>_xll.BDP("AMZN US Equity","EBITDA_TO_REVENUE","EQY_FUND_YEAR=2018","FUND_PER=C1","EQY_FUND_CRNCY=USD","FILING_STATUS=MR","FA_ADJUSTED=GAAP","Fill=—")</f>
        <v>10.967438579992947</v>
      </c>
      <c r="AE11" s="21">
        <f>_xll.BDP("AMZN US Equity","EBITDA_TO_REVENUE","EQY_FUND_YEAR=2018","FUND_PER=C2","EQY_FUND_CRNCY=USD","FILING_STATUS=MR","FA_ADJUSTED=GAAP","Fill=—")</f>
        <v>11.750442614117466</v>
      </c>
      <c r="AF11" s="21">
        <f>_xll.BDP("AMZN US Equity","EBITDA_TO_REVENUE","EQY_FUND_YEAR=2018","FUND_PER=C3","EQY_FUND_CRNCY=USD","FILING_STATUS=MR","FA_ADJUSTED=GAAP","Fill=—")</f>
        <v>12.282559936200967</v>
      </c>
      <c r="AG11" s="21">
        <f>_xll.BDP("AMZN US Equity","EBITDA_TO_REVENUE","EQY_FUND_YEAR=2018","FUND_PER=C4","EQY_FUND_CRNCY=USD","FILING_STATUS=MR","FA_ADJUSTED=GAAP","Fill=—")</f>
        <v>11.920802792770743</v>
      </c>
      <c r="AH11" s="21">
        <f>_xll.BDP("AMZN US Equity","EBITDA_TO_REVENUE","EQY_FUND_YEAR=2019","FUND_PER=C1","EQY_FUND_CRNCY=USD","FILING_STATUS=MR","FA_ADJUSTED=GAAP","Fill=—")</f>
        <v>16.934673366834172</v>
      </c>
      <c r="AI11" s="21">
        <f>_xll.BDP("AMZN US Equity","EBITDA_TO_REVENUE","EQY_FUND_YEAR=2019","FUND_PER=C2","EQY_FUND_CRNCY=USD","FILING_STATUS=MR","FA_ADJUSTED=GAAP","Fill=—")</f>
        <v>15.653431245126074</v>
      </c>
      <c r="AJ11" s="21">
        <f>_xll.BDP("AMZN US Equity","EBITDA_TO_REVENUE","EQY_FUND_YEAR=2019","FUND_PER=C3","EQY_FUND_CRNCY=USD","FILING_STATUS=MR","FA_ADJUSTED=GAAP","Fill=—")</f>
        <v>14.980371440705179</v>
      </c>
      <c r="AK11" s="21">
        <f>_xll.BDP("AMZN US Equity","EBITDA_TO_REVENUE","EQY_FUND_YEAR=2019","FUND_PER=C4","EQY_FUND_CRNCY=USD","FILING_STATUS=MR","FA_ADJUSTED=GAAP","Fill=—")</f>
        <v>14.258774712856745</v>
      </c>
      <c r="AL11" s="21">
        <f>_xll.BDP("AMZN US Equity","EBITDA_TO_REVENUE","EQY_FUND_YEAR=2020","FUND_PER=C1","EQY_FUND_CRNCY=USD","FILING_STATUS=MR","FA_ADJUSTED=GAAP","Fill=—")</f>
        <v>13.80877909134284</v>
      </c>
      <c r="AM11" s="21">
        <f>_xll.BDP("AMZN US Equity","EBITDA_TO_REVENUE","EQY_FUND_YEAR=2020","FUND_PER=C2","EQY_FUND_CRNCY=USD","FILING_STATUS=MR","FA_ADJUSTED=GAAP","Fill=—")</f>
        <v>14.090068384804457</v>
      </c>
      <c r="AN11" s="21">
        <f>_xll.BDP("AMZN US Equity","EBITDA_TO_REVENUE","EQY_FUND_YEAR=2020","FUND_PER=C3","EQY_FUND_CRNCY=USD","FILING_STATUS=MR","FA_ADJUSTED=GAAP","Fill=—")</f>
        <v>14.283575615429795</v>
      </c>
      <c r="AO11" s="21">
        <f>_xll.BDP("AMZN US Equity","EBITDA_TO_REVENUE","EQY_FUND_YEAR=2020","FUND_PER=C4","EQY_FUND_CRNCY=USD","FILING_STATUS=MR","FA_ADJUSTED=GAAP","Fill=—")</f>
        <v>13.772068879771229</v>
      </c>
      <c r="AP11" s="21">
        <f>_xll.BDP("AMZN US Equity","EBITDA_TO_REVENUE","EQY_FUND_YEAR=2021","FUND_PER=C1","EQY_FUND_CRNCY=USD","FILING_STATUS=MR","FA_ADJUSTED=GAAP","Fill=—")</f>
        <v>16.521683038758546</v>
      </c>
    </row>
    <row r="12" spans="1:42" x14ac:dyDescent="0.25">
      <c r="A12" s="7" t="s">
        <v>87</v>
      </c>
      <c r="B12" s="7" t="s">
        <v>99</v>
      </c>
      <c r="C12" s="23">
        <v>-26.5492221332733</v>
      </c>
      <c r="D12" s="23">
        <v>-30.897519702651099</v>
      </c>
      <c r="E12" s="23">
        <v>-29.900966081034401</v>
      </c>
      <c r="F12" s="23">
        <v>-7.4070277024969302</v>
      </c>
      <c r="G12" s="23">
        <v>-2.76694292978733</v>
      </c>
      <c r="H12" s="23">
        <v>2.60220591107253</v>
      </c>
      <c r="I12" s="23">
        <v>14.704194241933299</v>
      </c>
      <c r="J12" s="23">
        <v>11.3769894316838</v>
      </c>
      <c r="K12" s="23">
        <v>13.388055767950799</v>
      </c>
      <c r="L12" s="23">
        <v>16.441825084436701</v>
      </c>
      <c r="M12" s="23">
        <v>15.719046319917</v>
      </c>
      <c r="N12" s="23">
        <v>6.8141178874060202</v>
      </c>
      <c r="O12" s="23">
        <v>6.5887657715725103</v>
      </c>
      <c r="P12" s="23">
        <v>-4.2146547028017398</v>
      </c>
      <c r="Q12" s="23">
        <v>3.0433883070141201</v>
      </c>
      <c r="R12" s="23">
        <v>26.365369367603201</v>
      </c>
      <c r="S12" s="23">
        <v>38.019963082256602</v>
      </c>
      <c r="T12" s="23">
        <v>60.215584288638098</v>
      </c>
      <c r="U12" s="23">
        <v>43.793393851442097</v>
      </c>
      <c r="V12" s="23">
        <v>34.453146696271297</v>
      </c>
      <c r="W12" s="23">
        <v>28.723459121443099</v>
      </c>
      <c r="X12" s="23">
        <v>19.569728248956</v>
      </c>
      <c r="Y12" s="23">
        <v>13.698000003267699</v>
      </c>
      <c r="Z12" s="23">
        <v>-3.1873247972950498</v>
      </c>
      <c r="AA12" s="23">
        <v>-11.124793221091601</v>
      </c>
      <c r="AB12" s="23">
        <v>-10.5790982579105</v>
      </c>
      <c r="AC12" s="23">
        <v>-3.1482062638251702</v>
      </c>
      <c r="AD12" s="23">
        <v>13.863697310559299</v>
      </c>
      <c r="AE12" s="23">
        <v>29.2004989700085</v>
      </c>
      <c r="AF12" s="23">
        <v>44.8069299489214</v>
      </c>
      <c r="AG12" s="23">
        <v>36.056567870990499</v>
      </c>
      <c r="AH12" s="23">
        <v>54.408636327952202</v>
      </c>
      <c r="AI12" s="23">
        <v>33.215666847624398</v>
      </c>
      <c r="AJ12" s="23">
        <v>21.964566018810402</v>
      </c>
      <c r="AK12" s="23">
        <v>19.612537846653499</v>
      </c>
      <c r="AL12" s="23">
        <v>-18.4585436045916</v>
      </c>
      <c r="AM12" s="23">
        <v>-9.98735037705152</v>
      </c>
      <c r="AN12" s="23">
        <v>-4.65138680477272</v>
      </c>
      <c r="AO12" s="23">
        <v>-3.41337877903256</v>
      </c>
      <c r="AP12" s="23">
        <v>19.6462265056165</v>
      </c>
    </row>
    <row r="13" spans="1:42" x14ac:dyDescent="0.25">
      <c r="A13" s="8" t="s">
        <v>100</v>
      </c>
      <c r="B13" s="8" t="s">
        <v>101</v>
      </c>
      <c r="C13" s="21">
        <f>_xll.BDP("AMZN US Equity","OPER_MARGIN","EQY_FUND_YEAR=2011","FUND_PER=C2","EQY_FUND_CRNCY=USD","FILING_STATUS=MR","FA_ADJUSTED=GAAP","Fill=—")</f>
        <v>2.6454223571067272</v>
      </c>
      <c r="D13" s="21">
        <f>_xll.BDP("AMZN US Equity","OPER_MARGIN","EQY_FUND_YEAR=2011","FUND_PER=C3","EQY_FUND_CRNCY=USD","FILING_STATUS=MR","FA_ADJUSTED=GAAP","Fill=—")</f>
        <v>1.9643672910004568</v>
      </c>
      <c r="E13" s="21">
        <f>_xll.BDP("AMZN US Equity","OPER_MARGIN","EQY_FUND_YEAR=2011","FUND_PER=C4","EQY_FUND_CRNCY=USD","FILING_STATUS=MR","FA_ADJUSTED=GAAP","Fill=—")</f>
        <v>1.7929571312685899</v>
      </c>
      <c r="F13" s="21">
        <f>_xll.BDP("AMZN US Equity","OPER_MARGIN","EQY_FUND_YEAR=2012","FUND_PER=C1","EQY_FUND_CRNCY=USD","FILING_STATUS=MR","FA_ADJUSTED=GAAP","Fill=—")</f>
        <v>1.4562002275312855</v>
      </c>
      <c r="G13" s="21">
        <f>_xll.BDP("AMZN US Equity","OPER_MARGIN","EQY_FUND_YEAR=2012","FUND_PER=C2","EQY_FUND_CRNCY=USD","FILING_STATUS=MR","FA_ADJUSTED=GAAP","Fill=—")</f>
        <v>1.1453168838156731</v>
      </c>
      <c r="H13" s="21">
        <f>_xll.BDP("AMZN US Equity","OPER_MARGIN","EQY_FUND_YEAR=2012","FUND_PER=C3","EQY_FUND_CRNCY=USD","FILING_STATUS=MR","FA_ADJUSTED=GAAP","Fill=—")</f>
        <v>0.68047708725674827</v>
      </c>
      <c r="I13" s="21">
        <f>_xll.BDP("AMZN US Equity","OPER_MARGIN","EQY_FUND_YEAR=2012","FUND_PER=C4","EQY_FUND_CRNCY=USD","FILING_STATUS=MR","FA_ADJUSTED=GAAP","Fill=—")</f>
        <v>1.1065097474342396</v>
      </c>
      <c r="J13" s="21">
        <f>_xll.BDP("AMZN US Equity","OPER_MARGIN","EQY_FUND_YEAR=2013","FUND_PER=C1","EQY_FUND_CRNCY=USD","FILING_STATUS=MR","FA_ADJUSTED=GAAP","Fill=—")</f>
        <v>1.1263223397635347</v>
      </c>
      <c r="K13" s="21">
        <f>_xll.BDP("AMZN US Equity","OPER_MARGIN","EQY_FUND_YEAR=2013","FUND_PER=C2","EQY_FUND_CRNCY=USD","FILING_STATUS=MR","FA_ADJUSTED=GAAP","Fill=—")</f>
        <v>0.81827909611632155</v>
      </c>
      <c r="L13" s="21">
        <f>_xll.BDP("AMZN US Equity","OPER_MARGIN","EQY_FUND_YEAR=2013","FUND_PER=C3","EQY_FUND_CRNCY=USD","FILING_STATUS=MR","FA_ADJUSTED=GAAP","Fill=—")</f>
        <v>0.48091681162386168</v>
      </c>
      <c r="M13" s="21">
        <f>_xll.BDP("AMZN US Equity","OPER_MARGIN","EQY_FUND_YEAR=2013","FUND_PER=C4","EQY_FUND_CRNCY=USD","FILING_STATUS=MR","FA_ADJUSTED=GAAP","Fill=—")</f>
        <v>1.0006447106860796</v>
      </c>
      <c r="N13" s="21">
        <f>_xll.BDP("AMZN US Equity","OPER_MARGIN","EQY_FUND_YEAR=2014","FUND_PER=C1","EQY_FUND_CRNCY=USD","FILING_STATUS=MR","FA_ADJUSTED=GAAP","Fill=—")</f>
        <v>0.73957752900055718</v>
      </c>
      <c r="O13" s="21">
        <f>_xll.BDP("AMZN US Equity","OPER_MARGIN","EQY_FUND_YEAR=2014","FUND_PER=C2","EQY_FUND_CRNCY=USD","FILING_STATUS=MR","FA_ADJUSTED=GAAP","Fill=—")</f>
        <v>0.33776003684654948</v>
      </c>
      <c r="P13" s="21">
        <f>_xll.BDP("AMZN US Equity","OPER_MARGIN","EQY_FUND_YEAR=2014","FUND_PER=C3","EQY_FUND_CRNCY=USD","FILING_STATUS=MR","FA_ADJUSTED=GAAP","Fill=—")</f>
        <v>-0.69059152852042438</v>
      </c>
      <c r="Q13" s="21">
        <f>_xll.BDP("AMZN US Equity","OPER_MARGIN","EQY_FUND_YEAR=2014","FUND_PER=C4","EQY_FUND_CRNCY=USD","FILING_STATUS=MR","FA_ADJUSTED=GAAP","Fill=—")</f>
        <v>0.2000269699285297</v>
      </c>
      <c r="R13" s="21">
        <f>_xll.BDP("AMZN US Equity","OPER_MARGIN","EQY_FUND_YEAR=2015","FUND_PER=C1","EQY_FUND_CRNCY=USD","FILING_STATUS=MR","FA_ADJUSTED=GAAP","Fill=—")</f>
        <v>1.1225073733327464</v>
      </c>
      <c r="S13" s="21">
        <f>_xll.BDP("AMZN US Equity","OPER_MARGIN","EQY_FUND_YEAR=2015","FUND_PER=C2","EQY_FUND_CRNCY=USD","FILING_STATUS=MR","FA_ADJUSTED=GAAP","Fill=—")</f>
        <v>1.5664146750615455</v>
      </c>
      <c r="T13" s="21">
        <f>_xll.BDP("AMZN US Equity","OPER_MARGIN","EQY_FUND_YEAR=2015","FUND_PER=C3","EQY_FUND_CRNCY=USD","FILING_STATUS=MR","FA_ADJUSTED=GAAP","Fill=—")</f>
        <v>1.5773446161186657</v>
      </c>
      <c r="U13" s="21">
        <f>_xll.BDP("AMZN US Equity","OPER_MARGIN","EQY_FUND_YEAR=2015","FUND_PER=C4","EQY_FUND_CRNCY=USD","FILING_STATUS=MR","FA_ADJUSTED=GAAP","Fill=—")</f>
        <v>2.0867988710913403</v>
      </c>
      <c r="V13" s="21">
        <f>_xll.BDP("AMZN US Equity","OPER_MARGIN","EQY_FUND_YEAR=2016","FUND_PER=C1","EQY_FUND_CRNCY=USD","FILING_STATUS=MR","FA_ADJUSTED=GAAP","Fill=—")</f>
        <v>3.6768744850315844</v>
      </c>
      <c r="W13" s="21">
        <f>_xll.BDP("AMZN US Equity","OPER_MARGIN","EQY_FUND_YEAR=2016","FUND_PER=C2","EQY_FUND_CRNCY=USD","FILING_STATUS=MR","FA_ADJUSTED=GAAP","Fill=—")</f>
        <v>3.9575354431230259</v>
      </c>
      <c r="X13" s="21">
        <f>_xll.BDP("AMZN US Equity","OPER_MARGIN","EQY_FUND_YEAR=2016","FUND_PER=C3","EQY_FUND_CRNCY=USD","FILING_STATUS=MR","FA_ADJUSTED=GAAP","Fill=—")</f>
        <v>3.1773735446523426</v>
      </c>
      <c r="Y13" s="21">
        <f>_xll.BDP("AMZN US Equity","OPER_MARGIN","EQY_FUND_YEAR=2016","FUND_PER=C4","EQY_FUND_CRNCY=USD","FILING_STATUS=MR","FA_ADJUSTED=GAAP","Fill=—")</f>
        <v>3.078235419562164</v>
      </c>
      <c r="Z13" s="21">
        <f>_xll.BDP("AMZN US Equity","OPER_MARGIN","EQY_FUND_YEAR=2017","FUND_PER=C1","EQY_FUND_CRNCY=USD","FILING_STATUS=MR","FA_ADJUSTED=GAAP","Fill=—")</f>
        <v>2.8140225121800975</v>
      </c>
      <c r="AA13" s="21">
        <f>_xll.BDP("AMZN US Equity","OPER_MARGIN","EQY_FUND_YEAR=2017","FUND_PER=C2","EQY_FUND_CRNCY=USD","FILING_STATUS=MR","FA_ADJUSTED=GAAP","Fill=—")</f>
        <v>2.2153144470537134</v>
      </c>
      <c r="AB13" s="21">
        <f>_xll.BDP("AMZN US Equity","OPER_MARGIN","EQY_FUND_YEAR=2017","FUND_PER=C3","EQY_FUND_CRNCY=USD","FILING_STATUS=MR","FA_ADJUSTED=GAAP","Fill=—")</f>
        <v>1.6855033088329232</v>
      </c>
      <c r="AC13" s="21">
        <f>_xll.BDP("AMZN US Equity","OPER_MARGIN","EQY_FUND_YEAR=2017","FUND_PER=C4","EQY_FUND_CRNCY=USD","FILING_STATUS=MR","FA_ADJUSTED=GAAP","Fill=—")</f>
        <v>2.3084794170892695</v>
      </c>
      <c r="AD13" s="21">
        <f>_xll.BDP("AMZN US Equity","OPER_MARGIN","EQY_FUND_YEAR=2018","FUND_PER=C1","EQY_FUND_CRNCY=USD","FILING_STATUS=MR","FA_ADJUSTED=GAAP","Fill=—")</f>
        <v>3.7753222836095763</v>
      </c>
      <c r="AE13" s="21">
        <f>_xll.BDP("AMZN US Equity","OPER_MARGIN","EQY_FUND_YEAR=2018","FUND_PER=C2","EQY_FUND_CRNCY=USD","FILING_STATUS=MR","FA_ADJUSTED=GAAP","Fill=—")</f>
        <v>4.7253868062504809</v>
      </c>
      <c r="AF13" s="21">
        <f>_xll.BDP("AMZN US Equity","OPER_MARGIN","EQY_FUND_YEAR=2018","FUND_PER=C3","EQY_FUND_CRNCY=USD","FILING_STATUS=MR","FA_ADJUSTED=GAAP","Fill=—")</f>
        <v>5.3799282260878236</v>
      </c>
      <c r="AG13" s="21">
        <f>_xll.BDP("AMZN US Equity","OPER_MARGIN","EQY_FUND_YEAR=2018","FUND_PER=C4","EQY_FUND_CRNCY=USD","FILING_STATUS=MR","FA_ADJUSTED=GAAP","Fill=—")</f>
        <v>5.3334879147397665</v>
      </c>
      <c r="AH13" s="21">
        <f>_xll.BDP("AMZN US Equity","OPER_MARGIN","EQY_FUND_YEAR=2019","FUND_PER=C1","EQY_FUND_CRNCY=USD","FILING_STATUS=MR","FA_ADJUSTED=GAAP","Fill=—")</f>
        <v>7.4036850921273034</v>
      </c>
      <c r="AI13" s="21">
        <f>_xll.BDP("AMZN US Equity","OPER_MARGIN","EQY_FUND_YEAR=2019","FUND_PER=C2","EQY_FUND_CRNCY=USD","FILING_STATUS=MR","FA_ADJUSTED=GAAP","Fill=—")</f>
        <v>6.0956589550298936</v>
      </c>
      <c r="AJ13" s="21">
        <f>_xll.BDP("AMZN US Equity","OPER_MARGIN","EQY_FUND_YEAR=2019","FUND_PER=C3","EQY_FUND_CRNCY=USD","FILING_STATUS=MR","FA_ADJUSTED=GAAP","Fill=—")</f>
        <v>5.5218917995090271</v>
      </c>
      <c r="AK13" s="21">
        <f>_xll.BDP("AMZN US Equity","OPER_MARGIN","EQY_FUND_YEAR=2019","FUND_PER=C4","EQY_FUND_CRNCY=USD","FILING_STATUS=MR","FA_ADJUSTED=GAAP","Fill=—")</f>
        <v>5.1835506662579052</v>
      </c>
      <c r="AL13" s="21">
        <f>_xll.BDP("AMZN US Equity","OPER_MARGIN","EQY_FUND_YEAR=2020","FUND_PER=C1","EQY_FUND_CRNCY=USD","FILING_STATUS=MR","FA_ADJUSTED=GAAP","Fill=—")</f>
        <v>5.286804856067433</v>
      </c>
      <c r="AM13" s="21">
        <f>_xll.BDP("AMZN US Equity","OPER_MARGIN","EQY_FUND_YEAR=2020","FUND_PER=C2","EQY_FUND_CRNCY=USD","FILING_STATUS=MR","FA_ADJUSTED=GAAP","Fill=—")</f>
        <v>5.9818451729089093</v>
      </c>
      <c r="AN13" s="21">
        <f>_xll.BDP("AMZN US Equity","OPER_MARGIN","EQY_FUND_YEAR=2020","FUND_PER=C3","EQY_FUND_CRNCY=USD","FILING_STATUS=MR","FA_ADJUSTED=GAAP","Fill=—")</f>
        <v>6.1518028167932783</v>
      </c>
      <c r="AO13" s="21">
        <f>_xll.BDP("AMZN US Equity","OPER_MARGIN","EQY_FUND_YEAR=2020","FUND_PER=C4","EQY_FUND_CRNCY=USD","FILING_STATUS=MR","FA_ADJUSTED=GAAP","Fill=—")</f>
        <v>5.9313999751336572</v>
      </c>
      <c r="AP13" s="21">
        <f>_xll.BDP("AMZN US Equity","OPER_MARGIN","EQY_FUND_YEAR=2021","FUND_PER=C1","EQY_FUND_CRNCY=USD","FILING_STATUS=MR","FA_ADJUSTED=GAAP","Fill=—")</f>
        <v>8.1691516614755155</v>
      </c>
    </row>
    <row r="14" spans="1:42" x14ac:dyDescent="0.25">
      <c r="A14" s="7" t="s">
        <v>87</v>
      </c>
      <c r="B14" s="7" t="s">
        <v>101</v>
      </c>
      <c r="C14" s="23">
        <v>-45.512265714371601</v>
      </c>
      <c r="D14" s="23">
        <v>-55.196834805281803</v>
      </c>
      <c r="E14" s="23">
        <v>-56.382427997654901</v>
      </c>
      <c r="F14" s="23">
        <v>-55.423094889849601</v>
      </c>
      <c r="G14" s="23">
        <v>-56.705697616486098</v>
      </c>
      <c r="H14" s="23">
        <v>-65.358968054340195</v>
      </c>
      <c r="I14" s="23">
        <v>-38.285748068693202</v>
      </c>
      <c r="J14" s="23">
        <v>-22.653344320835</v>
      </c>
      <c r="K14" s="23">
        <v>-28.554365297991701</v>
      </c>
      <c r="L14" s="23">
        <v>-29.326487155333702</v>
      </c>
      <c r="M14" s="23">
        <v>-9.56746888866798</v>
      </c>
      <c r="N14" s="23">
        <v>-34.336894777869901</v>
      </c>
      <c r="O14" s="23">
        <v>-58.723124997708602</v>
      </c>
      <c r="P14" s="23" t="s">
        <v>88</v>
      </c>
      <c r="Q14" s="23">
        <v>-80.010193425240701</v>
      </c>
      <c r="R14" s="23">
        <v>51.776688868516899</v>
      </c>
      <c r="S14" s="23">
        <v>363.76569161534798</v>
      </c>
      <c r="T14" s="23" t="s">
        <v>88</v>
      </c>
      <c r="U14" s="23">
        <v>943.25866008088894</v>
      </c>
      <c r="V14" s="23">
        <v>227.559115444269</v>
      </c>
      <c r="W14" s="23">
        <v>152.64920215907</v>
      </c>
      <c r="X14" s="23">
        <v>101.438112778118</v>
      </c>
      <c r="Y14" s="23">
        <v>47.509894340566603</v>
      </c>
      <c r="Z14" s="23">
        <v>-23.466972216072701</v>
      </c>
      <c r="AA14" s="23">
        <v>-44.022882930915301</v>
      </c>
      <c r="AB14" s="23">
        <v>-46.952955490918001</v>
      </c>
      <c r="AC14" s="23">
        <v>-25.006407892834702</v>
      </c>
      <c r="AD14" s="23">
        <v>34.161021427330198</v>
      </c>
      <c r="AE14" s="23">
        <v>113.30551786338199</v>
      </c>
      <c r="AF14" s="23">
        <v>219.18827792059699</v>
      </c>
      <c r="AG14" s="23">
        <v>131.03905212046499</v>
      </c>
      <c r="AH14" s="23">
        <v>96.107378390505502</v>
      </c>
      <c r="AI14" s="23">
        <v>28.998090526765299</v>
      </c>
      <c r="AJ14" s="23">
        <v>2.6387713738919998</v>
      </c>
      <c r="AK14" s="23">
        <v>-2.8112372241205099</v>
      </c>
      <c r="AL14" s="23">
        <v>-28.592248319586801</v>
      </c>
      <c r="AM14" s="23">
        <v>-1.8671320032830001</v>
      </c>
      <c r="AN14" s="23">
        <v>11.407521190200701</v>
      </c>
      <c r="AO14" s="23">
        <v>14.427349128039801</v>
      </c>
      <c r="AP14" s="23">
        <v>54.519638988008801</v>
      </c>
    </row>
    <row r="15" spans="1:42" x14ac:dyDescent="0.25">
      <c r="A15" s="8" t="s">
        <v>108</v>
      </c>
      <c r="B15" s="8" t="s">
        <v>109</v>
      </c>
      <c r="C15" s="21">
        <f>_xll.BDP("AMZN US Equity","PROF_MARGIN","EQY_FUND_YEAR=2011","FUND_PER=C2","EQY_FUND_CRNCY=USD","FILING_STATUS=MR","FA_ADJUSTED=GAAP","Fill=—")</f>
        <v>1.9777440566514921</v>
      </c>
      <c r="D15" s="21">
        <f>_xll.BDP("AMZN US Equity","PROF_MARGIN","EQY_FUND_YEAR=2011","FUND_PER=C3","EQY_FUND_CRNCY=USD","FILING_STATUS=MR","FA_ADJUSTED=GAAP","Fill=—")</f>
        <v>1.481433139724597</v>
      </c>
      <c r="E15" s="21">
        <f>_xll.BDP("AMZN US Equity","PROF_MARGIN","EQY_FUND_YEAR=2011","FUND_PER=C4","EQY_FUND_CRNCY=USD","FILING_STATUS=MR","FA_ADJUSTED=GAAP","Fill=—")</f>
        <v>1.3124779000353599</v>
      </c>
      <c r="F15" s="21">
        <f>_xll.BDP("AMZN US Equity","PROF_MARGIN","EQY_FUND_YEAR=2012","FUND_PER=C1","EQY_FUND_CRNCY=USD","FILING_STATUS=MR","FA_ADJUSTED=GAAP","Fill=—")</f>
        <v>0.98596890405764137</v>
      </c>
      <c r="G15" s="21">
        <f>_xll.BDP("AMZN US Equity","PROF_MARGIN","EQY_FUND_YEAR=2012","FUND_PER=C2","EQY_FUND_CRNCY=USD","FILING_STATUS=MR","FA_ADJUSTED=GAAP","Fill=—")</f>
        <v>0.52653829893539339</v>
      </c>
      <c r="H15" s="21">
        <f>_xll.BDP("AMZN US Equity","PROF_MARGIN","EQY_FUND_YEAR=2012","FUND_PER=C3","EQY_FUND_CRNCY=USD","FILING_STATUS=MR","FA_ADJUSTED=GAAP","Fill=—")</f>
        <v>-0.34400502197112365</v>
      </c>
      <c r="I15" s="21">
        <f>_xll.BDP("AMZN US Equity","PROF_MARGIN","EQY_FUND_YEAR=2012","FUND_PER=C4","EQY_FUND_CRNCY=USD","FILING_STATUS=MR","FA_ADJUSTED=GAAP","Fill=—")</f>
        <v>-6.3837100813513833E-2</v>
      </c>
      <c r="J15" s="21">
        <f>_xll.BDP("AMZN US Equity","PROF_MARGIN","EQY_FUND_YEAR=2013","FUND_PER=C1","EQY_FUND_CRNCY=USD","FILING_STATUS=MR","FA_ADJUSTED=GAAP","Fill=—")</f>
        <v>0.5102675793403858</v>
      </c>
      <c r="K15" s="21">
        <f>_xll.BDP("AMZN US Equity","PROF_MARGIN","EQY_FUND_YEAR=2013","FUND_PER=C2","EQY_FUND_CRNCY=USD","FILING_STATUS=MR","FA_ADJUSTED=GAAP","Fill=—")</f>
        <v>0.23604204695663122</v>
      </c>
      <c r="L15" s="21">
        <f>_xll.BDP("AMZN US Equity","PROF_MARGIN","EQY_FUND_YEAR=2013","FUND_PER=C3","EQY_FUND_CRNCY=USD","FILING_STATUS=MR","FA_ADJUSTED=GAAP","Fill=—")</f>
        <v>6.9579453596643817E-2</v>
      </c>
      <c r="M15" s="21">
        <f>_xll.BDP("AMZN US Equity","PROF_MARGIN","EQY_FUND_YEAR=2013","FUND_PER=C4","EQY_FUND_CRNCY=USD","FILING_STATUS=MR","FA_ADJUSTED=GAAP","Fill=—")</f>
        <v>0.36802234997045075</v>
      </c>
      <c r="N15" s="21">
        <f>_xll.BDP("AMZN US Equity","PROF_MARGIN","EQY_FUND_YEAR=2014","FUND_PER=C1","EQY_FUND_CRNCY=USD","FILING_STATUS=MR","FA_ADJUSTED=GAAP","Fill=—")</f>
        <v>0.54708474747986424</v>
      </c>
      <c r="O15" s="21">
        <f>_xll.BDP("AMZN US Equity","PROF_MARGIN","EQY_FUND_YEAR=2014","FUND_PER=C2","EQY_FUND_CRNCY=USD","FILING_STATUS=MR","FA_ADJUSTED=GAAP","Fill=—")</f>
        <v>-4.6058186842711291E-2</v>
      </c>
      <c r="P15" s="21">
        <f>_xll.BDP("AMZN US Equity","PROF_MARGIN","EQY_FUND_YEAR=2014","FUND_PER=C3","EQY_FUND_CRNCY=USD","FILING_STATUS=MR","FA_ADJUSTED=GAAP","Fill=—")</f>
        <v>-0.76266782882716766</v>
      </c>
      <c r="Q15" s="21">
        <f>_xll.BDP("AMZN US Equity","PROF_MARGIN","EQY_FUND_YEAR=2014","FUND_PER=C4","EQY_FUND_CRNCY=USD","FILING_STATUS=MR","FA_ADJUSTED=GAAP","Fill=—")</f>
        <v>-0.27082303231896437</v>
      </c>
      <c r="R15" s="21">
        <f>_xll.BDP("AMZN US Equity","PROF_MARGIN","EQY_FUND_YEAR=2015","FUND_PER=C1","EQY_FUND_CRNCY=USD","FILING_STATUS=MR","FA_ADJUSTED=GAAP","Fill=—")</f>
        <v>-0.25091341286261387</v>
      </c>
      <c r="S15" s="21">
        <f>_xll.BDP("AMZN US Equity","PROF_MARGIN","EQY_FUND_YEAR=2015","FUND_PER=C2","EQY_FUND_CRNCY=USD","FILING_STATUS=MR","FA_ADJUSTED=GAAP","Fill=—")</f>
        <v>7.6251062068364517E-2</v>
      </c>
      <c r="T15" s="21">
        <f>_xll.BDP("AMZN US Equity","PROF_MARGIN","EQY_FUND_YEAR=2015","FUND_PER=C3","EQY_FUND_CRNCY=USD","FILING_STATUS=MR","FA_ADJUSTED=GAAP","Fill=—")</f>
        <v>0.15997979202627038</v>
      </c>
      <c r="U15" s="21">
        <f>_xll.BDP("AMZN US Equity","PROF_MARGIN","EQY_FUND_YEAR=2015","FUND_PER=C4","EQY_FUND_CRNCY=USD","FILING_STATUS=MR","FA_ADJUSTED=GAAP","Fill=—")</f>
        <v>0.55697811337682002</v>
      </c>
      <c r="V15" s="21">
        <f>_xll.BDP("AMZN US Equity","PROF_MARGIN","EQY_FUND_YEAR=2016","FUND_PER=C1","EQY_FUND_CRNCY=USD","FILING_STATUS=MR","FA_ADJUSTED=GAAP","Fill=—")</f>
        <v>1.7611919802252129</v>
      </c>
      <c r="W15" s="21">
        <f>_xll.BDP("AMZN US Equity","PROF_MARGIN","EQY_FUND_YEAR=2016","FUND_PER=C2","EQY_FUND_CRNCY=USD","FILING_STATUS=MR","FA_ADJUSTED=GAAP","Fill=—")</f>
        <v>2.3012833434119466</v>
      </c>
      <c r="X15" s="21">
        <f>_xll.BDP("AMZN US Equity","PROF_MARGIN","EQY_FUND_YEAR=2016","FUND_PER=C3","EQY_FUND_CRNCY=USD","FILING_STATUS=MR","FA_ADJUSTED=GAAP","Fill=—")</f>
        <v>1.7583418251197886</v>
      </c>
      <c r="Y15" s="21">
        <f>_xll.BDP("AMZN US Equity","PROF_MARGIN","EQY_FUND_YEAR=2016","FUND_PER=C4","EQY_FUND_CRNCY=USD","FILING_STATUS=MR","FA_ADJUSTED=GAAP","Fill=—")</f>
        <v>1.7435490157147373</v>
      </c>
      <c r="Z15" s="21">
        <f>_xll.BDP("AMZN US Equity","PROF_MARGIN","EQY_FUND_YEAR=2017","FUND_PER=C1","EQY_FUND_CRNCY=USD","FILING_STATUS=MR","FA_ADJUSTED=GAAP","Fill=—")</f>
        <v>2.0272162177297419</v>
      </c>
      <c r="AA15" s="21">
        <f>_xll.BDP("AMZN US Equity","PROF_MARGIN","EQY_FUND_YEAR=2017","FUND_PER=C2","EQY_FUND_CRNCY=USD","FILING_STATUS=MR","FA_ADJUSTED=GAAP","Fill=—")</f>
        <v>1.2501866456718567</v>
      </c>
      <c r="AB15" s="21">
        <f>_xll.BDP("AMZN US Equity","PROF_MARGIN","EQY_FUND_YEAR=2017","FUND_PER=C3","EQY_FUND_CRNCY=USD","FILING_STATUS=MR","FA_ADJUSTED=GAAP","Fill=—")</f>
        <v>1.001592668614208</v>
      </c>
      <c r="AC15" s="21">
        <f>_xll.BDP("AMZN US Equity","PROF_MARGIN","EQY_FUND_YEAR=2017","FUND_PER=C4","EQY_FUND_CRNCY=USD","FILING_STATUS=MR","FA_ADJUSTED=GAAP","Fill=—")</f>
        <v>1.705216286417865</v>
      </c>
      <c r="AD15" s="21">
        <f>_xll.BDP("AMZN US Equity","PROF_MARGIN","EQY_FUND_YEAR=2018","FUND_PER=C1","EQY_FUND_CRNCY=USD","FILING_STATUS=MR","FA_ADJUSTED=GAAP","Fill=—")</f>
        <v>3.1914893617021276</v>
      </c>
      <c r="AE15" s="21">
        <f>_xll.BDP("AMZN US Equity","PROF_MARGIN","EQY_FUND_YEAR=2018","FUND_PER=C2","EQY_FUND_CRNCY=USD","FILING_STATUS=MR","FA_ADJUSTED=GAAP","Fill=—")</f>
        <v>4.005657763066738</v>
      </c>
      <c r="AF15" s="21">
        <f>_xll.BDP("AMZN US Equity","PROF_MARGIN","EQY_FUND_YEAR=2018","FUND_PER=C3","EQY_FUND_CRNCY=USD","FILING_STATUS=MR","FA_ADJUSTED=GAAP","Fill=—")</f>
        <v>4.3899217464985298</v>
      </c>
      <c r="AG15" s="21">
        <f>_xll.BDP("AMZN US Equity","PROF_MARGIN","EQY_FUND_YEAR=2018","FUND_PER=C4","EQY_FUND_CRNCY=USD","FILING_STATUS=MR","FA_ADJUSTED=GAAP","Fill=—")</f>
        <v>4.3252736305590265</v>
      </c>
      <c r="AH15" s="21">
        <f>_xll.BDP("AMZN US Equity","PROF_MARGIN","EQY_FUND_YEAR=2019","FUND_PER=C1","EQY_FUND_CRNCY=USD","FILING_STATUS=MR","FA_ADJUSTED=GAAP","Fill=—")</f>
        <v>5.9648241206030148</v>
      </c>
      <c r="AI15" s="21">
        <f>_xll.BDP("AMZN US Equity","PROF_MARGIN","EQY_FUND_YEAR=2019","FUND_PER=C2","EQY_FUND_CRNCY=USD","FILING_STATUS=MR","FA_ADJUSTED=GAAP","Fill=—")</f>
        <v>5.0250194957109438</v>
      </c>
      <c r="AJ15" s="21">
        <f>_xll.BDP("AMZN US Equity","PROF_MARGIN","EQY_FUND_YEAR=2019","FUND_PER=C3","EQY_FUND_CRNCY=USD","FILING_STATUS=MR","FA_ADJUSTED=GAAP","Fill=—")</f>
        <v>4.308960773955647</v>
      </c>
      <c r="AK15" s="21">
        <f>_xll.BDP("AMZN US Equity","PROF_MARGIN","EQY_FUND_YEAR=2019","FUND_PER=C4","EQY_FUND_CRNCY=USD","FILING_STATUS=MR","FA_ADJUSTED=GAAP","Fill=—")</f>
        <v>4.1308703060722509</v>
      </c>
      <c r="AL15" s="21">
        <f>_xll.BDP("AMZN US Equity","PROF_MARGIN","EQY_FUND_YEAR=2020","FUND_PER=C1","EQY_FUND_CRNCY=USD","FILING_STATUS=MR","FA_ADJUSTED=GAAP","Fill=—")</f>
        <v>3.3597518952446586</v>
      </c>
      <c r="AM15" s="21">
        <f>_xll.BDP("AMZN US Equity","PROF_MARGIN","EQY_FUND_YEAR=2020","FUND_PER=C2","EQY_FUND_CRNCY=USD","FILING_STATUS=MR","FA_ADJUSTED=GAAP","Fill=—")</f>
        <v>4.7321797960623986</v>
      </c>
      <c r="AN15" s="21">
        <f>_xll.BDP("AMZN US Equity","PROF_MARGIN","EQY_FUND_YEAR=2020","FUND_PER=C3","EQY_FUND_CRNCY=USD","FILING_STATUS=MR","FA_ADJUSTED=GAAP","Fill=—")</f>
        <v>5.4159357258290495</v>
      </c>
      <c r="AO15" s="21">
        <f>_xll.BDP("AMZN US Equity","PROF_MARGIN","EQY_FUND_YEAR=2020","FUND_PER=C4","EQY_FUND_CRNCY=USD","FILING_STATUS=MR","FA_ADJUSTED=GAAP","Fill=—")</f>
        <v>5.5252496995316838</v>
      </c>
      <c r="AP15" s="21">
        <f>_xll.BDP("AMZN US Equity","PROF_MARGIN","EQY_FUND_YEAR=2021","FUND_PER=C1","EQY_FUND_CRNCY=USD","FILING_STATUS=MR","FA_ADJUSTED=GAAP","Fill=—")</f>
        <v>7.4706500304097023</v>
      </c>
    </row>
    <row r="16" spans="1:42" x14ac:dyDescent="0.25">
      <c r="A16" s="7" t="s">
        <v>87</v>
      </c>
      <c r="B16" s="7" t="s">
        <v>109</v>
      </c>
      <c r="C16" s="23">
        <v>-46.358103565044097</v>
      </c>
      <c r="D16" s="23">
        <v>-57.213559770435999</v>
      </c>
      <c r="E16" s="23">
        <v>-61.031250640211603</v>
      </c>
      <c r="F16" s="23">
        <v>-51.648276741403301</v>
      </c>
      <c r="G16" s="23">
        <v>-73.376837447111498</v>
      </c>
      <c r="H16" s="23" t="s">
        <v>88</v>
      </c>
      <c r="I16" s="23" t="s">
        <v>88</v>
      </c>
      <c r="J16" s="23">
        <v>-48.247054420575097</v>
      </c>
      <c r="K16" s="23">
        <v>-55.170946826250002</v>
      </c>
      <c r="L16" s="23" t="s">
        <v>88</v>
      </c>
      <c r="M16" s="23" t="s">
        <v>88</v>
      </c>
      <c r="N16" s="23">
        <v>7.2152280762266097</v>
      </c>
      <c r="O16" s="23" t="s">
        <v>88</v>
      </c>
      <c r="P16" s="23" t="s">
        <v>88</v>
      </c>
      <c r="Q16" s="23" t="s">
        <v>88</v>
      </c>
      <c r="R16" s="23" t="s">
        <v>88</v>
      </c>
      <c r="S16" s="23" t="s">
        <v>88</v>
      </c>
      <c r="T16" s="23" t="s">
        <v>88</v>
      </c>
      <c r="U16" s="23" t="s">
        <v>88</v>
      </c>
      <c r="V16" s="23" t="s">
        <v>88</v>
      </c>
      <c r="W16" s="23">
        <v>2918.03648476741</v>
      </c>
      <c r="X16" s="23">
        <v>999.101137642205</v>
      </c>
      <c r="Y16" s="23">
        <v>213.037319247798</v>
      </c>
      <c r="Z16" s="23">
        <v>15.1047699512603</v>
      </c>
      <c r="AA16" s="23">
        <v>-45.674347744279999</v>
      </c>
      <c r="AB16" s="23">
        <v>-43.037645691225002</v>
      </c>
      <c r="AC16" s="23">
        <v>-2.1985616693307701</v>
      </c>
      <c r="AD16" s="23">
        <v>57.432113795471203</v>
      </c>
      <c r="AE16" s="23">
        <v>220.40470745576499</v>
      </c>
      <c r="AF16" s="23">
        <v>338.29399766172497</v>
      </c>
      <c r="AG16" s="23">
        <v>153.64962561927601</v>
      </c>
      <c r="AH16" s="23">
        <v>86.897839848421896</v>
      </c>
      <c r="AI16" s="23">
        <v>25.448028763314301</v>
      </c>
      <c r="AJ16" s="23">
        <v>-1.84424689094704</v>
      </c>
      <c r="AK16" s="23">
        <v>-4.4946054284653503</v>
      </c>
      <c r="AL16" s="23">
        <v>-43.673912256254297</v>
      </c>
      <c r="AM16" s="23">
        <v>-5.8276197562636201</v>
      </c>
      <c r="AN16" s="23">
        <v>25.690067744869399</v>
      </c>
      <c r="AO16" s="23">
        <v>33.755116960833902</v>
      </c>
      <c r="AP16" s="23">
        <v>122.35718588752999</v>
      </c>
    </row>
    <row r="17" spans="1:42" x14ac:dyDescent="0.25">
      <c r="A17" s="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</row>
    <row r="18" spans="1:42" x14ac:dyDescent="0.25">
      <c r="A18" s="6" t="s">
        <v>112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x14ac:dyDescent="0.25">
      <c r="A19" s="8" t="s">
        <v>113</v>
      </c>
      <c r="B19" s="8" t="s">
        <v>114</v>
      </c>
      <c r="C19" s="21">
        <f>_xll.BDP("AMZN US Equity","EFF_TAX_RATE","EQY_FUND_YEAR=2011","FUND_PER=C2","EQY_FUND_CRNCY=USD","FILING_STATUS=MR","FA_ADJUSTED=GAAP","Fill=—")</f>
        <v>25.988700564971751</v>
      </c>
      <c r="D19" s="21">
        <f>_xll.BDP("AMZN US Equity","EFF_TAX_RATE","EQY_FUND_YEAR=2011","FUND_PER=C3","EQY_FUND_CRNCY=USD","FILING_STATUS=MR","FA_ADJUSTED=GAAP","Fill=—")</f>
        <v>31.01361573373676</v>
      </c>
      <c r="E19" s="21">
        <f>_xll.BDP("AMZN US Equity","EFF_TAX_RATE","EQY_FUND_YEAR=2011","FUND_PER=C4","EQY_FUND_CRNCY=USD","FILING_STATUS=MR","FA_ADJUSTED=GAAP","Fill=—")</f>
        <v>31.156316916488226</v>
      </c>
      <c r="F19" s="21">
        <f>_xll.BDP("AMZN US Equity","EFF_TAX_RATE","EQY_FUND_YEAR=2012","FUND_PER=C1","EQY_FUND_CRNCY=USD","FILING_STATUS=MR","FA_ADJUSTED=GAAP","Fill=—")</f>
        <v>51.19047619047619</v>
      </c>
      <c r="G19" s="21">
        <f>_xll.BDP("AMZN US Equity","EFF_TAX_RATE","EQY_FUND_YEAR=2012","FUND_PER=C2","EQY_FUND_CRNCY=USD","FILING_STATUS=MR","FA_ADJUSTED=GAAP","Fill=—")</f>
        <v>65.938864628820966</v>
      </c>
      <c r="H19" s="21">
        <f>_xll.BDP("AMZN US Equity","EFF_TAX_RATE","EQY_FUND_YEAR=2012","FUND_PER=C3","EQY_FUND_CRNCY=USD","FILING_STATUS=MR","FA_ADJUSTED=GAAP","Fill=—")</f>
        <v>113.04347826086956</v>
      </c>
      <c r="I19" s="21">
        <f>_xll.BDP("AMZN US Equity","EFF_TAX_RATE","EQY_FUND_YEAR=2012","FUND_PER=C4","EQY_FUND_CRNCY=USD","FILING_STATUS=MR","FA_ADJUSTED=GAAP","Fill=—")</f>
        <v>78.67647058823529</v>
      </c>
      <c r="J19" s="21" t="str">
        <f>_xll.BDP("AMZN US Equity","EFF_TAX_RATE","EQY_FUND_YEAR=2013","FUND_PER=C1","EQY_FUND_CRNCY=USD","FILING_STATUS=MR","FA_ADJUSTED=GAAP","Fill=—")</f>
        <v>—</v>
      </c>
      <c r="K19" s="21" t="str">
        <f>_xll.BDP("AMZN US Equity","EFF_TAX_RATE","EQY_FUND_YEAR=2013","FUND_PER=C2","EQY_FUND_CRNCY=USD","FILING_STATUS=MR","FA_ADJUSTED=GAAP","Fill=—")</f>
        <v>—</v>
      </c>
      <c r="L19" s="21" t="str">
        <f>_xll.BDP("AMZN US Equity","EFF_TAX_RATE","EQY_FUND_YEAR=2013","FUND_PER=C3","EQY_FUND_CRNCY=USD","FILING_STATUS=MR","FA_ADJUSTED=GAAP","Fill=—")</f>
        <v>—</v>
      </c>
      <c r="M19" s="21">
        <f>_xll.BDP("AMZN US Equity","EFF_TAX_RATE","EQY_FUND_YEAR=2013","FUND_PER=C4","EQY_FUND_CRNCY=USD","FILING_STATUS=MR","FA_ADJUSTED=GAAP","Fill=—")</f>
        <v>31.818181818181817</v>
      </c>
      <c r="N19" s="21">
        <f>_xll.BDP("AMZN US Equity","EFF_TAX_RATE","EQY_FUND_YEAR=2014","FUND_PER=C1","EQY_FUND_CRNCY=USD","FILING_STATUS=MR","FA_ADJUSTED=GAAP","Fill=—")</f>
        <v>60.833333333333329</v>
      </c>
      <c r="O19" s="21">
        <f>_xll.BDP("AMZN US Equity","EFF_TAX_RATE","EQY_FUND_YEAR=2014","FUND_PER=C2","EQY_FUND_CRNCY=USD","FILING_STATUS=MR","FA_ADJUSTED=GAAP","Fill=—")</f>
        <v>179.56989247311827</v>
      </c>
      <c r="P19" s="21" t="str">
        <f>_xll.BDP("AMZN US Equity","EFF_TAX_RATE","EQY_FUND_YEAR=2014","FUND_PER=C3","EQY_FUND_CRNCY=USD","FILING_STATUS=MR","FA_ADJUSTED=GAAP","Fill=—")</f>
        <v>—</v>
      </c>
      <c r="Q19" s="21" t="str">
        <f>_xll.BDP("AMZN US Equity","EFF_TAX_RATE","EQY_FUND_YEAR=2014","FUND_PER=C4","EQY_FUND_CRNCY=USD","FILING_STATUS=MR","FA_ADJUSTED=GAAP","Fill=—")</f>
        <v>—</v>
      </c>
      <c r="R19" s="21">
        <f>_xll.BDP("AMZN US Equity","EFF_TAX_RATE","EQY_FUND_YEAR=2015","FUND_PER=C1","EQY_FUND_CRNCY=USD","FILING_STATUS=MR","FA_ADJUSTED=GAAP","Fill=—")</f>
        <v>338.09523809523807</v>
      </c>
      <c r="S19" s="21">
        <f>_xll.BDP("AMZN US Equity","EFF_TAX_RATE","EQY_FUND_YEAR=2015","FUND_PER=C2","EQY_FUND_CRNCY=USD","FILING_STATUS=MR","FA_ADJUSTED=GAAP","Fill=—")</f>
        <v>87.989556135770229</v>
      </c>
      <c r="T19" s="21">
        <f>_xll.BDP("AMZN US Equity","EFF_TAX_RATE","EQY_FUND_YEAR=2015","FUND_PER=C3","EQY_FUND_CRNCY=USD","FILING_STATUS=MR","FA_ADJUSTED=GAAP","Fill=—")</f>
        <v>79.047619047619051</v>
      </c>
      <c r="U19" s="21">
        <f>_xll.BDP("AMZN US Equity","EFF_TAX_RATE","EQY_FUND_YEAR=2015","FUND_PER=C4","EQY_FUND_CRNCY=USD","FILING_STATUS=MR","FA_ADJUSTED=GAAP","Fill=—")</f>
        <v>60.586734693877553</v>
      </c>
      <c r="V19" s="21">
        <f>_xll.BDP("AMZN US Equity","EFF_TAX_RATE","EQY_FUND_YEAR=2016","FUND_PER=C1","EQY_FUND_CRNCY=USD","FILING_STATUS=MR","FA_ADJUSTED=GAAP","Fill=—")</f>
        <v>44.981060606060609</v>
      </c>
      <c r="W19" s="21">
        <f>_xll.BDP("AMZN US Equity","EFF_TAX_RATE","EQY_FUND_YEAR=2016","FUND_PER=C2","EQY_FUND_CRNCY=USD","FILING_STATUS=MR","FA_ADJUSTED=GAAP","Fill=—")</f>
        <v>35.004476275738583</v>
      </c>
      <c r="X19" s="21">
        <f>_xll.BDP("AMZN US Equity","EFF_TAX_RATE","EQY_FUND_YEAR=2016","FUND_PER=C3","EQY_FUND_CRNCY=USD","FILING_STATUS=MR","FA_ADJUSTED=GAAP","Fill=—")</f>
        <v>37.123991195891413</v>
      </c>
      <c r="Y19" s="21">
        <f>_xll.BDP("AMZN US Equity","EFF_TAX_RATE","EQY_FUND_YEAR=2016","FUND_PER=C4","EQY_FUND_CRNCY=USD","FILING_STATUS=MR","FA_ADJUSTED=GAAP","Fill=—")</f>
        <v>36.613566289825286</v>
      </c>
      <c r="Z19" s="21">
        <f>_xll.BDP("AMZN US Equity","EFF_TAX_RATE","EQY_FUND_YEAR=2017","FUND_PER=C1","EQY_FUND_CRNCY=USD","FILING_STATUS=MR","FA_ADJUSTED=GAAP","Fill=—")</f>
        <v>24.029380902413429</v>
      </c>
      <c r="AA19" s="21">
        <f>_xll.BDP("AMZN US Equity","EFF_TAX_RATE","EQY_FUND_YEAR=2017","FUND_PER=C2","EQY_FUND_CRNCY=USD","FILING_STATUS=MR","FA_ADJUSTED=GAAP","Fill=—")</f>
        <v>42.954264524103827</v>
      </c>
      <c r="AB19" s="21">
        <f>_xll.BDP("AMZN US Equity","EFF_TAX_RATE","EQY_FUND_YEAR=2017","FUND_PER=C3","EQY_FUND_CRNCY=USD","FILING_STATUS=MR","FA_ADJUSTED=GAAP","Fill=—")</f>
        <v>39.018087855297154</v>
      </c>
      <c r="AC19" s="21">
        <f>_xll.BDP("AMZN US Equity","EFF_TAX_RATE","EQY_FUND_YEAR=2017","FUND_PER=C4","EQY_FUND_CRNCY=USD","FILING_STATUS=MR","FA_ADJUSTED=GAAP","Fill=—")</f>
        <v>20.20493956910142</v>
      </c>
      <c r="AD19" s="21">
        <f>_xll.BDP("AMZN US Equity","EFF_TAX_RATE","EQY_FUND_YEAR=2018","FUND_PER=C1","EQY_FUND_CRNCY=USD","FILING_STATUS=MR","FA_ADJUSTED=GAAP","Fill=—")</f>
        <v>14.979123173277662</v>
      </c>
      <c r="AE19" s="21">
        <f>_xll.BDP("AMZN US Equity","EFF_TAX_RATE","EQY_FUND_YEAR=2018","FUND_PER=C2","EQY_FUND_CRNCY=USD","FILING_STATUS=MR","FA_ADJUSTED=GAAP","Fill=—")</f>
        <v>7.9867256637168138</v>
      </c>
      <c r="AF19" s="21">
        <f>_xll.BDP("AMZN US Equity","EFF_TAX_RATE","EQY_FUND_YEAR=2018","FUND_PER=C3","EQY_FUND_CRNCY=USD","FILING_STATUS=MR","FA_ADJUSTED=GAAP","Fill=—")</f>
        <v>10.997345468335229</v>
      </c>
      <c r="AG19" s="21">
        <f>_xll.BDP("AMZN US Equity","EFF_TAX_RATE","EQY_FUND_YEAR=2018","FUND_PER=C4","EQY_FUND_CRNCY=USD","FILING_STATUS=MR","FA_ADJUSTED=GAAP","Fill=—")</f>
        <v>10.62960660687328</v>
      </c>
      <c r="AH19" s="21">
        <f>_xll.BDP("AMZN US Equity","EFF_TAX_RATE","EQY_FUND_YEAR=2019","FUND_PER=C1","EQY_FUND_CRNCY=USD","FILING_STATUS=MR","FA_ADJUSTED=GAAP","Fill=—")</f>
        <v>18.995682799363781</v>
      </c>
      <c r="AI19" s="21">
        <f>_xll.BDP("AMZN US Equity","EFF_TAX_RATE","EQY_FUND_YEAR=2019","FUND_PER=C2","EQY_FUND_CRNCY=USD","FILING_STATUS=MR","FA_ADJUSTED=GAAP","Fill=—")</f>
        <v>15.00480043889727</v>
      </c>
      <c r="AJ19" s="21">
        <f>_xll.BDP("AMZN US Equity","EFF_TAX_RATE","EQY_FUND_YEAR=2019","FUND_PER=C3","EQY_FUND_CRNCY=USD","FILING_STATUS=MR","FA_ADJUSTED=GAAP","Fill=—")</f>
        <v>16.003224831200242</v>
      </c>
      <c r="AK19" s="21">
        <f>_xll.BDP("AMZN US Equity","EFF_TAX_RATE","EQY_FUND_YEAR=2019","FUND_PER=C4","EQY_FUND_CRNCY=USD","FILING_STATUS=MR","FA_ADJUSTED=GAAP","Fill=—")</f>
        <v>16.986262163709213</v>
      </c>
      <c r="AL19" s="21">
        <f>_xll.BDP("AMZN US Equity","EFF_TAX_RATE","EQY_FUND_YEAR=2020","FUND_PER=C1","EQY_FUND_CRNCY=USD","FILING_STATUS=MR","FA_ADJUSTED=GAAP","Fill=—")</f>
        <v>21.992314513745196</v>
      </c>
      <c r="AM19" s="21">
        <f>_xll.BDP("AMZN US Equity","EFF_TAX_RATE","EQY_FUND_YEAR=2020","FUND_PER=C2","EQY_FUND_CRNCY=USD","FILING_STATUS=MR","FA_ADJUSTED=GAAP","Fill=—")</f>
        <v>18.002915451895042</v>
      </c>
      <c r="AN19" s="21">
        <f>_xll.BDP("AMZN US Equity","EFF_TAX_RATE","EQY_FUND_YEAR=2020","FUND_PER=C3","EQY_FUND_CRNCY=USD","FILING_STATUS=MR","FA_ADJUSTED=GAAP","Fill=—")</f>
        <v>14.001096691646866</v>
      </c>
      <c r="AO19" s="21">
        <f>_xll.BDP("AMZN US Equity","EFF_TAX_RATE","EQY_FUND_YEAR=2020","FUND_PER=C4","EQY_FUND_CRNCY=USD","FILING_STATUS=MR","FA_ADJUSTED=GAAP","Fill=—")</f>
        <v>11.84134337000579</v>
      </c>
      <c r="AP19" s="21">
        <f>_xll.BDP("AMZN US Equity","EFF_TAX_RATE","EQY_FUND_YEAR=2021","FUND_PER=C1","EQY_FUND_CRNCY=USD","FILING_STATUS=MR","FA_ADJUSTED=GAAP","Fill=—")</f>
        <v>20.997273081417998</v>
      </c>
    </row>
    <row r="20" spans="1:42" x14ac:dyDescent="0.25">
      <c r="A20" s="7" t="s">
        <v>87</v>
      </c>
      <c r="B20" s="7" t="s">
        <v>114</v>
      </c>
      <c r="C20" s="23">
        <v>-3.8830595947050202</v>
      </c>
      <c r="D20" s="23">
        <v>14.9943063876468</v>
      </c>
      <c r="E20" s="23">
        <v>32.502859822875998</v>
      </c>
      <c r="F20" s="23">
        <v>76.578383584979093</v>
      </c>
      <c r="G20" s="23">
        <v>153.721280644231</v>
      </c>
      <c r="H20" s="23">
        <v>264.49628447066601</v>
      </c>
      <c r="I20" s="23">
        <v>152.521730986368</v>
      </c>
      <c r="J20" s="23" t="s">
        <v>88</v>
      </c>
      <c r="K20" s="23" t="s">
        <v>88</v>
      </c>
      <c r="L20" s="23" t="s">
        <v>88</v>
      </c>
      <c r="M20" s="23">
        <v>-59.558198791097297</v>
      </c>
      <c r="N20" s="23" t="s">
        <v>88</v>
      </c>
      <c r="O20" s="23" t="s">
        <v>88</v>
      </c>
      <c r="P20" s="23" t="s">
        <v>88</v>
      </c>
      <c r="Q20" s="23" t="s">
        <v>88</v>
      </c>
      <c r="R20" s="23">
        <v>455.77299701793402</v>
      </c>
      <c r="S20" s="23">
        <v>-50.9998279667061</v>
      </c>
      <c r="T20" s="23" t="s">
        <v>88</v>
      </c>
      <c r="U20" s="23" t="s">
        <v>88</v>
      </c>
      <c r="V20" s="23">
        <v>-86.695742517379102</v>
      </c>
      <c r="W20" s="23">
        <v>-60.217464900038799</v>
      </c>
      <c r="X20" s="23">
        <v>-53.035914971708401</v>
      </c>
      <c r="Y20" s="23">
        <v>-39.5683461074441</v>
      </c>
      <c r="Z20" s="23">
        <v>-46.578892392066997</v>
      </c>
      <c r="AA20" s="23">
        <v>22.7107784730159</v>
      </c>
      <c r="AB20" s="23">
        <v>5.1020834478706796</v>
      </c>
      <c r="AC20" s="23">
        <v>-44.815700278962197</v>
      </c>
      <c r="AD20" s="23">
        <v>-37.663300606869598</v>
      </c>
      <c r="AE20" s="23">
        <v>-81.406442410317098</v>
      </c>
      <c r="AF20" s="23">
        <v>-71.814751660819496</v>
      </c>
      <c r="AG20" s="23">
        <v>-47.391048921699301</v>
      </c>
      <c r="AH20" s="23">
        <v>26.814386930396399</v>
      </c>
      <c r="AI20" s="23">
        <v>87.871726161633703</v>
      </c>
      <c r="AJ20" s="23">
        <v>45.518986628136197</v>
      </c>
      <c r="AK20" s="23">
        <v>59.8014112845376</v>
      </c>
      <c r="AL20" s="23">
        <v>15.775331689837101</v>
      </c>
      <c r="AM20" s="23">
        <v>19.981039400725098</v>
      </c>
      <c r="AN20" s="23">
        <v>-12.510778296249701</v>
      </c>
      <c r="AO20" s="23">
        <v>-30.288706249791701</v>
      </c>
      <c r="AP20" s="23">
        <v>-4.5244986714677404</v>
      </c>
    </row>
    <row r="21" spans="1:42" x14ac:dyDescent="0.25">
      <c r="A21" s="8" t="s">
        <v>115</v>
      </c>
      <c r="B21" s="8" t="s">
        <v>116</v>
      </c>
      <c r="C21" s="21">
        <f>_xll.BDP("AMZN US Equity","DVD_PAYOUT_RATIO","EQY_FUND_YEAR=2011","FUND_PER=C2","EQY_FUND_CRNCY=USD","FILING_STATUS=MR","FA_ADJUSTED=GAAP","Fill=—")</f>
        <v>0</v>
      </c>
      <c r="D21" s="21">
        <f>_xll.BDP("AMZN US Equity","DVD_PAYOUT_RATIO","EQY_FUND_YEAR=2011","FUND_PER=C3","EQY_FUND_CRNCY=USD","FILING_STATUS=MR","FA_ADJUSTED=GAAP","Fill=—")</f>
        <v>0</v>
      </c>
      <c r="E21" s="21">
        <f>_xll.BDP("AMZN US Equity","DVD_PAYOUT_RATIO","EQY_FUND_YEAR=2011","FUND_PER=C4","EQY_FUND_CRNCY=USD","FILING_STATUS=MR","FA_ADJUSTED=GAAP","Fill=—")</f>
        <v>0</v>
      </c>
      <c r="F21" s="21">
        <f>_xll.BDP("AMZN US Equity","DVD_PAYOUT_RATIO","EQY_FUND_YEAR=2012","FUND_PER=C1","EQY_FUND_CRNCY=USD","FILING_STATUS=MR","FA_ADJUSTED=GAAP","Fill=—")</f>
        <v>0</v>
      </c>
      <c r="G21" s="21">
        <f>_xll.BDP("AMZN US Equity","DVD_PAYOUT_RATIO","EQY_FUND_YEAR=2012","FUND_PER=C2","EQY_FUND_CRNCY=USD","FILING_STATUS=MR","FA_ADJUSTED=GAAP","Fill=—")</f>
        <v>0</v>
      </c>
      <c r="H21" s="21" t="str">
        <f>_xll.BDP("AMZN US Equity","DVD_PAYOUT_RATIO","EQY_FUND_YEAR=2012","FUND_PER=C3","EQY_FUND_CRNCY=USD","FILING_STATUS=MR","FA_ADJUSTED=GAAP","Fill=—")</f>
        <v>—</v>
      </c>
      <c r="I21" s="21" t="str">
        <f>_xll.BDP("AMZN US Equity","DVD_PAYOUT_RATIO","EQY_FUND_YEAR=2012","FUND_PER=C4","EQY_FUND_CRNCY=USD","FILING_STATUS=MR","FA_ADJUSTED=GAAP","Fill=—")</f>
        <v>—</v>
      </c>
      <c r="J21" s="21">
        <f>_xll.BDP("AMZN US Equity","DVD_PAYOUT_RATIO","EQY_FUND_YEAR=2013","FUND_PER=C1","EQY_FUND_CRNCY=USD","FILING_STATUS=MR","FA_ADJUSTED=GAAP","Fill=—")</f>
        <v>0</v>
      </c>
      <c r="K21" s="21">
        <f>_xll.BDP("AMZN US Equity","DVD_PAYOUT_RATIO","EQY_FUND_YEAR=2013","FUND_PER=C2","EQY_FUND_CRNCY=USD","FILING_STATUS=MR","FA_ADJUSTED=GAAP","Fill=—")</f>
        <v>0</v>
      </c>
      <c r="L21" s="21">
        <f>_xll.BDP("AMZN US Equity","DVD_PAYOUT_RATIO","EQY_FUND_YEAR=2013","FUND_PER=C3","EQY_FUND_CRNCY=USD","FILING_STATUS=MR","FA_ADJUSTED=GAAP","Fill=—")</f>
        <v>0</v>
      </c>
      <c r="M21" s="21">
        <f>_xll.BDP("AMZN US Equity","DVD_PAYOUT_RATIO","EQY_FUND_YEAR=2013","FUND_PER=C4","EQY_FUND_CRNCY=USD","FILING_STATUS=MR","FA_ADJUSTED=GAAP","Fill=—")</f>
        <v>0</v>
      </c>
      <c r="N21" s="21">
        <f>_xll.BDP("AMZN US Equity","DVD_PAYOUT_RATIO","EQY_FUND_YEAR=2014","FUND_PER=C1","EQY_FUND_CRNCY=USD","FILING_STATUS=MR","FA_ADJUSTED=GAAP","Fill=—")</f>
        <v>0</v>
      </c>
      <c r="O21" s="21" t="str">
        <f>_xll.BDP("AMZN US Equity","DVD_PAYOUT_RATIO","EQY_FUND_YEAR=2014","FUND_PER=C2","EQY_FUND_CRNCY=USD","FILING_STATUS=MR","FA_ADJUSTED=GAAP","Fill=—")</f>
        <v>—</v>
      </c>
      <c r="P21" s="21" t="str">
        <f>_xll.BDP("AMZN US Equity","DVD_PAYOUT_RATIO","EQY_FUND_YEAR=2014","FUND_PER=C3","EQY_FUND_CRNCY=USD","FILING_STATUS=MR","FA_ADJUSTED=GAAP","Fill=—")</f>
        <v>—</v>
      </c>
      <c r="Q21" s="21" t="str">
        <f>_xll.BDP("AMZN US Equity","DVD_PAYOUT_RATIO","EQY_FUND_YEAR=2014","FUND_PER=C4","EQY_FUND_CRNCY=USD","FILING_STATUS=MR","FA_ADJUSTED=GAAP","Fill=—")</f>
        <v>—</v>
      </c>
      <c r="R21" s="21" t="str">
        <f>_xll.BDP("AMZN US Equity","DVD_PAYOUT_RATIO","EQY_FUND_YEAR=2015","FUND_PER=C1","EQY_FUND_CRNCY=USD","FILING_STATUS=MR","FA_ADJUSTED=GAAP","Fill=—")</f>
        <v>—</v>
      </c>
      <c r="S21" s="21">
        <f>_xll.BDP("AMZN US Equity","DVD_PAYOUT_RATIO","EQY_FUND_YEAR=2015","FUND_PER=C2","EQY_FUND_CRNCY=USD","FILING_STATUS=MR","FA_ADJUSTED=GAAP","Fill=—")</f>
        <v>0</v>
      </c>
      <c r="T21" s="21">
        <f>_xll.BDP("AMZN US Equity","DVD_PAYOUT_RATIO","EQY_FUND_YEAR=2015","FUND_PER=C3","EQY_FUND_CRNCY=USD","FILING_STATUS=MR","FA_ADJUSTED=GAAP","Fill=—")</f>
        <v>0</v>
      </c>
      <c r="U21" s="21">
        <f>_xll.BDP("AMZN US Equity","DVD_PAYOUT_RATIO","EQY_FUND_YEAR=2015","FUND_PER=C4","EQY_FUND_CRNCY=USD","FILING_STATUS=MR","FA_ADJUSTED=GAAP","Fill=—")</f>
        <v>0</v>
      </c>
      <c r="V21" s="21">
        <f>_xll.BDP("AMZN US Equity","DVD_PAYOUT_RATIO","EQY_FUND_YEAR=2016","FUND_PER=C1","EQY_FUND_CRNCY=USD","FILING_STATUS=MR","FA_ADJUSTED=GAAP","Fill=—")</f>
        <v>0</v>
      </c>
      <c r="W21" s="21">
        <f>_xll.BDP("AMZN US Equity","DVD_PAYOUT_RATIO","EQY_FUND_YEAR=2016","FUND_PER=C2","EQY_FUND_CRNCY=USD","FILING_STATUS=MR","FA_ADJUSTED=GAAP","Fill=—")</f>
        <v>0</v>
      </c>
      <c r="X21" s="21">
        <f>_xll.BDP("AMZN US Equity","DVD_PAYOUT_RATIO","EQY_FUND_YEAR=2016","FUND_PER=C3","EQY_FUND_CRNCY=USD","FILING_STATUS=MR","FA_ADJUSTED=GAAP","Fill=—")</f>
        <v>0</v>
      </c>
      <c r="Y21" s="21">
        <f>_xll.BDP("AMZN US Equity","DVD_PAYOUT_RATIO","EQY_FUND_YEAR=2016","FUND_PER=C4","EQY_FUND_CRNCY=USD","FILING_STATUS=MR","FA_ADJUSTED=GAAP","Fill=—")</f>
        <v>0</v>
      </c>
      <c r="Z21" s="21">
        <f>_xll.BDP("AMZN US Equity","DVD_PAYOUT_RATIO","EQY_FUND_YEAR=2017","FUND_PER=C1","EQY_FUND_CRNCY=USD","FILING_STATUS=MR","FA_ADJUSTED=GAAP","Fill=—")</f>
        <v>0</v>
      </c>
      <c r="AA21" s="21">
        <f>_xll.BDP("AMZN US Equity","DVD_PAYOUT_RATIO","EQY_FUND_YEAR=2017","FUND_PER=C2","EQY_FUND_CRNCY=USD","FILING_STATUS=MR","FA_ADJUSTED=GAAP","Fill=—")</f>
        <v>0</v>
      </c>
      <c r="AB21" s="21">
        <f>_xll.BDP("AMZN US Equity","DVD_PAYOUT_RATIO","EQY_FUND_YEAR=2017","FUND_PER=C3","EQY_FUND_CRNCY=USD","FILING_STATUS=MR","FA_ADJUSTED=GAAP","Fill=—")</f>
        <v>0</v>
      </c>
      <c r="AC21" s="21">
        <f>_xll.BDP("AMZN US Equity","DVD_PAYOUT_RATIO","EQY_FUND_YEAR=2017","FUND_PER=C4","EQY_FUND_CRNCY=USD","FILING_STATUS=MR","FA_ADJUSTED=GAAP","Fill=—")</f>
        <v>0</v>
      </c>
      <c r="AD21" s="21">
        <f>_xll.BDP("AMZN US Equity","DVD_PAYOUT_RATIO","EQY_FUND_YEAR=2018","FUND_PER=C1","EQY_FUND_CRNCY=USD","FILING_STATUS=MR","FA_ADJUSTED=GAAP","Fill=—")</f>
        <v>0</v>
      </c>
      <c r="AE21" s="21">
        <f>_xll.BDP("AMZN US Equity","DVD_PAYOUT_RATIO","EQY_FUND_YEAR=2018","FUND_PER=C2","EQY_FUND_CRNCY=USD","FILING_STATUS=MR","FA_ADJUSTED=GAAP","Fill=—")</f>
        <v>0</v>
      </c>
      <c r="AF21" s="21">
        <f>_xll.BDP("AMZN US Equity","DVD_PAYOUT_RATIO","EQY_FUND_YEAR=2018","FUND_PER=C3","EQY_FUND_CRNCY=USD","FILING_STATUS=MR","FA_ADJUSTED=GAAP","Fill=—")</f>
        <v>0</v>
      </c>
      <c r="AG21" s="21">
        <f>_xll.BDP("AMZN US Equity","DVD_PAYOUT_RATIO","EQY_FUND_YEAR=2018","FUND_PER=C4","EQY_FUND_CRNCY=USD","FILING_STATUS=MR","FA_ADJUSTED=GAAP","Fill=—")</f>
        <v>0</v>
      </c>
      <c r="AH21" s="21">
        <f>_xll.BDP("AMZN US Equity","DVD_PAYOUT_RATIO","EQY_FUND_YEAR=2019","FUND_PER=C1","EQY_FUND_CRNCY=USD","FILING_STATUS=MR","FA_ADJUSTED=GAAP","Fill=—")</f>
        <v>0</v>
      </c>
      <c r="AI21" s="21">
        <f>_xll.BDP("AMZN US Equity","DVD_PAYOUT_RATIO","EQY_FUND_YEAR=2019","FUND_PER=C2","EQY_FUND_CRNCY=USD","FILING_STATUS=MR","FA_ADJUSTED=GAAP","Fill=—")</f>
        <v>0</v>
      </c>
      <c r="AJ21" s="21">
        <f>_xll.BDP("AMZN US Equity","DVD_PAYOUT_RATIO","EQY_FUND_YEAR=2019","FUND_PER=C3","EQY_FUND_CRNCY=USD","FILING_STATUS=MR","FA_ADJUSTED=GAAP","Fill=—")</f>
        <v>0</v>
      </c>
      <c r="AK21" s="21">
        <f>_xll.BDP("AMZN US Equity","DVD_PAYOUT_RATIO","EQY_FUND_YEAR=2019","FUND_PER=C4","EQY_FUND_CRNCY=USD","FILING_STATUS=MR","FA_ADJUSTED=GAAP","Fill=—")</f>
        <v>0</v>
      </c>
      <c r="AL21" s="21">
        <f>_xll.BDP("AMZN US Equity","DVD_PAYOUT_RATIO","EQY_FUND_YEAR=2020","FUND_PER=C1","EQY_FUND_CRNCY=USD","FILING_STATUS=MR","FA_ADJUSTED=GAAP","Fill=—")</f>
        <v>0</v>
      </c>
      <c r="AM21" s="21">
        <f>_xll.BDP("AMZN US Equity","DVD_PAYOUT_RATIO","EQY_FUND_YEAR=2020","FUND_PER=C2","EQY_FUND_CRNCY=USD","FILING_STATUS=MR","FA_ADJUSTED=GAAP","Fill=—")</f>
        <v>0</v>
      </c>
      <c r="AN21" s="21">
        <f>_xll.BDP("AMZN US Equity","DVD_PAYOUT_RATIO","EQY_FUND_YEAR=2020","FUND_PER=C3","EQY_FUND_CRNCY=USD","FILING_STATUS=MR","FA_ADJUSTED=GAAP","Fill=—")</f>
        <v>0</v>
      </c>
      <c r="AO21" s="21">
        <f>_xll.BDP("AMZN US Equity","DVD_PAYOUT_RATIO","EQY_FUND_YEAR=2020","FUND_PER=C4","EQY_FUND_CRNCY=USD","FILING_STATUS=MR","FA_ADJUSTED=GAAP","Fill=—")</f>
        <v>0</v>
      </c>
      <c r="AP21" s="21">
        <f>_xll.BDP("AMZN US Equity","DVD_PAYOUT_RATIO","EQY_FUND_YEAR=2021","FUND_PER=C1","EQY_FUND_CRNCY=USD","FILING_STATUS=MR","FA_ADJUSTED=GAAP","Fill=—")</f>
        <v>0</v>
      </c>
    </row>
    <row r="22" spans="1:42" x14ac:dyDescent="0.25">
      <c r="A22" s="15" t="s">
        <v>119</v>
      </c>
      <c r="B22" s="15"/>
      <c r="C22" s="15" t="s"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tabSelected="1" workbookViewId="0"/>
  </sheetViews>
  <sheetFormatPr defaultRowHeight="15" x14ac:dyDescent="0.25"/>
  <cols>
    <col min="1" max="1" width="35.140625" customWidth="1"/>
    <col min="2" max="2" width="0" hidden="1" customWidth="1"/>
    <col min="3" max="42" width="11.85546875" customWidth="1"/>
  </cols>
  <sheetData>
    <row r="1" spans="1:4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20.25" x14ac:dyDescent="0.25">
      <c r="A2" s="16" t="s">
        <v>197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</row>
    <row r="3" spans="1:4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</row>
    <row r="4" spans="1:42" x14ac:dyDescent="0.25">
      <c r="A4" s="2" t="s">
        <v>2</v>
      </c>
      <c r="B4" s="2"/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3" t="s">
        <v>31</v>
      </c>
      <c r="AF4" s="3" t="s">
        <v>32</v>
      </c>
      <c r="AG4" s="3" t="s">
        <v>33</v>
      </c>
      <c r="AH4" s="3" t="s">
        <v>34</v>
      </c>
      <c r="AI4" s="3" t="s">
        <v>35</v>
      </c>
      <c r="AJ4" s="3" t="s">
        <v>36</v>
      </c>
      <c r="AK4" s="3" t="s">
        <v>37</v>
      </c>
      <c r="AL4" s="3" t="s">
        <v>38</v>
      </c>
      <c r="AM4" s="3" t="s">
        <v>39</v>
      </c>
      <c r="AN4" s="3" t="s">
        <v>40</v>
      </c>
      <c r="AO4" s="3" t="s">
        <v>41</v>
      </c>
      <c r="AP4" s="3" t="s">
        <v>42</v>
      </c>
    </row>
    <row r="5" spans="1:42" x14ac:dyDescent="0.25">
      <c r="A5" s="4" t="s">
        <v>43</v>
      </c>
      <c r="B5" s="4"/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  <c r="H5" s="5" t="s">
        <v>49</v>
      </c>
      <c r="I5" s="5" t="s">
        <v>50</v>
      </c>
      <c r="J5" s="5" t="s">
        <v>51</v>
      </c>
      <c r="K5" s="5" t="s">
        <v>52</v>
      </c>
      <c r="L5" s="5" t="s">
        <v>53</v>
      </c>
      <c r="M5" s="5" t="s">
        <v>54</v>
      </c>
      <c r="N5" s="5" t="s">
        <v>55</v>
      </c>
      <c r="O5" s="5" t="s">
        <v>56</v>
      </c>
      <c r="P5" s="5" t="s">
        <v>57</v>
      </c>
      <c r="Q5" s="5" t="s">
        <v>58</v>
      </c>
      <c r="R5" s="5" t="s">
        <v>59</v>
      </c>
      <c r="S5" s="5" t="s">
        <v>60</v>
      </c>
      <c r="T5" s="5" t="s">
        <v>61</v>
      </c>
      <c r="U5" s="5" t="s">
        <v>62</v>
      </c>
      <c r="V5" s="5" t="s">
        <v>63</v>
      </c>
      <c r="W5" s="5" t="s">
        <v>64</v>
      </c>
      <c r="X5" s="5" t="s">
        <v>65</v>
      </c>
      <c r="Y5" s="5" t="s">
        <v>66</v>
      </c>
      <c r="Z5" s="5" t="s">
        <v>67</v>
      </c>
      <c r="AA5" s="5" t="s">
        <v>68</v>
      </c>
      <c r="AB5" s="5" t="s">
        <v>69</v>
      </c>
      <c r="AC5" s="5" t="s">
        <v>70</v>
      </c>
      <c r="AD5" s="5" t="s">
        <v>71</v>
      </c>
      <c r="AE5" s="5" t="s">
        <v>72</v>
      </c>
      <c r="AF5" s="5" t="s">
        <v>73</v>
      </c>
      <c r="AG5" s="5" t="s">
        <v>74</v>
      </c>
      <c r="AH5" s="5" t="s">
        <v>75</v>
      </c>
      <c r="AI5" s="5" t="s">
        <v>76</v>
      </c>
      <c r="AJ5" s="5" t="s">
        <v>77</v>
      </c>
      <c r="AK5" s="5" t="s">
        <v>78</v>
      </c>
      <c r="AL5" s="5" t="s">
        <v>79</v>
      </c>
      <c r="AM5" s="5" t="s">
        <v>80</v>
      </c>
      <c r="AN5" s="5" t="s">
        <v>81</v>
      </c>
      <c r="AO5" s="5" t="s">
        <v>82</v>
      </c>
      <c r="AP5" s="5" t="s">
        <v>83</v>
      </c>
    </row>
    <row r="6" spans="1:42" x14ac:dyDescent="0.25">
      <c r="A6" s="8" t="s">
        <v>196</v>
      </c>
      <c r="B6" s="8" t="s">
        <v>195</v>
      </c>
      <c r="C6" s="21">
        <f>_xll.BDH("AMZN US Equity","CASH_RATIO","FQ2 2011","FQ2 2011","Currency=USD","Period=FQ","BEST_FPERIOD_OVERRIDE=FQ","FILING_STATUS=MR","Sort=A","Dates=H","DateFormat=P","Fill=—","Direction=H","UseDPDF=Y")</f>
        <v>0.78990000000000005</v>
      </c>
      <c r="D6" s="21">
        <f>_xll.BDH("AMZN US Equity","CASH_RATIO","FQ3 2011","FQ3 2011","Currency=USD","Period=FQ","BEST_FPERIOD_OVERRIDE=FQ","FILING_STATUS=MR","Sort=A","Dates=H","DateFormat=P","Fill=—","Direction=H","UseDPDF=Y")</f>
        <v>0.7046</v>
      </c>
      <c r="E6" s="21">
        <f>_xll.BDH("AMZN US Equity","CASH_RATIO","FQ4 2011","FQ4 2011","Currency=USD","Period=FQ","BEST_FPERIOD_OVERRIDE=FQ","FILING_STATUS=MR","Sort=A","Dates=H","DateFormat=P","Fill=—","Direction=H","UseDPDF=Y")</f>
        <v>0.64290000000000003</v>
      </c>
      <c r="F6" s="21">
        <f>_xll.BDH("AMZN US Equity","CASH_RATIO","FQ1 2012","FQ1 2012","Currency=USD","Period=FQ","BEST_FPERIOD_OVERRIDE=FQ","FILING_STATUS=MR","Sort=A","Dates=H","DateFormat=P","Fill=—","Direction=H","UseDPDF=Y")</f>
        <v>0.54490000000000005</v>
      </c>
      <c r="G6" s="21">
        <f>_xll.BDH("AMZN US Equity","CASH_RATIO","FQ2 2012","FQ2 2012","Currency=USD","Period=FQ","BEST_FPERIOD_OVERRIDE=FQ","FILING_STATUS=MR","Sort=A","Dates=H","DateFormat=P","Fill=—","Direction=H","UseDPDF=Y")</f>
        <v>0.45329999999999998</v>
      </c>
      <c r="H6" s="21">
        <f>_xll.BDH("AMZN US Equity","CASH_RATIO","FQ3 2012","FQ3 2012","Currency=USD","Period=FQ","BEST_FPERIOD_OVERRIDE=FQ","FILING_STATUS=MR","Sort=A","Dates=H","DateFormat=P","Fill=—","Direction=H","UseDPDF=Y")</f>
        <v>0.4163</v>
      </c>
      <c r="I6" s="21">
        <f>_xll.BDH("AMZN US Equity","CASH_RATIO","FQ4 2012","FQ4 2012","Currency=USD","Period=FQ","BEST_FPERIOD_OVERRIDE=FQ","FILING_STATUS=MR","Sort=A","Dates=H","DateFormat=P","Fill=—","Direction=H","UseDPDF=Y")</f>
        <v>0.60250000000000004</v>
      </c>
      <c r="J6" s="21">
        <f>_xll.BDH("AMZN US Equity","CASH_RATIO","FQ1 2013","FQ1 2013","Currency=USD","Period=FQ","BEST_FPERIOD_OVERRIDE=FQ","FILING_STATUS=MR","Sort=A","Dates=H","DateFormat=P","Fill=—","Direction=H","UseDPDF=Y")</f>
        <v>0.55089999999999995</v>
      </c>
      <c r="K6" s="21">
        <f>_xll.BDH("AMZN US Equity","CASH_RATIO","FQ2 2013","FQ2 2013","Currency=USD","Period=FQ","BEST_FPERIOD_OVERRIDE=FQ","FILING_STATUS=MR","Sort=A","Dates=H","DateFormat=P","Fill=—","Direction=H","UseDPDF=Y")</f>
        <v>0.50649999999999995</v>
      </c>
      <c r="L6" s="21">
        <f>_xll.BDH("AMZN US Equity","CASH_RATIO","FQ3 2013","FQ3 2013","Currency=USD","Period=FQ","BEST_FPERIOD_OVERRIDE=FQ","FILING_STATUS=MR","Sort=A","Dates=H","DateFormat=P","Fill=—","Direction=H","UseDPDF=Y")</f>
        <v>0.47649999999999998</v>
      </c>
      <c r="M6" s="21">
        <f>_xll.BDH("AMZN US Equity","CASH_RATIO","FQ4 2013","FQ4 2013","Currency=USD","Period=FQ","BEST_FPERIOD_OVERRIDE=FQ","FILING_STATUS=MR","Sort=A","Dates=H","DateFormat=P","Fill=—","Direction=H","UseDPDF=Y")</f>
        <v>0.54159999999999997</v>
      </c>
      <c r="N6" s="21">
        <f>_xll.BDH("AMZN US Equity","CASH_RATIO","FQ1 2014","FQ1 2014","Currency=USD","Period=FQ","BEST_FPERIOD_OVERRIDE=FQ","FILING_STATUS=MR","Sort=A","Dates=H","DateFormat=P","Fill=—","Direction=H","UseDPDF=Y")</f>
        <v>0.47210000000000002</v>
      </c>
      <c r="O6" s="21">
        <f>_xll.BDH("AMZN US Equity","CASH_RATIO","FQ2 2014","FQ2 2014","Currency=USD","Period=FQ","BEST_FPERIOD_OVERRIDE=FQ","FILING_STATUS=MR","Sort=A","Dates=H","DateFormat=P","Fill=—","Direction=H","UseDPDF=Y")</f>
        <v>0.4259</v>
      </c>
      <c r="P6" s="21">
        <f>_xll.BDH("AMZN US Equity","CASH_RATIO","FQ3 2014","FQ3 2014","Currency=USD","Period=FQ","BEST_FPERIOD_OVERRIDE=FQ","FILING_STATUS=MR","Sort=A","Dates=H","DateFormat=P","Fill=—","Direction=H","UseDPDF=Y")</f>
        <v>0.33019999999999999</v>
      </c>
      <c r="Q6" s="21">
        <f>_xll.BDH("AMZN US Equity","CASH_RATIO","FQ4 2014","FQ4 2014","Currency=USD","Period=FQ","BEST_FPERIOD_OVERRIDE=FQ","FILING_STATUS=MR","Sort=A","Dates=H","DateFormat=P","Fill=—","Direction=H","UseDPDF=Y")</f>
        <v>0.62</v>
      </c>
      <c r="R6" s="21">
        <f>_xll.BDH("AMZN US Equity","CASH_RATIO","FQ1 2015","FQ1 2015","Currency=USD","Period=FQ","BEST_FPERIOD_OVERRIDE=FQ","FILING_STATUS=MR","Sort=A","Dates=H","DateFormat=P","Fill=—","Direction=H","UseDPDF=Y")</f>
        <v>0.59460000000000002</v>
      </c>
      <c r="S6" s="21">
        <f>_xll.BDH("AMZN US Equity","CASH_RATIO","FQ2 2015","FQ2 2015","Currency=USD","Period=FQ","BEST_FPERIOD_OVERRIDE=FQ","FILING_STATUS=MR","Sort=A","Dates=H","DateFormat=P","Fill=—","Direction=H","UseDPDF=Y")</f>
        <v>0.58550000000000002</v>
      </c>
      <c r="T6" s="21">
        <f>_xll.BDH("AMZN US Equity","CASH_RATIO","FQ3 2015","FQ3 2015","Currency=USD","Period=FQ","BEST_FPERIOD_OVERRIDE=FQ","FILING_STATUS=MR","Sort=A","Dates=H","DateFormat=P","Fill=—","Direction=H","UseDPDF=Y")</f>
        <v>0.54120000000000001</v>
      </c>
      <c r="U6" s="21">
        <f>_xll.BDH("AMZN US Equity","CASH_RATIO","FQ4 2015","FQ4 2015","Currency=USD","Period=FQ","BEST_FPERIOD_OVERRIDE=FQ","FILING_STATUS=MR","Sort=A","Dates=H","DateFormat=P","Fill=—","Direction=H","UseDPDF=Y")</f>
        <v>0.58450000000000002</v>
      </c>
      <c r="V6" s="21">
        <f>_xll.BDH("AMZN US Equity","CASH_RATIO","FQ1 2016","FQ1 2016","Currency=USD","Period=FQ","BEST_FPERIOD_OVERRIDE=FQ","FILING_STATUS=MR","Sort=A","Dates=H","DateFormat=P","Fill=—","Direction=H","UseDPDF=Y")</f>
        <v>0.56259999999999999</v>
      </c>
      <c r="W6" s="21">
        <f>_xll.BDH("AMZN US Equity","CASH_RATIO","FQ2 2016","FQ2 2016","Currency=USD","Period=FQ","BEST_FPERIOD_OVERRIDE=FQ","FILING_STATUS=MR","Sort=A","Dates=H","DateFormat=P","Fill=—","Direction=H","UseDPDF=Y")</f>
        <v>0.55900000000000005</v>
      </c>
      <c r="X6" s="21">
        <f>_xll.BDH("AMZN US Equity","CASH_RATIO","FQ3 2016","FQ3 2016","Currency=USD","Period=FQ","BEST_FPERIOD_OVERRIDE=FQ","FILING_STATUS=MR","Sort=A","Dates=H","DateFormat=P","Fill=—","Direction=H","UseDPDF=Y")</f>
        <v>0.54769999999999996</v>
      </c>
      <c r="Y6" s="21">
        <f>_xll.BDH("AMZN US Equity","CASH_RATIO","FQ4 2016","FQ4 2016","Currency=USD","Period=FQ","BEST_FPERIOD_OVERRIDE=FQ","FILING_STATUS=MR","Sort=A","Dates=H","DateFormat=P","Fill=—","Direction=H","UseDPDF=Y")</f>
        <v>0.59299999999999997</v>
      </c>
      <c r="Z6" s="21">
        <f>_xll.BDH("AMZN US Equity","CASH_RATIO","FQ1 2017","FQ1 2017","Currency=USD","Period=FQ","BEST_FPERIOD_OVERRIDE=FQ","FILING_STATUS=MR","Sort=A","Dates=H","DateFormat=P","Fill=—","Direction=H","UseDPDF=Y")</f>
        <v>0.57569999999999999</v>
      </c>
      <c r="AA6" s="21">
        <f>_xll.BDH("AMZN US Equity","CASH_RATIO","FQ2 2017","FQ2 2017","Currency=USD","Period=FQ","BEST_FPERIOD_OVERRIDE=FQ","FILING_STATUS=MR","Sort=A","Dates=H","DateFormat=P","Fill=—","Direction=H","UseDPDF=Y")</f>
        <v>0.52939999999999998</v>
      </c>
      <c r="AB6" s="21">
        <f>_xll.BDH("AMZN US Equity","CASH_RATIO","FQ3 2017","FQ3 2017","Currency=USD","Period=FQ","BEST_FPERIOD_OVERRIDE=FQ","FILING_STATUS=MR","Sort=A","Dates=H","DateFormat=P","Fill=—","Direction=H","UseDPDF=Y")</f>
        <v>0.51639999999999997</v>
      </c>
      <c r="AC6" s="21">
        <f>_xll.BDH("AMZN US Equity","CASH_RATIO","FQ4 2017","FQ4 2017","Currency=USD","Period=FQ","BEST_FPERIOD_OVERRIDE=FQ","FILING_STATUS=MR","Sort=A","Dates=H","DateFormat=P","Fill=—","Direction=H","UseDPDF=Y")</f>
        <v>0.5353</v>
      </c>
      <c r="AD6" s="21">
        <f>_xll.BDH("AMZN US Equity","CASH_RATIO","FQ1 2018","FQ1 2018","Currency=USD","Period=FQ","BEST_FPERIOD_OVERRIDE=FQ","FILING_STATUS=MR","Sort=A","Dates=H","DateFormat=P","Fill=—","Direction=H","UseDPDF=Y")</f>
        <v>0.51959999999999995</v>
      </c>
      <c r="AE6" s="21">
        <f>_xll.BDH("AMZN US Equity","CASH_RATIO","FQ2 2018","FQ2 2018","Currency=USD","Period=FQ","BEST_FPERIOD_OVERRIDE=FQ","FILING_STATUS=MR","Sort=A","Dates=H","DateFormat=P","Fill=—","Direction=H","UseDPDF=Y")</f>
        <v>0.53249999999999997</v>
      </c>
      <c r="AF6" s="21">
        <f>_xll.BDH("AMZN US Equity","CASH_RATIO","FQ3 2018","FQ3 2018","Currency=USD","Period=FQ","BEST_FPERIOD_OVERRIDE=FQ","FILING_STATUS=MR","Sort=A","Dates=H","DateFormat=P","Fill=—","Direction=H","UseDPDF=Y")</f>
        <v>0.53800000000000003</v>
      </c>
      <c r="AG6" s="21">
        <f>_xll.BDH("AMZN US Equity","CASH_RATIO","FQ4 2018","FQ4 2018","Currency=USD","Period=FQ","BEST_FPERIOD_OVERRIDE=FQ","FILING_STATUS=MR","Sort=A","Dates=H","DateFormat=P","Fill=—","Direction=H","UseDPDF=Y")</f>
        <v>0.60309999999999997</v>
      </c>
      <c r="AH6" s="21">
        <f>_xll.BDH("AMZN US Equity","CASH_RATIO","FQ1 2019","FQ1 2019","Currency=USD","Period=FQ","BEST_FPERIOD_OVERRIDE=FQ","FILING_STATUS=MR","Sort=A","Dates=H","DateFormat=P","Fill=—","Direction=H","UseDPDF=Y")</f>
        <v>0.58120000000000005</v>
      </c>
      <c r="AI6" s="21">
        <f>_xll.BDH("AMZN US Equity","CASH_RATIO","FQ2 2019","FQ2 2019","Currency=USD","Period=FQ","BEST_FPERIOD_OVERRIDE=FQ","FILING_STATUS=MR","Sort=A","Dates=H","DateFormat=P","Fill=—","Direction=H","UseDPDF=Y")</f>
        <v>0.59509999999999996</v>
      </c>
      <c r="AJ6" s="21">
        <f>_xll.BDH("AMZN US Equity","CASH_RATIO","FQ3 2019","FQ3 2019","Currency=USD","Period=FQ","BEST_FPERIOD_OVERRIDE=FQ","FILING_STATUS=MR","Sort=A","Dates=H","DateFormat=P","Fill=—","Direction=H","UseDPDF=Y")</f>
        <v>0.60170000000000001</v>
      </c>
      <c r="AK6" s="21">
        <f>_xll.BDH("AMZN US Equity","CASH_RATIO","FQ4 2019","FQ4 2019","Currency=USD","Period=FQ","BEST_FPERIOD_OVERRIDE=FQ","FILING_STATUS=MR","Sort=A","Dates=H","DateFormat=P","Fill=—","Direction=H","UseDPDF=Y")</f>
        <v>0.62660000000000005</v>
      </c>
      <c r="AL6" s="21">
        <f>_xll.BDH("AMZN US Equity","CASH_RATIO","FQ1 2020","FQ1 2020","Currency=USD","Period=FQ","BEST_FPERIOD_OVERRIDE=FQ","FILING_STATUS=MR","Sort=A","Dates=H","DateFormat=P","Fill=—","Direction=H","UseDPDF=Y")</f>
        <v>0.61839999999999995</v>
      </c>
      <c r="AM6" s="21">
        <f>_xll.BDH("AMZN US Equity","CASH_RATIO","FQ2 2020","FQ2 2020","Currency=USD","Period=FQ","BEST_FPERIOD_OVERRIDE=FQ","FILING_STATUS=MR","Sort=A","Dates=H","DateFormat=P","Fill=—","Direction=H","UseDPDF=Y")</f>
        <v>0.76029999999999998</v>
      </c>
      <c r="AN6" s="21">
        <f>_xll.BDH("AMZN US Equity","CASH_RATIO","FQ3 2020","FQ3 2020","Currency=USD","Period=FQ","BEST_FPERIOD_OVERRIDE=FQ","FILING_STATUS=MR","Sort=A","Dates=H","DateFormat=P","Fill=—","Direction=H","UseDPDF=Y")</f>
        <v>0.67120000000000002</v>
      </c>
      <c r="AO6" s="21">
        <f>_xll.BDH("AMZN US Equity","CASH_RATIO","FQ4 2020","FQ4 2020","Currency=USD","Period=FQ","BEST_FPERIOD_OVERRIDE=FQ","FILING_STATUS=MR","Sort=A","Dates=H","DateFormat=P","Fill=—","Direction=H","UseDPDF=Y")</f>
        <v>0.66779999999999995</v>
      </c>
      <c r="AP6" s="21">
        <f>_xll.BDH("AMZN US Equity","CASH_RATIO","FQ1 2021","FQ1 2021","Currency=USD","Period=FQ","BEST_FPERIOD_OVERRIDE=FQ","FILING_STATUS=MR","Sort=A","Dates=H","DateFormat=P","Fill=—","Direction=H","UseDPDF=Y")</f>
        <v>0.63490000000000002</v>
      </c>
    </row>
    <row r="7" spans="1:42" x14ac:dyDescent="0.25">
      <c r="A7" s="7" t="s">
        <v>87</v>
      </c>
      <c r="B7" s="7" t="s">
        <v>195</v>
      </c>
      <c r="C7" s="23">
        <v>-18.810794366011901</v>
      </c>
      <c r="D7" s="23">
        <v>-23.672109340217101</v>
      </c>
      <c r="E7" s="23">
        <v>-23.901895654932598</v>
      </c>
      <c r="F7" s="23">
        <v>-38.785937036604302</v>
      </c>
      <c r="G7" s="23">
        <v>-42.615060536856298</v>
      </c>
      <c r="H7" s="23">
        <v>-40.911651961152998</v>
      </c>
      <c r="I7" s="23">
        <v>-6.28351250744723</v>
      </c>
      <c r="J7" s="23">
        <v>1.09321206515597</v>
      </c>
      <c r="K7" s="23">
        <v>11.7314726164897</v>
      </c>
      <c r="L7" s="23">
        <v>14.4589917447873</v>
      </c>
      <c r="M7" s="23">
        <v>-10.0948937943077</v>
      </c>
      <c r="N7" s="23">
        <v>-14.301870694271701</v>
      </c>
      <c r="O7" s="23">
        <v>-15.9105672275959</v>
      </c>
      <c r="P7" s="23">
        <v>-30.699287785756599</v>
      </c>
      <c r="Q7" s="23">
        <v>14.471471166539001</v>
      </c>
      <c r="R7" s="23">
        <v>25.952537806012099</v>
      </c>
      <c r="S7" s="23">
        <v>37.479719274848101</v>
      </c>
      <c r="T7" s="23">
        <v>63.891269262097801</v>
      </c>
      <c r="U7" s="23">
        <v>-5.7252160786027799</v>
      </c>
      <c r="V7" s="23">
        <v>-5.3755646672205399</v>
      </c>
      <c r="W7" s="23">
        <v>-4.5246805414655604</v>
      </c>
      <c r="X7" s="23">
        <v>1.1931727901915099</v>
      </c>
      <c r="Y7" s="23">
        <v>1.44149754247421</v>
      </c>
      <c r="Z7" s="23">
        <v>2.324064446755</v>
      </c>
      <c r="AA7" s="23">
        <v>-5.3013349933545504</v>
      </c>
      <c r="AB7" s="23">
        <v>-5.7076450053313401</v>
      </c>
      <c r="AC7" s="23">
        <v>-9.7200977473914492</v>
      </c>
      <c r="AD7" s="23">
        <v>-9.7507256244886698</v>
      </c>
      <c r="AE7" s="23">
        <v>0.58123171254625505</v>
      </c>
      <c r="AF7" s="23">
        <v>4.1764531613363101</v>
      </c>
      <c r="AG7" s="23">
        <v>12.6707153278126</v>
      </c>
      <c r="AH7" s="23">
        <v>11.8620025982774</v>
      </c>
      <c r="AI7" s="23">
        <v>11.7557796683381</v>
      </c>
      <c r="AJ7" s="23">
        <v>11.82929005301</v>
      </c>
      <c r="AK7" s="23">
        <v>3.8841084307386402</v>
      </c>
      <c r="AL7" s="23">
        <v>6.3965162153931399</v>
      </c>
      <c r="AM7" s="23">
        <v>27.770701065091899</v>
      </c>
      <c r="AN7" s="23">
        <v>11.556789189818099</v>
      </c>
      <c r="AO7" s="23">
        <v>6.5741321497597101</v>
      </c>
      <c r="AP7" s="23">
        <v>2.6708323630624302</v>
      </c>
    </row>
    <row r="8" spans="1:42" x14ac:dyDescent="0.25">
      <c r="A8" s="8" t="s">
        <v>194</v>
      </c>
      <c r="B8" s="8" t="s">
        <v>193</v>
      </c>
      <c r="C8" s="21">
        <f>_xll.BDH("AMZN US Equity","CUR_RATIO","FQ2 2011","FQ2 2011","Currency=USD","Period=FQ","BEST_FPERIOD_OVERRIDE=FQ","FILING_STATUS=MR","Sort=A","Dates=H","DateFormat=P","Fill=—","Direction=H","UseDPDF=Y")</f>
        <v>1.4020000000000001</v>
      </c>
      <c r="D8" s="21">
        <f>_xll.BDH("AMZN US Equity","CUR_RATIO","FQ3 2011","FQ3 2011","Currency=USD","Period=FQ","BEST_FPERIOD_OVERRIDE=FQ","FILING_STATUS=MR","Sort=A","Dates=H","DateFormat=P","Fill=—","Direction=H","UseDPDF=Y")</f>
        <v>1.3259000000000001</v>
      </c>
      <c r="E8" s="21">
        <f>_xll.BDH("AMZN US Equity","CUR_RATIO","FQ4 2011","FQ4 2011","Currency=USD","Period=FQ","BEST_FPERIOD_OVERRIDE=FQ","FILING_STATUS=MR","Sort=A","Dates=H","DateFormat=P","Fill=—","Direction=H","UseDPDF=Y")</f>
        <v>1.1740999999999999</v>
      </c>
      <c r="F8" s="21">
        <f>_xll.BDH("AMZN US Equity","CUR_RATIO","FQ1 2012","FQ1 2012","Currency=USD","Period=FQ","BEST_FPERIOD_OVERRIDE=FQ","FILING_STATUS=MR","Sort=A","Dates=H","DateFormat=P","Fill=—","Direction=H","UseDPDF=Y")</f>
        <v>1.1588000000000001</v>
      </c>
      <c r="G8" s="21">
        <f>_xll.BDH("AMZN US Equity","CUR_RATIO","FQ2 2012","FQ2 2012","Currency=USD","Period=FQ","BEST_FPERIOD_OVERRIDE=FQ","FILING_STATUS=MR","Sort=A","Dates=H","DateFormat=P","Fill=—","Direction=H","UseDPDF=Y")</f>
        <v>1.0756000000000001</v>
      </c>
      <c r="H8" s="21">
        <f>_xll.BDH("AMZN US Equity","CUR_RATIO","FQ3 2012","FQ3 2012","Currency=USD","Period=FQ","BEST_FPERIOD_OVERRIDE=FQ","FILING_STATUS=MR","Sort=A","Dates=H","DateFormat=P","Fill=—","Direction=H","UseDPDF=Y")</f>
        <v>1.0407</v>
      </c>
      <c r="I8" s="21">
        <f>_xll.BDH("AMZN US Equity","CUR_RATIO","FQ4 2012","FQ4 2012","Currency=USD","Period=FQ","BEST_FPERIOD_OVERRIDE=FQ","FILING_STATUS=MR","Sort=A","Dates=H","DateFormat=P","Fill=—","Direction=H","UseDPDF=Y")</f>
        <v>1.1207</v>
      </c>
      <c r="J8" s="21">
        <f>_xll.BDH("AMZN US Equity","CUR_RATIO","FQ1 2013","FQ1 2013","Currency=USD","Period=FQ","BEST_FPERIOD_OVERRIDE=FQ","FILING_STATUS=MR","Sort=A","Dates=H","DateFormat=P","Fill=—","Direction=H","UseDPDF=Y")</f>
        <v>1.1381999999999999</v>
      </c>
      <c r="K8" s="21">
        <f>_xll.BDH("AMZN US Equity","CUR_RATIO","FQ2 2013","FQ2 2013","Currency=USD","Period=FQ","BEST_FPERIOD_OVERRIDE=FQ","FILING_STATUS=MR","Sort=A","Dates=H","DateFormat=P","Fill=—","Direction=H","UseDPDF=Y")</f>
        <v>1.1052</v>
      </c>
      <c r="L8" s="21">
        <f>_xll.BDH("AMZN US Equity","CUR_RATIO","FQ3 2013","FQ3 2013","Currency=USD","Period=FQ","BEST_FPERIOD_OVERRIDE=FQ","FILING_STATUS=MR","Sort=A","Dates=H","DateFormat=P","Fill=—","Direction=H","UseDPDF=Y")</f>
        <v>1.0743</v>
      </c>
      <c r="M8" s="21">
        <f>_xll.BDH("AMZN US Equity","CUR_RATIO","FQ4 2013","FQ4 2013","Currency=USD","Period=FQ","BEST_FPERIOD_OVERRIDE=FQ","FILING_STATUS=MR","Sort=A","Dates=H","DateFormat=P","Fill=—","Direction=H","UseDPDF=Y")</f>
        <v>1.0716000000000001</v>
      </c>
      <c r="N8" s="21">
        <f>_xll.BDH("AMZN US Equity","CUR_RATIO","FQ1 2014","FQ1 2014","Currency=USD","Period=FQ","BEST_FPERIOD_OVERRIDE=FQ","FILING_STATUS=MR","Sort=A","Dates=H","DateFormat=P","Fill=—","Direction=H","UseDPDF=Y")</f>
        <v>1.0528</v>
      </c>
      <c r="O8" s="21">
        <f>_xll.BDH("AMZN US Equity","CUR_RATIO","FQ2 2014","FQ2 2014","Currency=USD","Period=FQ","BEST_FPERIOD_OVERRIDE=FQ","FILING_STATUS=MR","Sort=A","Dates=H","DateFormat=P","Fill=—","Direction=H","UseDPDF=Y")</f>
        <v>1.0002</v>
      </c>
      <c r="P8" s="21">
        <f>_xll.BDH("AMZN US Equity","CUR_RATIO","FQ3 2014","FQ3 2014","Currency=USD","Period=FQ","BEST_FPERIOD_OVERRIDE=FQ","FILING_STATUS=MR","Sort=A","Dates=H","DateFormat=P","Fill=—","Direction=H","UseDPDF=Y")</f>
        <v>0.8911</v>
      </c>
      <c r="Q8" s="21">
        <f>_xll.BDH("AMZN US Equity","CUR_RATIO","FQ4 2014","FQ4 2014","Currency=USD","Period=FQ","BEST_FPERIOD_OVERRIDE=FQ","FILING_STATUS=MR","Sort=A","Dates=H","DateFormat=P","Fill=—","Direction=H","UseDPDF=Y")</f>
        <v>1.1153</v>
      </c>
      <c r="R8" s="21">
        <f>_xll.BDH("AMZN US Equity","CUR_RATIO","FQ1 2015","FQ1 2015","Currency=USD","Period=FQ","BEST_FPERIOD_OVERRIDE=FQ","FILING_STATUS=MR","Sort=A","Dates=H","DateFormat=P","Fill=—","Direction=H","UseDPDF=Y")</f>
        <v>1.1184000000000001</v>
      </c>
      <c r="S8" s="21">
        <f>_xll.BDH("AMZN US Equity","CUR_RATIO","FQ2 2015","FQ2 2015","Currency=USD","Period=FQ","BEST_FPERIOD_OVERRIDE=FQ","FILING_STATUS=MR","Sort=A","Dates=H","DateFormat=P","Fill=—","Direction=H","UseDPDF=Y")</f>
        <v>1.1036999999999999</v>
      </c>
      <c r="T8" s="21">
        <f>_xll.BDH("AMZN US Equity","CUR_RATIO","FQ3 2015","FQ3 2015","Currency=USD","Period=FQ","BEST_FPERIOD_OVERRIDE=FQ","FILING_STATUS=MR","Sort=A","Dates=H","DateFormat=P","Fill=—","Direction=H","UseDPDF=Y")</f>
        <v>1.0822000000000001</v>
      </c>
      <c r="U8" s="21">
        <f>_xll.BDH("AMZN US Equity","CUR_RATIO","FQ4 2015","FQ4 2015","Currency=USD","Period=FQ","BEST_FPERIOD_OVERRIDE=FQ","FILING_STATUS=MR","Sort=A","Dates=H","DateFormat=P","Fill=—","Direction=H","UseDPDF=Y")</f>
        <v>1.0536000000000001</v>
      </c>
      <c r="V8" s="21">
        <f>_xll.BDH("AMZN US Equity","CUR_RATIO","FQ1 2016","FQ1 2016","Currency=USD","Period=FQ","BEST_FPERIOD_OVERRIDE=FQ","FILING_STATUS=MR","Sort=A","Dates=H","DateFormat=P","Fill=—","Direction=H","UseDPDF=Y")</f>
        <v>1.0825</v>
      </c>
      <c r="W8" s="21">
        <f>_xll.BDH("AMZN US Equity","CUR_RATIO","FQ2 2016","FQ2 2016","Currency=USD","Period=FQ","BEST_FPERIOD_OVERRIDE=FQ","FILING_STATUS=MR","Sort=A","Dates=H","DateFormat=P","Fill=—","Direction=H","UseDPDF=Y")</f>
        <v>1.089</v>
      </c>
      <c r="X8" s="21">
        <f>_xll.BDH("AMZN US Equity","CUR_RATIO","FQ3 2016","FQ3 2016","Currency=USD","Period=FQ","BEST_FPERIOD_OVERRIDE=FQ","FILING_STATUS=MR","Sort=A","Dates=H","DateFormat=P","Fill=—","Direction=H","UseDPDF=Y")</f>
        <v>1.0629999999999999</v>
      </c>
      <c r="Y8" s="21">
        <f>_xll.BDH("AMZN US Equity","CUR_RATIO","FQ4 2016","FQ4 2016","Currency=USD","Period=FQ","BEST_FPERIOD_OVERRIDE=FQ","FILING_STATUS=MR","Sort=A","Dates=H","DateFormat=P","Fill=—","Direction=H","UseDPDF=Y")</f>
        <v>1.0448</v>
      </c>
      <c r="Z8" s="21">
        <f>_xll.BDH("AMZN US Equity","CUR_RATIO","FQ1 2017","FQ1 2017","Currency=USD","Period=FQ","BEST_FPERIOD_OVERRIDE=FQ","FILING_STATUS=MR","Sort=A","Dates=H","DateFormat=P","Fill=—","Direction=H","UseDPDF=Y")</f>
        <v>1.0550999999999999</v>
      </c>
      <c r="AA8" s="21">
        <f>_xll.BDH("AMZN US Equity","CUR_RATIO","FQ2 2017","FQ2 2017","Currency=USD","Period=FQ","BEST_FPERIOD_OVERRIDE=FQ","FILING_STATUS=MR","Sort=A","Dates=H","DateFormat=P","Fill=—","Direction=H","UseDPDF=Y")</f>
        <v>1.012</v>
      </c>
      <c r="AB8" s="21">
        <f>_xll.BDH("AMZN US Equity","CUR_RATIO","FQ3 2017","FQ3 2017","Currency=USD","Period=FQ","BEST_FPERIOD_OVERRIDE=FQ","FILING_STATUS=MR","Sort=A","Dates=H","DateFormat=P","Fill=—","Direction=H","UseDPDF=Y")</f>
        <v>1.032</v>
      </c>
      <c r="AC8" s="21">
        <f>_xll.BDH("AMZN US Equity","CUR_RATIO","FQ4 2017","FQ4 2017","Currency=USD","Period=FQ","BEST_FPERIOD_OVERRIDE=FQ","FILING_STATUS=MR","Sort=A","Dates=H","DateFormat=P","Fill=—","Direction=H","UseDPDF=Y")</f>
        <v>1.04</v>
      </c>
      <c r="AD8" s="21">
        <f>_xll.BDH("AMZN US Equity","CUR_RATIO","FQ1 2018","FQ1 2018","Currency=USD","Period=FQ","BEST_FPERIOD_OVERRIDE=FQ","FILING_STATUS=MR","Sort=A","Dates=H","DateFormat=P","Fill=—","Direction=H","UseDPDF=Y")</f>
        <v>1.0579000000000001</v>
      </c>
      <c r="AE8" s="21">
        <f>_xll.BDH("AMZN US Equity","CUR_RATIO","FQ2 2018","FQ2 2018","Currency=USD","Period=FQ","BEST_FPERIOD_OVERRIDE=FQ","FILING_STATUS=MR","Sort=A","Dates=H","DateFormat=P","Fill=—","Direction=H","UseDPDF=Y")</f>
        <v>1.0724</v>
      </c>
      <c r="AF8" s="21">
        <f>_xll.BDH("AMZN US Equity","CUR_RATIO","FQ3 2018","FQ3 2018","Currency=USD","Period=FQ","BEST_FPERIOD_OVERRIDE=FQ","FILING_STATUS=MR","Sort=A","Dates=H","DateFormat=P","Fill=—","Direction=H","UseDPDF=Y")</f>
        <v>1.0824</v>
      </c>
      <c r="AG8" s="21">
        <f>_xll.BDH("AMZN US Equity","CUR_RATIO","FQ4 2018","FQ4 2018","Currency=USD","Period=FQ","BEST_FPERIOD_OVERRIDE=FQ","FILING_STATUS=MR","Sort=A","Dates=H","DateFormat=P","Fill=—","Direction=H","UseDPDF=Y")</f>
        <v>1.0981000000000001</v>
      </c>
      <c r="AH8" s="21">
        <f>_xll.BDH("AMZN US Equity","CUR_RATIO","FQ1 2019","FQ1 2019","Currency=USD","Period=FQ","BEST_FPERIOD_OVERRIDE=FQ","FILING_STATUS=MR","Sort=A","Dates=H","DateFormat=P","Fill=—","Direction=H","UseDPDF=Y")</f>
        <v>1.0901000000000001</v>
      </c>
      <c r="AI8" s="21">
        <f>_xll.BDH("AMZN US Equity","CUR_RATIO","FQ2 2019","FQ2 2019","Currency=USD","Period=FQ","BEST_FPERIOD_OVERRIDE=FQ","FILING_STATUS=MR","Sort=A","Dates=H","DateFormat=P","Fill=—","Direction=H","UseDPDF=Y")</f>
        <v>1.1021000000000001</v>
      </c>
      <c r="AJ8" s="21">
        <f>_xll.BDH("AMZN US Equity","CUR_RATIO","FQ3 2019","FQ3 2019","Currency=USD","Period=FQ","BEST_FPERIOD_OVERRIDE=FQ","FILING_STATUS=MR","Sort=A","Dates=H","DateFormat=P","Fill=—","Direction=H","UseDPDF=Y")</f>
        <v>1.0959000000000001</v>
      </c>
      <c r="AK8" s="21">
        <f>_xll.BDH("AMZN US Equity","CUR_RATIO","FQ4 2019","FQ4 2019","Currency=USD","Period=FQ","BEST_FPERIOD_OVERRIDE=FQ","FILING_STATUS=MR","Sort=A","Dates=H","DateFormat=P","Fill=—","Direction=H","UseDPDF=Y")</f>
        <v>1.097</v>
      </c>
      <c r="AL8" s="21">
        <f>_xll.BDH("AMZN US Equity","CUR_RATIO","FQ1 2020","FQ1 2020","Currency=USD","Period=FQ","BEST_FPERIOD_OVERRIDE=FQ","FILING_STATUS=MR","Sort=A","Dates=H","DateFormat=P","Fill=—","Direction=H","UseDPDF=Y")</f>
        <v>1.0787</v>
      </c>
      <c r="AM8" s="21">
        <f>_xll.BDH("AMZN US Equity","CUR_RATIO","FQ2 2020","FQ2 2020","Currency=USD","Period=FQ","BEST_FPERIOD_OVERRIDE=FQ","FILING_STATUS=MR","Sort=A","Dates=H","DateFormat=P","Fill=—","Direction=H","UseDPDF=Y")</f>
        <v>1.1812</v>
      </c>
      <c r="AN8" s="21">
        <f>_xll.BDH("AMZN US Equity","CUR_RATIO","FQ3 2020","FQ3 2020","Currency=USD","Period=FQ","BEST_FPERIOD_OVERRIDE=FQ","FILING_STATUS=MR","Sort=A","Dates=H","DateFormat=P","Fill=—","Direction=H","UseDPDF=Y")</f>
        <v>1.1085</v>
      </c>
      <c r="AO8" s="21">
        <f>_xll.BDH("AMZN US Equity","CUR_RATIO","FQ4 2020","FQ4 2020","Currency=USD","Period=FQ","BEST_FPERIOD_OVERRIDE=FQ","FILING_STATUS=MR","Sort=A","Dates=H","DateFormat=P","Fill=—","Direction=H","UseDPDF=Y")</f>
        <v>1.0502</v>
      </c>
      <c r="AP8" s="21">
        <f>_xll.BDH("AMZN US Equity","CUR_RATIO","FQ1 2021","FQ1 2021","Currency=USD","Period=FQ","BEST_FPERIOD_OVERRIDE=FQ","FILING_STATUS=MR","Sort=A","Dates=H","DateFormat=P","Fill=—","Direction=H","UseDPDF=Y")</f>
        <v>1.052</v>
      </c>
    </row>
    <row r="9" spans="1:42" x14ac:dyDescent="0.25">
      <c r="A9" s="7" t="s">
        <v>87</v>
      </c>
      <c r="B9" s="7" t="s">
        <v>193</v>
      </c>
      <c r="C9" s="23">
        <v>-9.3318441737169007</v>
      </c>
      <c r="D9" s="23">
        <v>-11.573769332909199</v>
      </c>
      <c r="E9" s="23">
        <v>-11.411994160231499</v>
      </c>
      <c r="F9" s="23">
        <v>-20.642340365065699</v>
      </c>
      <c r="G9" s="23">
        <v>-23.279640567793301</v>
      </c>
      <c r="H9" s="23">
        <v>-21.510542209565099</v>
      </c>
      <c r="I9" s="23">
        <v>-4.54945360054713</v>
      </c>
      <c r="J9" s="23">
        <v>-1.7798710443474901</v>
      </c>
      <c r="K9" s="23">
        <v>2.7501578172777901</v>
      </c>
      <c r="L9" s="23">
        <v>3.2298515035101598</v>
      </c>
      <c r="M9" s="23">
        <v>-4.3846656268626303</v>
      </c>
      <c r="N9" s="23">
        <v>-7.5012607382391296</v>
      </c>
      <c r="O9" s="23">
        <v>-9.4987115360950796</v>
      </c>
      <c r="P9" s="23">
        <v>-17.055210269651901</v>
      </c>
      <c r="Q9" s="23">
        <v>4.0773285155433303</v>
      </c>
      <c r="R9" s="23">
        <v>6.2302854847028302</v>
      </c>
      <c r="S9" s="23">
        <v>10.3436967925832</v>
      </c>
      <c r="T9" s="23">
        <v>21.4508155787607</v>
      </c>
      <c r="U9" s="23">
        <v>-5.5257174008944796</v>
      </c>
      <c r="V9" s="23">
        <v>-3.2112700234971001</v>
      </c>
      <c r="W9" s="23">
        <v>-1.33010532114614</v>
      </c>
      <c r="X9" s="23">
        <v>-1.77513097955149</v>
      </c>
      <c r="Y9" s="23">
        <v>-0.83538256098567698</v>
      </c>
      <c r="Z9" s="23">
        <v>-2.5322395891068998</v>
      </c>
      <c r="AA9" s="23">
        <v>-7.0682796567835204</v>
      </c>
      <c r="AB9" s="23">
        <v>-2.9185743622644398</v>
      </c>
      <c r="AC9" s="23">
        <v>-0.46609695007978702</v>
      </c>
      <c r="AD9" s="23">
        <v>0.26897720422934102</v>
      </c>
      <c r="AE9" s="23">
        <v>5.9703424540448404</v>
      </c>
      <c r="AF9" s="23">
        <v>4.8884005139564604</v>
      </c>
      <c r="AG9" s="23">
        <v>5.5900274717613998</v>
      </c>
      <c r="AH9" s="23">
        <v>3.0349375109882799</v>
      </c>
      <c r="AI9" s="23">
        <v>2.7628585282160301</v>
      </c>
      <c r="AJ9" s="23">
        <v>1.24348463936174</v>
      </c>
      <c r="AK9" s="23">
        <v>-9.6893577340012096E-2</v>
      </c>
      <c r="AL9" s="23">
        <v>-1.0407741267863899</v>
      </c>
      <c r="AM9" s="23">
        <v>7.1782191693812401</v>
      </c>
      <c r="AN9" s="23">
        <v>1.1491903473120799</v>
      </c>
      <c r="AO9" s="23">
        <v>-4.2679080587175804</v>
      </c>
      <c r="AP9" s="23">
        <v>-2.4736050222998101</v>
      </c>
    </row>
    <row r="10" spans="1:42" x14ac:dyDescent="0.25">
      <c r="A10" s="8" t="s">
        <v>192</v>
      </c>
      <c r="B10" s="8" t="s">
        <v>191</v>
      </c>
      <c r="C10" s="21">
        <f>_xll.BDH("AMZN US Equity","QUICK_RATIO","FQ2 2011","FQ2 2011","Currency=USD","Period=FQ","BEST_FPERIOD_OVERRIDE=FQ","FILING_STATUS=MR","Sort=A","Dates=H","DateFormat=P","Fill=—","Direction=H","UseDPDF=Y")</f>
        <v>0.96870000000000001</v>
      </c>
      <c r="D10" s="21">
        <f>_xll.BDH("AMZN US Equity","QUICK_RATIO","FQ3 2011","FQ3 2011","Currency=USD","Period=FQ","BEST_FPERIOD_OVERRIDE=FQ","FILING_STATUS=MR","Sort=A","Dates=H","DateFormat=P","Fill=—","Direction=H","UseDPDF=Y")</f>
        <v>0.87119999999999997</v>
      </c>
      <c r="E10" s="21">
        <f>_xll.BDH("AMZN US Equity","QUICK_RATIO","FQ4 2011","FQ4 2011","Currency=USD","Period=FQ","BEST_FPERIOD_OVERRIDE=FQ","FILING_STATUS=MR","Sort=A","Dates=H","DateFormat=P","Fill=—","Direction=H","UseDPDF=Y")</f>
        <v>0.8155</v>
      </c>
      <c r="F10" s="21">
        <f>_xll.BDH("AMZN US Equity","QUICK_RATIO","FQ1 2012","FQ1 2012","Currency=USD","Period=FQ","BEST_FPERIOD_OVERRIDE=FQ","FILING_STATUS=MR","Sort=A","Dates=H","DateFormat=P","Fill=—","Direction=H","UseDPDF=Y")</f>
        <v>0.71779999999999999</v>
      </c>
      <c r="G10" s="21">
        <f>_xll.BDH("AMZN US Equity","QUICK_RATIO","FQ2 2012","FQ2 2012","Currency=USD","Period=FQ","BEST_FPERIOD_OVERRIDE=FQ","FILING_STATUS=MR","Sort=A","Dates=H","DateFormat=P","Fill=—","Direction=H","UseDPDF=Y")</f>
        <v>0.63890000000000002</v>
      </c>
      <c r="H10" s="21">
        <f>_xll.BDH("AMZN US Equity","QUICK_RATIO","FQ3 2012","FQ3 2012","Currency=USD","Period=FQ","BEST_FPERIOD_OVERRIDE=FQ","FILING_STATUS=MR","Sort=A","Dates=H","DateFormat=P","Fill=—","Direction=H","UseDPDF=Y")</f>
        <v>0.60609999999999997</v>
      </c>
      <c r="I10" s="21">
        <f>_xll.BDH("AMZN US Equity","QUICK_RATIO","FQ4 2012","FQ4 2012","Currency=USD","Period=FQ","BEST_FPERIOD_OVERRIDE=FQ","FILING_STATUS=MR","Sort=A","Dates=H","DateFormat=P","Fill=—","Direction=H","UseDPDF=Y")</f>
        <v>0.77949999999999997</v>
      </c>
      <c r="J10" s="21">
        <f>_xll.BDH("AMZN US Equity","QUICK_RATIO","FQ1 2013","FQ1 2013","Currency=USD","Period=FQ","BEST_FPERIOD_OVERRIDE=FQ","FILING_STATUS=MR","Sort=A","Dates=H","DateFormat=P","Fill=—","Direction=H","UseDPDF=Y")</f>
        <v>0.72640000000000005</v>
      </c>
      <c r="K10" s="21">
        <f>_xll.BDH("AMZN US Equity","QUICK_RATIO","FQ2 2013","FQ2 2013","Currency=USD","Period=FQ","BEST_FPERIOD_OVERRIDE=FQ","FILING_STATUS=MR","Sort=A","Dates=H","DateFormat=P","Fill=—","Direction=H","UseDPDF=Y")</f>
        <v>0.7006</v>
      </c>
      <c r="L10" s="21">
        <f>_xll.BDH("AMZN US Equity","QUICK_RATIO","FQ3 2013","FQ3 2013","Currency=USD","Period=FQ","BEST_FPERIOD_OVERRIDE=FQ","FILING_STATUS=MR","Sort=A","Dates=H","DateFormat=P","Fill=—","Direction=H","UseDPDF=Y")</f>
        <v>0.66600000000000004</v>
      </c>
      <c r="M10" s="21">
        <f>_xll.BDH("AMZN US Equity","QUICK_RATIO","FQ4 2013","FQ4 2013","Currency=USD","Period=FQ","BEST_FPERIOD_OVERRIDE=FQ","FILING_STATUS=MR","Sort=A","Dates=H","DateFormat=P","Fill=—","Direction=H","UseDPDF=Y")</f>
        <v>0.74909999999999999</v>
      </c>
      <c r="N10" s="21">
        <f>_xll.BDH("AMZN US Equity","QUICK_RATIO","FQ1 2014","FQ1 2014","Currency=USD","Period=FQ","BEST_FPERIOD_OVERRIDE=FQ","FILING_STATUS=MR","Sort=A","Dates=H","DateFormat=P","Fill=—","Direction=H","UseDPDF=Y")</f>
        <v>0.68700000000000006</v>
      </c>
      <c r="O10" s="21">
        <f>_xll.BDH("AMZN US Equity","QUICK_RATIO","FQ2 2014","FQ2 2014","Currency=USD","Period=FQ","BEST_FPERIOD_OVERRIDE=FQ","FILING_STATUS=MR","Sort=A","Dates=H","DateFormat=P","Fill=—","Direction=H","UseDPDF=Y")</f>
        <v>0.64590000000000003</v>
      </c>
      <c r="P10" s="21">
        <f>_xll.BDH("AMZN US Equity","QUICK_RATIO","FQ3 2014","FQ3 2014","Currency=USD","Period=FQ","BEST_FPERIOD_OVERRIDE=FQ","FILING_STATUS=MR","Sort=A","Dates=H","DateFormat=P","Fill=—","Direction=H","UseDPDF=Y")</f>
        <v>0.54010000000000002</v>
      </c>
      <c r="Q10" s="21">
        <f>_xll.BDH("AMZN US Equity","QUICK_RATIO","FQ4 2014","FQ4 2014","Currency=USD","Period=FQ","BEST_FPERIOD_OVERRIDE=FQ","FILING_STATUS=MR","Sort=A","Dates=H","DateFormat=P","Fill=—","Direction=H","UseDPDF=Y")</f>
        <v>0.81979999999999997</v>
      </c>
      <c r="R10" s="21">
        <f>_xll.BDH("AMZN US Equity","QUICK_RATIO","FQ1 2015","FQ1 2015","Currency=USD","Period=FQ","BEST_FPERIOD_OVERRIDE=FQ","FILING_STATUS=MR","Sort=A","Dates=H","DateFormat=P","Fill=—","Direction=H","UseDPDF=Y")</f>
        <v>0.80049999999999999</v>
      </c>
      <c r="S10" s="21">
        <f>_xll.BDH("AMZN US Equity","QUICK_RATIO","FQ2 2015","FQ2 2015","Currency=USD","Period=FQ","BEST_FPERIOD_OVERRIDE=FQ","FILING_STATUS=MR","Sort=A","Dates=H","DateFormat=P","Fill=—","Direction=H","UseDPDF=Y")</f>
        <v>0.7913</v>
      </c>
      <c r="T10" s="21">
        <f>_xll.BDH("AMZN US Equity","QUICK_RATIO","FQ3 2015","FQ3 2015","Currency=USD","Period=FQ","BEST_FPERIOD_OVERRIDE=FQ","FILING_STATUS=MR","Sort=A","Dates=H","DateFormat=P","Fill=—","Direction=H","UseDPDF=Y")</f>
        <v>0.74529999999999996</v>
      </c>
      <c r="U10" s="21">
        <f>_xll.BDH("AMZN US Equity","QUICK_RATIO","FQ4 2015","FQ4 2015","Currency=USD","Period=FQ","BEST_FPERIOD_OVERRIDE=FQ","FILING_STATUS=MR","Sort=A","Dates=H","DateFormat=P","Fill=—","Direction=H","UseDPDF=Y")</f>
        <v>0.75139999999999996</v>
      </c>
      <c r="V10" s="21">
        <f>_xll.BDH("AMZN US Equity","QUICK_RATIO","FQ1 2016","FQ1 2016","Currency=USD","Period=FQ","BEST_FPERIOD_OVERRIDE=FQ","FILING_STATUS=MR","Sort=A","Dates=H","DateFormat=P","Fill=—","Direction=H","UseDPDF=Y")</f>
        <v>0.74260000000000004</v>
      </c>
      <c r="W10" s="21">
        <f>_xll.BDH("AMZN US Equity","QUICK_RATIO","FQ2 2016","FQ2 2016","Currency=USD","Period=FQ","BEST_FPERIOD_OVERRIDE=FQ","FILING_STATUS=MR","Sort=A","Dates=H","DateFormat=P","Fill=—","Direction=H","UseDPDF=Y")</f>
        <v>0.76490000000000002</v>
      </c>
      <c r="X10" s="21">
        <f>_xll.BDH("AMZN US Equity","QUICK_RATIO","FQ3 2016","FQ3 2016","Currency=USD","Period=FQ","BEST_FPERIOD_OVERRIDE=FQ","FILING_STATUS=MR","Sort=A","Dates=H","DateFormat=P","Fill=—","Direction=H","UseDPDF=Y")</f>
        <v>0.74370000000000003</v>
      </c>
      <c r="Y10" s="21">
        <f>_xll.BDH("AMZN US Equity","QUICK_RATIO","FQ4 2016","FQ4 2016","Currency=USD","Period=FQ","BEST_FPERIOD_OVERRIDE=FQ","FILING_STATUS=MR","Sort=A","Dates=H","DateFormat=P","Fill=—","Direction=H","UseDPDF=Y")</f>
        <v>0.7833</v>
      </c>
      <c r="Z10" s="21">
        <f>_xll.BDH("AMZN US Equity","QUICK_RATIO","FQ1 2017","FQ1 2017","Currency=USD","Period=FQ","BEST_FPERIOD_OVERRIDE=FQ","FILING_STATUS=MR","Sort=A","Dates=H","DateFormat=P","Fill=—","Direction=H","UseDPDF=Y")</f>
        <v>0.77170000000000005</v>
      </c>
      <c r="AA10" s="21">
        <f>_xll.BDH("AMZN US Equity","QUICK_RATIO","FQ2 2017","FQ2 2017","Currency=USD","Period=FQ","BEST_FPERIOD_OVERRIDE=FQ","FILING_STATUS=MR","Sort=A","Dates=H","DateFormat=P","Fill=—","Direction=H","UseDPDF=Y")</f>
        <v>0.72799999999999998</v>
      </c>
      <c r="AB10" s="21">
        <f>_xll.BDH("AMZN US Equity","QUICK_RATIO","FQ3 2017","FQ3 2017","Currency=USD","Period=FQ","BEST_FPERIOD_OVERRIDE=FQ","FILING_STATUS=MR","Sort=A","Dates=H","DateFormat=P","Fill=—","Direction=H","UseDPDF=Y")</f>
        <v>0.74070000000000003</v>
      </c>
      <c r="AC10" s="21">
        <f>_xll.BDH("AMZN US Equity","QUICK_RATIO","FQ4 2017","FQ4 2017","Currency=USD","Period=FQ","BEST_FPERIOD_OVERRIDE=FQ","FILING_STATUS=MR","Sort=A","Dates=H","DateFormat=P","Fill=—","Direction=H","UseDPDF=Y")</f>
        <v>0.76270000000000004</v>
      </c>
      <c r="AD10" s="21">
        <f>_xll.BDH("AMZN US Equity","QUICK_RATIO","FQ1 2018","FQ1 2018","Currency=USD","Period=FQ","BEST_FPERIOD_OVERRIDE=FQ","FILING_STATUS=MR","Sort=A","Dates=H","DateFormat=P","Fill=—","Direction=H","UseDPDF=Y")</f>
        <v>0.76990000000000003</v>
      </c>
      <c r="AE10" s="21">
        <f>_xll.BDH("AMZN US Equity","QUICK_RATIO","FQ2 2018","FQ2 2018","Currency=USD","Period=FQ","BEST_FPERIOD_OVERRIDE=FQ","FILING_STATUS=MR","Sort=A","Dates=H","DateFormat=P","Fill=—","Direction=H","UseDPDF=Y")</f>
        <v>0.78059999999999996</v>
      </c>
      <c r="AF10" s="21">
        <f>_xll.BDH("AMZN US Equity","QUICK_RATIO","FQ3 2018","FQ3 2018","Currency=USD","Period=FQ","BEST_FPERIOD_OVERRIDE=FQ","FILING_STATUS=MR","Sort=A","Dates=H","DateFormat=P","Fill=—","Direction=H","UseDPDF=Y")</f>
        <v>0.79569999999999996</v>
      </c>
      <c r="AG10" s="21">
        <f>_xll.BDH("AMZN US Equity","QUICK_RATIO","FQ4 2018","FQ4 2018","Currency=USD","Period=FQ","BEST_FPERIOD_OVERRIDE=FQ","FILING_STATUS=MR","Sort=A","Dates=H","DateFormat=P","Fill=—","Direction=H","UseDPDF=Y")</f>
        <v>0.84699999999999998</v>
      </c>
      <c r="AH10" s="21">
        <f>_xll.BDH("AMZN US Equity","QUICK_RATIO","FQ1 2019","FQ1 2019","Currency=USD","Period=FQ","BEST_FPERIOD_OVERRIDE=FQ","FILING_STATUS=MR","Sort=A","Dates=H","DateFormat=P","Fill=—","Direction=H","UseDPDF=Y")</f>
        <v>0.83209999999999995</v>
      </c>
      <c r="AI10" s="21">
        <f>_xll.BDH("AMZN US Equity","QUICK_RATIO","FQ2 2019","FQ2 2019","Currency=USD","Period=FQ","BEST_FPERIOD_OVERRIDE=FQ","FILING_STATUS=MR","Sort=A","Dates=H","DateFormat=P","Fill=—","Direction=H","UseDPDF=Y")</f>
        <v>0.83540000000000003</v>
      </c>
      <c r="AJ10" s="21">
        <f>_xll.BDH("AMZN US Equity","QUICK_RATIO","FQ3 2019","FQ3 2019","Currency=USD","Period=FQ","BEST_FPERIOD_OVERRIDE=FQ","FILING_STATUS=MR","Sort=A","Dates=H","DateFormat=P","Fill=—","Direction=H","UseDPDF=Y")</f>
        <v>0.83579999999999999</v>
      </c>
      <c r="AK10" s="21">
        <f>_xll.BDH("AMZN US Equity","QUICK_RATIO","FQ4 2019","FQ4 2019","Currency=USD","Period=FQ","BEST_FPERIOD_OVERRIDE=FQ","FILING_STATUS=MR","Sort=A","Dates=H","DateFormat=P","Fill=—","Direction=H","UseDPDF=Y")</f>
        <v>0.86360000000000003</v>
      </c>
      <c r="AL10" s="21">
        <f>_xll.BDH("AMZN US Equity","QUICK_RATIO","FQ1 2020","FQ1 2020","Currency=USD","Period=FQ","BEST_FPERIOD_OVERRIDE=FQ","FILING_STATUS=MR","Sort=A","Dates=H","DateFormat=P","Fill=—","Direction=H","UseDPDF=Y")</f>
        <v>0.84209999999999996</v>
      </c>
      <c r="AM10" s="21">
        <f>_xll.BDH("AMZN US Equity","QUICK_RATIO","FQ2 2020","FQ2 2020","Currency=USD","Period=FQ","BEST_FPERIOD_OVERRIDE=FQ","FILING_STATUS=MR","Sort=A","Dates=H","DateFormat=P","Fill=—","Direction=H","UseDPDF=Y")</f>
        <v>0.97240000000000004</v>
      </c>
      <c r="AN10" s="21">
        <f>_xll.BDH("AMZN US Equity","QUICK_RATIO","FQ3 2020","FQ3 2020","Currency=USD","Period=FQ","BEST_FPERIOD_OVERRIDE=FQ","FILING_STATUS=MR","Sort=A","Dates=H","DateFormat=P","Fill=—","Direction=H","UseDPDF=Y")</f>
        <v>0.87560000000000004</v>
      </c>
      <c r="AO10" s="21">
        <f>_xll.BDH("AMZN US Equity","QUICK_RATIO","FQ4 2020","FQ4 2020","Currency=USD","Period=FQ","BEST_FPERIOD_OVERRIDE=FQ","FILING_STATUS=MR","Sort=A","Dates=H","DateFormat=P","Fill=—","Direction=H","UseDPDF=Y")</f>
        <v>0.86199999999999999</v>
      </c>
      <c r="AP10" s="21">
        <f>_xll.BDH("AMZN US Equity","QUICK_RATIO","FQ1 2021","FQ1 2021","Currency=USD","Period=FQ","BEST_FPERIOD_OVERRIDE=FQ","FILING_STATUS=MR","Sort=A","Dates=H","DateFormat=P","Fill=—","Direction=H","UseDPDF=Y")</f>
        <v>0.84540000000000004</v>
      </c>
    </row>
    <row r="11" spans="1:42" x14ac:dyDescent="0.25">
      <c r="A11" s="7" t="s">
        <v>87</v>
      </c>
      <c r="B11" s="7" t="s">
        <v>191</v>
      </c>
      <c r="C11" s="23">
        <v>-13.993781330852</v>
      </c>
      <c r="D11" s="23">
        <v>-18.8462967913567</v>
      </c>
      <c r="E11" s="23">
        <v>-18.273330246486701</v>
      </c>
      <c r="F11" s="23">
        <v>-32.212790713048499</v>
      </c>
      <c r="G11" s="23">
        <v>-34.043064967027199</v>
      </c>
      <c r="H11" s="23">
        <v>-30.431533869503401</v>
      </c>
      <c r="I11" s="23">
        <v>-4.4094455358610096</v>
      </c>
      <c r="J11" s="23">
        <v>1.20414114211596</v>
      </c>
      <c r="K11" s="23">
        <v>9.66272192127518</v>
      </c>
      <c r="L11" s="23">
        <v>9.8822159050599794</v>
      </c>
      <c r="M11" s="23">
        <v>-3.9013620321822899</v>
      </c>
      <c r="N11" s="23">
        <v>-5.4280192066254003</v>
      </c>
      <c r="O11" s="23">
        <v>-7.8155128488749703</v>
      </c>
      <c r="P11" s="23">
        <v>-18.910189998288299</v>
      </c>
      <c r="Q11" s="23">
        <v>9.4431080009504793</v>
      </c>
      <c r="R11" s="23">
        <v>16.5223163208566</v>
      </c>
      <c r="S11" s="23">
        <v>22.510164332405399</v>
      </c>
      <c r="T11" s="23">
        <v>38.006121508046299</v>
      </c>
      <c r="U11" s="23">
        <v>-8.3485093733647293</v>
      </c>
      <c r="V11" s="23">
        <v>-7.2350504439769496</v>
      </c>
      <c r="W11" s="23">
        <v>-3.3294324609870598</v>
      </c>
      <c r="X11" s="23">
        <v>-0.21520957441098301</v>
      </c>
      <c r="Y11" s="23">
        <v>4.2449892198354897</v>
      </c>
      <c r="Z11" s="23">
        <v>3.9190601366055402</v>
      </c>
      <c r="AA11" s="23">
        <v>-4.8329849358961798</v>
      </c>
      <c r="AB11" s="23">
        <v>-0.40337978475654701</v>
      </c>
      <c r="AC11" s="23">
        <v>-2.6210429018634498</v>
      </c>
      <c r="AD11" s="23">
        <v>-0.23273956235632201</v>
      </c>
      <c r="AE11" s="23">
        <v>7.2355425145818097</v>
      </c>
      <c r="AF11" s="23">
        <v>7.4272730709205597</v>
      </c>
      <c r="AG11" s="23">
        <v>11.0457478636401</v>
      </c>
      <c r="AH11" s="23">
        <v>8.0782509527434208</v>
      </c>
      <c r="AI11" s="23">
        <v>7.0173730583090101</v>
      </c>
      <c r="AJ11" s="23">
        <v>5.0298404862949999</v>
      </c>
      <c r="AK11" s="23">
        <v>1.96364331868944</v>
      </c>
      <c r="AL11" s="23">
        <v>1.2098668990175101</v>
      </c>
      <c r="AM11" s="23">
        <v>16.4031246783032</v>
      </c>
      <c r="AN11" s="23">
        <v>4.7674258604495297</v>
      </c>
      <c r="AO11" s="23">
        <v>-0.19394902209166001</v>
      </c>
      <c r="AP11" s="23">
        <v>0.38318953335661798</v>
      </c>
    </row>
    <row r="12" spans="1:42" x14ac:dyDescent="0.25">
      <c r="A12" s="8" t="s">
        <v>190</v>
      </c>
      <c r="B12" s="8" t="s">
        <v>189</v>
      </c>
      <c r="C12" s="21">
        <f>_xll.BDH("AMZN US Equity","CFO_TO_AVG_CURRENT_LIABILITIES","FQ2 2011","FQ2 2011","Currency=USD","Period=FQ","BEST_FPERIOD_OVERRIDE=FQ","FILING_STATUS=MR","Sort=A","Dates=H","DateFormat=P","Fill=—","Direction=H","UseDPDF=Y")</f>
        <v>0.47720000000000001</v>
      </c>
      <c r="D12" s="21">
        <f>_xll.BDH("AMZN US Equity","CFO_TO_AVG_CURRENT_LIABILITIES","FQ3 2011","FQ3 2011","Currency=USD","Period=FQ","BEST_FPERIOD_OVERRIDE=FQ","FILING_STATUS=MR","Sort=A","Dates=H","DateFormat=P","Fill=—","Direction=H","UseDPDF=Y")</f>
        <v>0.40570000000000001</v>
      </c>
      <c r="E12" s="21">
        <f>_xll.BDH("AMZN US Equity","CFO_TO_AVG_CURRENT_LIABILITIES","FQ4 2011","FQ4 2011","Currency=USD","Period=FQ","BEST_FPERIOD_OVERRIDE=FQ","FILING_STATUS=MR","Sort=A","Dates=H","DateFormat=P","Fill=—","Direction=H","UseDPDF=Y")</f>
        <v>0.30890000000000001</v>
      </c>
      <c r="F12" s="21">
        <f>_xll.BDH("AMZN US Equity","CFO_TO_AVG_CURRENT_LIABILITIES","FQ1 2012","FQ1 2012","Currency=USD","Period=FQ","BEST_FPERIOD_OVERRIDE=FQ","FILING_STATUS=MR","Sort=A","Dates=H","DateFormat=P","Fill=—","Direction=H","UseDPDF=Y")</f>
        <v>0.33489999999999998</v>
      </c>
      <c r="G12" s="21">
        <f>_xll.BDH("AMZN US Equity","CFO_TO_AVG_CURRENT_LIABILITIES","FQ2 2012","FQ2 2012","Currency=USD","Period=FQ","BEST_FPERIOD_OVERRIDE=FQ","FILING_STATUS=MR","Sort=A","Dates=H","DateFormat=P","Fill=—","Direction=H","UseDPDF=Y")</f>
        <v>0.33900000000000002</v>
      </c>
      <c r="H12" s="21">
        <f>_xll.BDH("AMZN US Equity","CFO_TO_AVG_CURRENT_LIABILITIES","FQ3 2012","FQ3 2012","Currency=USD","Period=FQ","BEST_FPERIOD_OVERRIDE=FQ","FILING_STATUS=MR","Sort=A","Dates=H","DateFormat=P","Fill=—","Direction=H","UseDPDF=Y")</f>
        <v>0.31209999999999999</v>
      </c>
      <c r="I12" s="21">
        <f>_xll.BDH("AMZN US Equity","CFO_TO_AVG_CURRENT_LIABILITIES","FQ4 2012","FQ4 2012","Currency=USD","Period=FQ","BEST_FPERIOD_OVERRIDE=FQ","FILING_STATUS=MR","Sort=A","Dates=H","DateFormat=P","Fill=—","Direction=H","UseDPDF=Y")</f>
        <v>0.24660000000000001</v>
      </c>
      <c r="J12" s="21">
        <f>_xll.BDH("AMZN US Equity","CFO_TO_AVG_CURRENT_LIABILITIES","FQ1 2013","FQ1 2013","Currency=USD","Period=FQ","BEST_FPERIOD_OVERRIDE=FQ","FILING_STATUS=MR","Sort=A","Dates=H","DateFormat=P","Fill=—","Direction=H","UseDPDF=Y")</f>
        <v>0.34210000000000002</v>
      </c>
      <c r="K12" s="21">
        <f>_xll.BDH("AMZN US Equity","CFO_TO_AVG_CURRENT_LIABILITIES","FQ2 2013","FQ2 2013","Currency=USD","Period=FQ","BEST_FPERIOD_OVERRIDE=FQ","FILING_STATUS=MR","Sort=A","Dates=H","DateFormat=P","Fill=—","Direction=H","UseDPDF=Y")</f>
        <v>0.35270000000000001</v>
      </c>
      <c r="L12" s="21">
        <f>_xll.BDH("AMZN US Equity","CFO_TO_AVG_CURRENT_LIABILITIES","FQ3 2013","FQ3 2013","Currency=USD","Period=FQ","BEST_FPERIOD_OVERRIDE=FQ","FILING_STATUS=MR","Sort=A","Dates=H","DateFormat=P","Fill=—","Direction=H","UseDPDF=Y")</f>
        <v>0.3463</v>
      </c>
      <c r="M12" s="21">
        <f>_xll.BDH("AMZN US Equity","CFO_TO_AVG_CURRENT_LIABILITIES","FQ4 2013","FQ4 2013","Currency=USD","Period=FQ","BEST_FPERIOD_OVERRIDE=FQ","FILING_STATUS=MR","Sort=A","Dates=H","DateFormat=P","Fill=—","Direction=H","UseDPDF=Y")</f>
        <v>0.26079999999999998</v>
      </c>
      <c r="N12" s="21">
        <f>_xll.BDH("AMZN US Equity","CFO_TO_AVG_CURRENT_LIABILITIES","FQ1 2014","FQ1 2014","Currency=USD","Period=FQ","BEST_FPERIOD_OVERRIDE=FQ","FILING_STATUS=MR","Sort=A","Dates=H","DateFormat=P","Fill=—","Direction=H","UseDPDF=Y")</f>
        <v>0.32700000000000001</v>
      </c>
      <c r="O12" s="21">
        <f>_xll.BDH("AMZN US Equity","CFO_TO_AVG_CURRENT_LIABILITIES","FQ2 2014","FQ2 2014","Currency=USD","Period=FQ","BEST_FPERIOD_OVERRIDE=FQ","FILING_STATUS=MR","Sort=A","Dates=H","DateFormat=P","Fill=—","Direction=H","UseDPDF=Y")</f>
        <v>0.31809999999999999</v>
      </c>
      <c r="P12" s="21">
        <f>_xll.BDH("AMZN US Equity","CFO_TO_AVG_CURRENT_LIABILITIES","FQ3 2014","FQ3 2014","Currency=USD","Period=FQ","BEST_FPERIOD_OVERRIDE=FQ","FILING_STATUS=MR","Sort=A","Dates=H","DateFormat=P","Fill=—","Direction=H","UseDPDF=Y")</f>
        <v>0.3085</v>
      </c>
      <c r="Q12" s="21">
        <f>_xll.BDH("AMZN US Equity","CFO_TO_AVG_CURRENT_LIABILITIES","FQ4 2014","FQ4 2014","Currency=USD","Period=FQ","BEST_FPERIOD_OVERRIDE=FQ","FILING_STATUS=MR","Sort=A","Dates=H","DateFormat=P","Fill=—","Direction=H","UseDPDF=Y")</f>
        <v>0.26790000000000003</v>
      </c>
      <c r="R12" s="21">
        <f>_xll.BDH("AMZN US Equity","CFO_TO_AVG_CURRENT_LIABILITIES","FQ1 2015","FQ1 2015","Currency=USD","Period=FQ","BEST_FPERIOD_OVERRIDE=FQ","FILING_STATUS=MR","Sort=A","Dates=H","DateFormat=P","Fill=—","Direction=H","UseDPDF=Y")</f>
        <v>0.37769999999999998</v>
      </c>
      <c r="S12" s="21">
        <f>_xll.BDH("AMZN US Equity","CFO_TO_AVG_CURRENT_LIABILITIES","FQ2 2015","FQ2 2015","Currency=USD","Period=FQ","BEST_FPERIOD_OVERRIDE=FQ","FILING_STATUS=MR","Sort=A","Dates=H","DateFormat=P","Fill=—","Direction=H","UseDPDF=Y")</f>
        <v>0.4209</v>
      </c>
      <c r="T12" s="21">
        <f>_xll.BDH("AMZN US Equity","CFO_TO_AVG_CURRENT_LIABILITIES","FQ3 2015","FQ3 2015","Currency=USD","Period=FQ","BEST_FPERIOD_OVERRIDE=FQ","FILING_STATUS=MR","Sort=A","Dates=H","DateFormat=P","Fill=—","Direction=H","UseDPDF=Y")</f>
        <v>0.41360000000000002</v>
      </c>
      <c r="U12" s="21">
        <f>_xll.BDH("AMZN US Equity","CFO_TO_AVG_CURRENT_LIABILITIES","FQ4 2015","FQ4 2015","Currency=USD","Period=FQ","BEST_FPERIOD_OVERRIDE=FQ","FILING_STATUS=MR","Sort=A","Dates=H","DateFormat=P","Fill=—","Direction=H","UseDPDF=Y")</f>
        <v>0.38469999999999999</v>
      </c>
      <c r="V12" s="21">
        <f>_xll.BDH("AMZN US Equity","CFO_TO_AVG_CURRENT_LIABILITIES","FQ1 2016","FQ1 2016","Currency=USD","Period=FQ","BEST_FPERIOD_OVERRIDE=FQ","FILING_STATUS=MR","Sort=A","Dates=H","DateFormat=P","Fill=—","Direction=H","UseDPDF=Y")</f>
        <v>0.44650000000000001</v>
      </c>
      <c r="W12" s="21">
        <f>_xll.BDH("AMZN US Equity","CFO_TO_AVG_CURRENT_LIABILITIES","FQ2 2016","FQ2 2016","Currency=USD","Period=FQ","BEST_FPERIOD_OVERRIDE=FQ","FILING_STATUS=MR","Sort=A","Dates=H","DateFormat=P","Fill=—","Direction=H","UseDPDF=Y")</f>
        <v>0.48770000000000002</v>
      </c>
      <c r="X12" s="21">
        <f>_xll.BDH("AMZN US Equity","CFO_TO_AVG_CURRENT_LIABILITIES","FQ3 2016","FQ3 2016","Currency=USD","Period=FQ","BEST_FPERIOD_OVERRIDE=FQ","FILING_STATUS=MR","Sort=A","Dates=H","DateFormat=P","Fill=—","Direction=H","UseDPDF=Y")</f>
        <v>0.50190000000000001</v>
      </c>
      <c r="Y12" s="21">
        <f>_xll.BDH("AMZN US Equity","CFO_TO_AVG_CURRENT_LIABILITIES","FQ4 2016","FQ4 2016","Currency=USD","Period=FQ","BEST_FPERIOD_OVERRIDE=FQ","FILING_STATUS=MR","Sort=A","Dates=H","DateFormat=P","Fill=—","Direction=H","UseDPDF=Y")</f>
        <v>0.44280000000000003</v>
      </c>
      <c r="Z12" s="21">
        <f>_xll.BDH("AMZN US Equity","CFO_TO_AVG_CURRENT_LIABILITIES","FQ1 2017","FQ1 2017","Currency=USD","Period=FQ","BEST_FPERIOD_OVERRIDE=FQ","FILING_STATUS=MR","Sort=A","Dates=H","DateFormat=P","Fill=—","Direction=H","UseDPDF=Y")</f>
        <v>0.53480000000000005</v>
      </c>
      <c r="AA12" s="21">
        <f>_xll.BDH("AMZN US Equity","CFO_TO_AVG_CURRENT_LIABILITIES","FQ2 2017","FQ2 2017","Currency=USD","Period=FQ","BEST_FPERIOD_OVERRIDE=FQ","FILING_STATUS=MR","Sort=A","Dates=H","DateFormat=P","Fill=—","Direction=H","UseDPDF=Y")</f>
        <v>0.5081</v>
      </c>
      <c r="AB12" s="21">
        <f>_xll.BDH("AMZN US Equity","CFO_TO_AVG_CURRENT_LIABILITIES","FQ3 2017","FQ3 2017","Currency=USD","Period=FQ","BEST_FPERIOD_OVERRIDE=FQ","FILING_STATUS=MR","Sort=A","Dates=H","DateFormat=P","Fill=—","Direction=H","UseDPDF=Y")</f>
        <v>0.42020000000000002</v>
      </c>
      <c r="AC12" s="21">
        <f>_xll.BDH("AMZN US Equity","CFO_TO_AVG_CURRENT_LIABILITIES","FQ4 2017","FQ4 2017","Currency=USD","Period=FQ","BEST_FPERIOD_OVERRIDE=FQ","FILING_STATUS=MR","Sort=A","Dates=H","DateFormat=P","Fill=—","Direction=H","UseDPDF=Y")</f>
        <v>0.36120000000000002</v>
      </c>
      <c r="AD12" s="21">
        <f>_xll.BDH("AMZN US Equity","CFO_TO_AVG_CURRENT_LIABILITIES","FQ1 2018","FQ1 2018","Currency=USD","Period=FQ","BEST_FPERIOD_OVERRIDE=FQ","FILING_STATUS=MR","Sort=A","Dates=H","DateFormat=P","Fill=—","Direction=H","UseDPDF=Y")</f>
        <v>0.42580000000000001</v>
      </c>
      <c r="AE12" s="21">
        <f>_xll.BDH("AMZN US Equity","CFO_TO_AVG_CURRENT_LIABILITIES","FQ2 2018","FQ2 2018","Currency=USD","Period=FQ","BEST_FPERIOD_OVERRIDE=FQ","FILING_STATUS=MR","Sort=A","Dates=H","DateFormat=P","Fill=—","Direction=H","UseDPDF=Y")</f>
        <v>0.4773</v>
      </c>
      <c r="AF12" s="21">
        <f>_xll.BDH("AMZN US Equity","CFO_TO_AVG_CURRENT_LIABILITIES","FQ3 2018","FQ3 2018","Currency=USD","Period=FQ","BEST_FPERIOD_OVERRIDE=FQ","FILING_STATUS=MR","Sort=A","Dates=H","DateFormat=P","Fill=—","Direction=H","UseDPDF=Y")</f>
        <v>0.51959999999999995</v>
      </c>
      <c r="AG12" s="21">
        <f>_xll.BDH("AMZN US Equity","CFO_TO_AVG_CURRENT_LIABILITIES","FQ4 2018","FQ4 2018","Currency=USD","Period=FQ","BEST_FPERIOD_OVERRIDE=FQ","FILING_STATUS=MR","Sort=A","Dates=H","DateFormat=P","Fill=—","Direction=H","UseDPDF=Y")</f>
        <v>0.48659999999999998</v>
      </c>
      <c r="AH12" s="21">
        <f>_xll.BDH("AMZN US Equity","CFO_TO_AVG_CURRENT_LIABILITIES","FQ1 2019","FQ1 2019","Currency=USD","Period=FQ","BEST_FPERIOD_OVERRIDE=FQ","FILING_STATUS=MR","Sort=A","Dates=H","DateFormat=P","Fill=—","Direction=H","UseDPDF=Y")</f>
        <v>0.61499999999999999</v>
      </c>
      <c r="AI12" s="21">
        <f>_xll.BDH("AMZN US Equity","CFO_TO_AVG_CURRENT_LIABILITIES","FQ2 2019","FQ2 2019","Currency=USD","Period=FQ","BEST_FPERIOD_OVERRIDE=FQ","FILING_STATUS=MR","Sort=A","Dates=H","DateFormat=P","Fill=—","Direction=H","UseDPDF=Y")</f>
        <v>0.59809999999999997</v>
      </c>
      <c r="AJ12" s="21">
        <f>_xll.BDH("AMZN US Equity","CFO_TO_AVG_CURRENT_LIABILITIES","FQ3 2019","FQ3 2019","Currency=USD","Period=FQ","BEST_FPERIOD_OVERRIDE=FQ","FILING_STATUS=MR","Sort=A","Dates=H","DateFormat=P","Fill=—","Direction=H","UseDPDF=Y")</f>
        <v>0.5544</v>
      </c>
      <c r="AK12" s="21">
        <f>_xll.BDH("AMZN US Equity","CFO_TO_AVG_CURRENT_LIABILITIES","FQ4 2019","FQ4 2019","Currency=USD","Period=FQ","BEST_FPERIOD_OVERRIDE=FQ","FILING_STATUS=MR","Sort=A","Dates=H","DateFormat=P","Fill=—","Direction=H","UseDPDF=Y")</f>
        <v>0.49309999999999998</v>
      </c>
      <c r="AL12" s="21">
        <f>_xll.BDH("AMZN US Equity","CFO_TO_AVG_CURRENT_LIABILITIES","FQ1 2020","FQ1 2020","Currency=USD","Period=FQ","BEST_FPERIOD_OVERRIDE=FQ","FILING_STATUS=MR","Sort=A","Dates=H","DateFormat=P","Fill=—","Direction=H","UseDPDF=Y")</f>
        <v>0.55410000000000004</v>
      </c>
      <c r="AM12" s="21">
        <f>_xll.BDH("AMZN US Equity","CFO_TO_AVG_CURRENT_LIABILITIES","FQ2 2020","FQ2 2020","Currency=USD","Period=FQ","BEST_FPERIOD_OVERRIDE=FQ","FILING_STATUS=MR","Sort=A","Dates=H","DateFormat=P","Fill=—","Direction=H","UseDPDF=Y")</f>
        <v>0.62629999999999997</v>
      </c>
      <c r="AN12" s="21">
        <f>_xll.BDH("AMZN US Equity","CFO_TO_AVG_CURRENT_LIABILITIES","FQ3 2020","FQ3 2020","Currency=USD","Period=FQ","BEST_FPERIOD_OVERRIDE=FQ","FILING_STATUS=MR","Sort=A","Dates=H","DateFormat=P","Fill=—","Direction=H","UseDPDF=Y")</f>
        <v>0.63539999999999996</v>
      </c>
      <c r="AO12" s="21">
        <f>_xll.BDH("AMZN US Equity","CFO_TO_AVG_CURRENT_LIABILITIES","FQ4 2020","FQ4 2020","Currency=USD","Period=FQ","BEST_FPERIOD_OVERRIDE=FQ","FILING_STATUS=MR","Sort=A","Dates=H","DateFormat=P","Fill=—","Direction=H","UseDPDF=Y")</f>
        <v>0.6169</v>
      </c>
      <c r="AP12" s="21">
        <f>_xll.BDH("AMZN US Equity","CFO_TO_AVG_CURRENT_LIABILITIES","FQ1 2021","FQ1 2021","Currency=USD","Period=FQ","BEST_FPERIOD_OVERRIDE=FQ","FILING_STATUS=MR","Sort=A","Dates=H","DateFormat=P","Fill=—","Direction=H","UseDPDF=Y")</f>
        <v>0.68899999999999995</v>
      </c>
    </row>
    <row r="13" spans="1:42" x14ac:dyDescent="0.25">
      <c r="A13" s="7" t="s">
        <v>87</v>
      </c>
      <c r="B13" s="7" t="s">
        <v>189</v>
      </c>
      <c r="C13" s="23">
        <v>-17.2168518351457</v>
      </c>
      <c r="D13" s="23">
        <v>-15.4279638490165</v>
      </c>
      <c r="E13" s="23">
        <v>-21.4347476679247</v>
      </c>
      <c r="F13" s="23">
        <v>-27.8348494184869</v>
      </c>
      <c r="G13" s="23">
        <v>-28.9570637003009</v>
      </c>
      <c r="H13" s="23">
        <v>-23.063250947852101</v>
      </c>
      <c r="I13" s="23">
        <v>-20.168453490781001</v>
      </c>
      <c r="J13" s="23">
        <v>2.14961948749488</v>
      </c>
      <c r="K13" s="23">
        <v>4.0419236748407803</v>
      </c>
      <c r="L13" s="23">
        <v>10.9741522667632</v>
      </c>
      <c r="M13" s="23">
        <v>5.7399583167762804</v>
      </c>
      <c r="N13" s="23">
        <v>-4.4376181888859296</v>
      </c>
      <c r="O13" s="23">
        <v>-9.8089305611867204</v>
      </c>
      <c r="P13" s="23">
        <v>-10.922860599341099</v>
      </c>
      <c r="Q13" s="23">
        <v>2.73566021673606</v>
      </c>
      <c r="R13" s="23">
        <v>15.523305603131901</v>
      </c>
      <c r="S13" s="23">
        <v>32.324121432366198</v>
      </c>
      <c r="T13" s="23">
        <v>34.064035576761</v>
      </c>
      <c r="U13" s="23">
        <v>43.578861715787298</v>
      </c>
      <c r="V13" s="23">
        <v>18.200495082271001</v>
      </c>
      <c r="W13" s="23">
        <v>15.874486549924301</v>
      </c>
      <c r="X13" s="23">
        <v>21.3472143981393</v>
      </c>
      <c r="Y13" s="23">
        <v>15.1102907724903</v>
      </c>
      <c r="Z13" s="23">
        <v>19.781795050407499</v>
      </c>
      <c r="AA13" s="23">
        <v>4.1630189421974801</v>
      </c>
      <c r="AB13" s="23">
        <v>-16.282429074940801</v>
      </c>
      <c r="AC13" s="23">
        <v>-18.4342881146551</v>
      </c>
      <c r="AD13" s="23">
        <v>-20.369722820080799</v>
      </c>
      <c r="AE13" s="23">
        <v>-6.0604032658074196</v>
      </c>
      <c r="AF13" s="23">
        <v>23.6633736413593</v>
      </c>
      <c r="AG13" s="23">
        <v>34.737681496494702</v>
      </c>
      <c r="AH13" s="23">
        <v>44.422396828900602</v>
      </c>
      <c r="AI13" s="23">
        <v>25.321731040812001</v>
      </c>
      <c r="AJ13" s="23">
        <v>6.7017570870460403</v>
      </c>
      <c r="AK13" s="23">
        <v>1.3390215032550801</v>
      </c>
      <c r="AL13" s="23">
        <v>-9.8995637518963004</v>
      </c>
      <c r="AM13" s="23">
        <v>4.7081404350014102</v>
      </c>
      <c r="AN13" s="23">
        <v>14.599239222773599</v>
      </c>
      <c r="AO13" s="23">
        <v>25.086790769355499</v>
      </c>
      <c r="AP13" s="23">
        <v>24.330801450193398</v>
      </c>
    </row>
    <row r="14" spans="1:42" x14ac:dyDescent="0.25">
      <c r="A14" s="8" t="s">
        <v>188</v>
      </c>
      <c r="B14" s="8" t="s">
        <v>187</v>
      </c>
      <c r="C14" s="21">
        <f>_xll.BDH("AMZN US Equity","COM_EQY_TO_TOT_ASSET","FQ2 2011","FQ2 2011","Currency=USD","Period=FQ","BEST_FPERIOD_OVERRIDE=FQ","FILING_STATUS=MR","Sort=A","Dates=H","DateFormat=P","Fill=—","Direction=H","UseDPDF=Y")</f>
        <v>43.280799999999999</v>
      </c>
      <c r="D14" s="21">
        <f>_xll.BDH("AMZN US Equity","COM_EQY_TO_TOT_ASSET","FQ3 2011","FQ3 2011","Currency=USD","Period=FQ","BEST_FPERIOD_OVERRIDE=FQ","FILING_STATUS=MR","Sort=A","Dates=H","DateFormat=P","Fill=—","Direction=H","UseDPDF=Y")</f>
        <v>40.757800000000003</v>
      </c>
      <c r="E14" s="21">
        <f>_xll.BDH("AMZN US Equity","COM_EQY_TO_TOT_ASSET","FQ4 2011","FQ4 2011","Currency=USD","Period=FQ","BEST_FPERIOD_OVERRIDE=FQ","FILING_STATUS=MR","Sort=A","Dates=H","DateFormat=P","Fill=—","Direction=H","UseDPDF=Y")</f>
        <v>30.686800000000002</v>
      </c>
      <c r="F14" s="21">
        <f>_xll.BDH("AMZN US Equity","COM_EQY_TO_TOT_ASSET","FQ1 2012","FQ1 2012","Currency=USD","Period=FQ","BEST_FPERIOD_OVERRIDE=FQ","FILING_STATUS=MR","Sort=A","Dates=H","DateFormat=P","Fill=—","Direction=H","UseDPDF=Y")</f>
        <v>35.749099999999999</v>
      </c>
      <c r="G14" s="21">
        <f>_xll.BDH("AMZN US Equity","COM_EQY_TO_TOT_ASSET","FQ2 2012","FQ2 2012","Currency=USD","Period=FQ","BEST_FPERIOD_OVERRIDE=FQ","FILING_STATUS=MR","Sort=A","Dates=H","DateFormat=P","Fill=—","Direction=H","UseDPDF=Y")</f>
        <v>35.700699999999998</v>
      </c>
      <c r="H14" s="21">
        <f>_xll.BDH("AMZN US Equity","COM_EQY_TO_TOT_ASSET","FQ3 2012","FQ3 2012","Currency=USD","Period=FQ","BEST_FPERIOD_OVERRIDE=FQ","FILING_STATUS=MR","Sort=A","Dates=H","DateFormat=P","Fill=—","Direction=H","UseDPDF=Y")</f>
        <v>33.0779</v>
      </c>
      <c r="I14" s="21">
        <f>_xll.BDH("AMZN US Equity","COM_EQY_TO_TOT_ASSET","FQ4 2012","FQ4 2012","Currency=USD","Period=FQ","BEST_FPERIOD_OVERRIDE=FQ","FILING_STATUS=MR","Sort=A","Dates=H","DateFormat=P","Fill=—","Direction=H","UseDPDF=Y")</f>
        <v>25.163599999999999</v>
      </c>
      <c r="J14" s="21">
        <f>_xll.BDH("AMZN US Equity","COM_EQY_TO_TOT_ASSET","FQ1 2013","FQ1 2013","Currency=USD","Period=FQ","BEST_FPERIOD_OVERRIDE=FQ","FILING_STATUS=MR","Sort=A","Dates=H","DateFormat=P","Fill=—","Direction=H","UseDPDF=Y")</f>
        <v>29.714199999999998</v>
      </c>
      <c r="K14" s="21">
        <f>_xll.BDH("AMZN US Equity","COM_EQY_TO_TOT_ASSET","FQ2 2013","FQ2 2013","Currency=USD","Period=FQ","BEST_FPERIOD_OVERRIDE=FQ","FILING_STATUS=MR","Sort=A","Dates=H","DateFormat=P","Fill=—","Direction=H","UseDPDF=Y")</f>
        <v>29.480499999999999</v>
      </c>
      <c r="L14" s="21">
        <f>_xll.BDH("AMZN US Equity","COM_EQY_TO_TOT_ASSET","FQ3 2013","FQ3 2013","Currency=USD","Period=FQ","BEST_FPERIOD_OVERRIDE=FQ","FILING_STATUS=MR","Sort=A","Dates=H","DateFormat=P","Fill=—","Direction=H","UseDPDF=Y")</f>
        <v>28.520800000000001</v>
      </c>
      <c r="M14" s="21">
        <f>_xll.BDH("AMZN US Equity","COM_EQY_TO_TOT_ASSET","FQ4 2013","FQ4 2013","Currency=USD","Period=FQ","BEST_FPERIOD_OVERRIDE=FQ","FILING_STATUS=MR","Sort=A","Dates=H","DateFormat=P","Fill=—","Direction=H","UseDPDF=Y")</f>
        <v>24.2685</v>
      </c>
      <c r="N14" s="21">
        <f>_xll.BDH("AMZN US Equity","COM_EQY_TO_TOT_ASSET","FQ1 2014","FQ1 2014","Currency=USD","Period=FQ","BEST_FPERIOD_OVERRIDE=FQ","FILING_STATUS=MR","Sort=A","Dates=H","DateFormat=P","Fill=—","Direction=H","UseDPDF=Y")</f>
        <v>28.401700000000002</v>
      </c>
      <c r="O14" s="21">
        <f>_xll.BDH("AMZN US Equity","COM_EQY_TO_TOT_ASSET","FQ2 2014","FQ2 2014","Currency=USD","Period=FQ","BEST_FPERIOD_OVERRIDE=FQ","FILING_STATUS=MR","Sort=A","Dates=H","DateFormat=P","Fill=—","Direction=H","UseDPDF=Y")</f>
        <v>27.975100000000001</v>
      </c>
      <c r="P14" s="21">
        <f>_xll.BDH("AMZN US Equity","COM_EQY_TO_TOT_ASSET","FQ3 2014","FQ3 2014","Currency=USD","Period=FQ","BEST_FPERIOD_OVERRIDE=FQ","FILING_STATUS=MR","Sort=A","Dates=H","DateFormat=P","Fill=—","Direction=H","UseDPDF=Y")</f>
        <v>25.572099999999999</v>
      </c>
      <c r="Q14" s="21">
        <f>_xll.BDH("AMZN US Equity","COM_EQY_TO_TOT_ASSET","FQ4 2014","FQ4 2014","Currency=USD","Period=FQ","BEST_FPERIOD_OVERRIDE=FQ","FILING_STATUS=MR","Sort=A","Dates=H","DateFormat=P","Fill=—","Direction=H","UseDPDF=Y")</f>
        <v>19.706399999999999</v>
      </c>
      <c r="R14" s="21">
        <f>_xll.BDH("AMZN US Equity","COM_EQY_TO_TOT_ASSET","FQ1 2015","FQ1 2015","Currency=USD","Period=FQ","BEST_FPERIOD_OVERRIDE=FQ","FILING_STATUS=MR","Sort=A","Dates=H","DateFormat=P","Fill=—","Direction=H","UseDPDF=Y")</f>
        <v>21.7134</v>
      </c>
      <c r="S14" s="21">
        <f>_xll.BDH("AMZN US Equity","COM_EQY_TO_TOT_ASSET","FQ2 2015","FQ2 2015","Currency=USD","Period=FQ","BEST_FPERIOD_OVERRIDE=FQ","FILING_STATUS=MR","Sort=A","Dates=H","DateFormat=P","Fill=—","Direction=H","UseDPDF=Y")</f>
        <v>22.440899999999999</v>
      </c>
      <c r="T14" s="21">
        <f>_xll.BDH("AMZN US Equity","COM_EQY_TO_TOT_ASSET","FQ3 2015","FQ3 2015","Currency=USD","Period=FQ","BEST_FPERIOD_OVERRIDE=FQ","FILING_STATUS=MR","Sort=A","Dates=H","DateFormat=P","Fill=—","Direction=H","UseDPDF=Y")</f>
        <v>22.105599999999999</v>
      </c>
      <c r="U14" s="21">
        <f>_xll.BDH("AMZN US Equity","COM_EQY_TO_TOT_ASSET","FQ4 2015","FQ4 2015","Currency=USD","Period=FQ","BEST_FPERIOD_OVERRIDE=FQ","FILING_STATUS=MR","Sort=A","Dates=H","DateFormat=P","Fill=—","Direction=H","UseDPDF=Y")</f>
        <v>20.671199999999999</v>
      </c>
      <c r="V14" s="21">
        <f>_xll.BDH("AMZN US Equity","COM_EQY_TO_TOT_ASSET","FQ1 2016","FQ1 2016","Currency=USD","Period=FQ","BEST_FPERIOD_OVERRIDE=FQ","FILING_STATUS=MR","Sort=A","Dates=H","DateFormat=P","Fill=—","Direction=H","UseDPDF=Y")</f>
        <v>24.139500000000002</v>
      </c>
      <c r="W14" s="21">
        <f>_xll.BDH("AMZN US Equity","COM_EQY_TO_TOT_ASSET","FQ2 2016","FQ2 2016","Currency=USD","Period=FQ","BEST_FPERIOD_OVERRIDE=FQ","FILING_STATUS=MR","Sort=A","Dates=H","DateFormat=P","Fill=—","Direction=H","UseDPDF=Y")</f>
        <v>25.413399999999999</v>
      </c>
      <c r="X14" s="21">
        <f>_xll.BDH("AMZN US Equity","COM_EQY_TO_TOT_ASSET","FQ3 2016","FQ3 2016","Currency=USD","Period=FQ","BEST_FPERIOD_OVERRIDE=FQ","FILING_STATUS=MR","Sort=A","Dates=H","DateFormat=P","Fill=—","Direction=H","UseDPDF=Y")</f>
        <v>25.081499999999998</v>
      </c>
      <c r="Y14" s="21">
        <f>_xll.BDH("AMZN US Equity","COM_EQY_TO_TOT_ASSET","FQ4 2016","FQ4 2016","Currency=USD","Period=FQ","BEST_FPERIOD_OVERRIDE=FQ","FILING_STATUS=MR","Sort=A","Dates=H","DateFormat=P","Fill=—","Direction=H","UseDPDF=Y")</f>
        <v>23.122900000000001</v>
      </c>
      <c r="Z14" s="21">
        <f>_xll.BDH("AMZN US Equity","COM_EQY_TO_TOT_ASSET","FQ1 2017","FQ1 2017","Currency=USD","Period=FQ","BEST_FPERIOD_OVERRIDE=FQ","FILING_STATUS=MR","Sort=A","Dates=H","DateFormat=P","Fill=—","Direction=H","UseDPDF=Y")</f>
        <v>26.7683</v>
      </c>
      <c r="AA14" s="21">
        <f>_xll.BDH("AMZN US Equity","COM_EQY_TO_TOT_ASSET","FQ2 2017","FQ2 2017","Currency=USD","Period=FQ","BEST_FPERIOD_OVERRIDE=FQ","FILING_STATUS=MR","Sort=A","Dates=H","DateFormat=P","Fill=—","Direction=H","UseDPDF=Y")</f>
        <v>26.445399999999999</v>
      </c>
      <c r="AB14" s="21">
        <f>_xll.BDH("AMZN US Equity","COM_EQY_TO_TOT_ASSET","FQ3 2017","FQ3 2017","Currency=USD","Period=FQ","BEST_FPERIOD_OVERRIDE=FQ","FILING_STATUS=MR","Sort=A","Dates=H","DateFormat=P","Fill=—","Direction=H","UseDPDF=Y")</f>
        <v>21.392099999999999</v>
      </c>
      <c r="AC14" s="21">
        <f>_xll.BDH("AMZN US Equity","COM_EQY_TO_TOT_ASSET","FQ4 2017","FQ4 2017","Currency=USD","Period=FQ","BEST_FPERIOD_OVERRIDE=FQ","FILING_STATUS=MR","Sort=A","Dates=H","DateFormat=P","Fill=—","Direction=H","UseDPDF=Y")</f>
        <v>21.102</v>
      </c>
      <c r="AD14" s="21">
        <f>_xll.BDH("AMZN US Equity","COM_EQY_TO_TOT_ASSET","FQ1 2018","FQ1 2018","Currency=USD","Period=FQ","BEST_FPERIOD_OVERRIDE=FQ","FILING_STATUS=MR","Sort=A","Dates=H","DateFormat=P","Fill=—","Direction=H","UseDPDF=Y")</f>
        <v>24.899100000000001</v>
      </c>
      <c r="AE14" s="21">
        <f>_xll.BDH("AMZN US Equity","COM_EQY_TO_TOT_ASSET","FQ2 2018","FQ2 2018","Currency=USD","Period=FQ","BEST_FPERIOD_OVERRIDE=FQ","FILING_STATUS=MR","Sort=A","Dates=H","DateFormat=P","Fill=—","Direction=H","UseDPDF=Y")</f>
        <v>26.0962</v>
      </c>
      <c r="AF14" s="21">
        <f>_xll.BDH("AMZN US Equity","COM_EQY_TO_TOT_ASSET","FQ3 2018","FQ3 2018","Currency=USD","Period=FQ","BEST_FPERIOD_OVERRIDE=FQ","FILING_STATUS=MR","Sort=A","Dates=H","DateFormat=P","Fill=—","Direction=H","UseDPDF=Y")</f>
        <v>27.227799999999998</v>
      </c>
      <c r="AG14" s="21">
        <f>_xll.BDH("AMZN US Equity","COM_EQY_TO_TOT_ASSET","FQ4 2018","FQ4 2018","Currency=USD","Period=FQ","BEST_FPERIOD_OVERRIDE=FQ","FILING_STATUS=MR","Sort=A","Dates=H","DateFormat=P","Fill=—","Direction=H","UseDPDF=Y")</f>
        <v>26.774999999999999</v>
      </c>
      <c r="AH14" s="21">
        <f>_xll.BDH("AMZN US Equity","COM_EQY_TO_TOT_ASSET","FQ1 2019","FQ1 2019","Currency=USD","Period=FQ","BEST_FPERIOD_OVERRIDE=FQ","FILING_STATUS=MR","Sort=A","Dates=H","DateFormat=P","Fill=—","Direction=H","UseDPDF=Y")</f>
        <v>27.181100000000001</v>
      </c>
      <c r="AI14" s="21">
        <f>_xll.BDH("AMZN US Equity","COM_EQY_TO_TOT_ASSET","FQ2 2019","FQ2 2019","Currency=USD","Period=FQ","BEST_FPERIOD_OVERRIDE=FQ","FILING_STATUS=MR","Sort=A","Dates=H","DateFormat=P","Fill=—","Direction=H","UseDPDF=Y")</f>
        <v>27.729700000000001</v>
      </c>
      <c r="AJ14" s="21">
        <f>_xll.BDH("AMZN US Equity","COM_EQY_TO_TOT_ASSET","FQ3 2019","FQ3 2019","Currency=USD","Period=FQ","BEST_FPERIOD_OVERRIDE=FQ","FILING_STATUS=MR","Sort=A","Dates=H","DateFormat=P","Fill=—","Direction=H","UseDPDF=Y")</f>
        <v>28.381900000000002</v>
      </c>
      <c r="AK14" s="21">
        <f>_xll.BDH("AMZN US Equity","COM_EQY_TO_TOT_ASSET","FQ4 2019","FQ4 2019","Currency=USD","Period=FQ","BEST_FPERIOD_OVERRIDE=FQ","FILING_STATUS=MR","Sort=A","Dates=H","DateFormat=P","Fill=—","Direction=H","UseDPDF=Y")</f>
        <v>27.5519</v>
      </c>
      <c r="AL14" s="21">
        <f>_xll.BDH("AMZN US Equity","COM_EQY_TO_TOT_ASSET","FQ1 2020","FQ1 2020","Currency=USD","Period=FQ","BEST_FPERIOD_OVERRIDE=FQ","FILING_STATUS=MR","Sort=A","Dates=H","DateFormat=P","Fill=—","Direction=H","UseDPDF=Y")</f>
        <v>29.5031</v>
      </c>
      <c r="AM14" s="21">
        <f>_xll.BDH("AMZN US Equity","COM_EQY_TO_TOT_ASSET","FQ2 2020","FQ2 2020","Currency=USD","Period=FQ","BEST_FPERIOD_OVERRIDE=FQ","FILING_STATUS=MR","Sort=A","Dates=H","DateFormat=P","Fill=—","Direction=H","UseDPDF=Y")</f>
        <v>28.542000000000002</v>
      </c>
      <c r="AN14" s="21">
        <f>_xll.BDH("AMZN US Equity","COM_EQY_TO_TOT_ASSET","FQ3 2020","FQ3 2020","Currency=USD","Period=FQ","BEST_FPERIOD_OVERRIDE=FQ","FILING_STATUS=MR","Sort=A","Dates=H","DateFormat=P","Fill=—","Direction=H","UseDPDF=Y")</f>
        <v>29.334199999999999</v>
      </c>
      <c r="AO14" s="21">
        <f>_xll.BDH("AMZN US Equity","COM_EQY_TO_TOT_ASSET","FQ4 2020","FQ4 2020","Currency=USD","Period=FQ","BEST_FPERIOD_OVERRIDE=FQ","FILING_STATUS=MR","Sort=A","Dates=H","DateFormat=P","Fill=—","Direction=H","UseDPDF=Y")</f>
        <v>29.080200000000001</v>
      </c>
      <c r="AP14" s="21">
        <f>_xll.BDH("AMZN US Equity","COM_EQY_TO_TOT_ASSET","FQ1 2021","FQ1 2021","Currency=USD","Period=FQ","BEST_FPERIOD_OVERRIDE=FQ","FILING_STATUS=MR","Sort=A","Dates=H","DateFormat=P","Fill=—","Direction=H","UseDPDF=Y")</f>
        <v>31.98</v>
      </c>
    </row>
    <row r="15" spans="1:42" x14ac:dyDescent="0.25">
      <c r="A15" s="7" t="s">
        <v>87</v>
      </c>
      <c r="B15" s="7" t="s">
        <v>187</v>
      </c>
      <c r="C15" s="23">
        <v>-8.3914101848985894</v>
      </c>
      <c r="D15" s="23">
        <v>-9.7682333479609795</v>
      </c>
      <c r="E15" s="23">
        <v>-15.9645847428003</v>
      </c>
      <c r="F15" s="23">
        <v>-17.855514941787899</v>
      </c>
      <c r="G15" s="23">
        <v>-17.513694424085099</v>
      </c>
      <c r="H15" s="23">
        <v>-18.842948668091999</v>
      </c>
      <c r="I15" s="23">
        <v>-17.99862044752</v>
      </c>
      <c r="J15" s="23">
        <v>-16.8811432045167</v>
      </c>
      <c r="K15" s="23">
        <v>-17.4232574463887</v>
      </c>
      <c r="L15" s="23">
        <v>-13.776898425067699</v>
      </c>
      <c r="M15" s="23">
        <v>-3.55687223859222</v>
      </c>
      <c r="N15" s="23">
        <v>-4.4170422866773604</v>
      </c>
      <c r="O15" s="23">
        <v>-5.1063634634602799</v>
      </c>
      <c r="P15" s="23">
        <v>-10.338538640727799</v>
      </c>
      <c r="Q15" s="23">
        <v>-18.798350934520901</v>
      </c>
      <c r="R15" s="23">
        <v>-23.548879933874399</v>
      </c>
      <c r="S15" s="23">
        <v>-19.7826201887958</v>
      </c>
      <c r="T15" s="23">
        <v>-13.5557488910193</v>
      </c>
      <c r="U15" s="23">
        <v>4.8957526543721803</v>
      </c>
      <c r="V15" s="23">
        <v>11.1731817589391</v>
      </c>
      <c r="W15" s="23">
        <v>13.245814503305001</v>
      </c>
      <c r="X15" s="23">
        <v>13.461805535764199</v>
      </c>
      <c r="Y15" s="23">
        <v>11.860538715938899</v>
      </c>
      <c r="Z15" s="23">
        <v>10.8898560538364</v>
      </c>
      <c r="AA15" s="23">
        <v>4.0608360255193201</v>
      </c>
      <c r="AB15" s="23">
        <v>-14.7096085649892</v>
      </c>
      <c r="AC15" s="23">
        <v>-8.7401272856785894</v>
      </c>
      <c r="AD15" s="23">
        <v>-6.98278248772829</v>
      </c>
      <c r="AE15" s="23">
        <v>-1.3203111109329599</v>
      </c>
      <c r="AF15" s="23">
        <v>27.279905378029799</v>
      </c>
      <c r="AG15" s="23">
        <v>26.8838713272864</v>
      </c>
      <c r="AH15" s="23">
        <v>9.1648095378872902</v>
      </c>
      <c r="AI15" s="23">
        <v>6.2594292953873598</v>
      </c>
      <c r="AJ15" s="23">
        <v>4.2385011588703296</v>
      </c>
      <c r="AK15" s="23">
        <v>2.9014193427234001</v>
      </c>
      <c r="AL15" s="23">
        <v>8.5427702693206804</v>
      </c>
      <c r="AM15" s="23">
        <v>2.9294867194597098</v>
      </c>
      <c r="AN15" s="23">
        <v>3.3555129931583001</v>
      </c>
      <c r="AO15" s="23">
        <v>5.5469951314347199</v>
      </c>
      <c r="AP15" s="23">
        <v>8.39547573847317</v>
      </c>
    </row>
    <row r="16" spans="1:42" x14ac:dyDescent="0.25">
      <c r="A16" s="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</row>
    <row r="17" spans="1:42" x14ac:dyDescent="0.25">
      <c r="A17" s="8" t="s">
        <v>186</v>
      </c>
      <c r="B17" s="8" t="s">
        <v>185</v>
      </c>
      <c r="C17" s="21">
        <f>_xll.BDH("AMZN US Equity","LT_DEBT_TO_TOT_EQY","FQ2 2011","FQ2 2011","Currency=USD","Period=FQ","BEST_FPERIOD_OVERRIDE=FQ","FILING_STATUS=MR","Sort=A","Dates=H","DateFormat=P","Fill=—","Direction=H","UseDPDF=Y")</f>
        <v>0</v>
      </c>
      <c r="D17" s="21">
        <f>_xll.BDH("AMZN US Equity","LT_DEBT_TO_TOT_EQY","FQ3 2011","FQ3 2011","Currency=USD","Period=FQ","BEST_FPERIOD_OVERRIDE=FQ","FILING_STATUS=MR","Sort=A","Dates=H","DateFormat=P","Fill=—","Direction=H","UseDPDF=Y")</f>
        <v>0</v>
      </c>
      <c r="E17" s="21">
        <f>_xll.BDH("AMZN US Equity","LT_DEBT_TO_TOT_EQY","FQ4 2011","FQ4 2011","Currency=USD","Period=FQ","BEST_FPERIOD_OVERRIDE=FQ","FILING_STATUS=MR","Sort=A","Dates=H","DateFormat=P","Fill=—","Direction=H","UseDPDF=Y")</f>
        <v>21.5289</v>
      </c>
      <c r="F17" s="21">
        <f>_xll.BDH("AMZN US Equity","LT_DEBT_TO_TOT_EQY","FQ1 2012","FQ1 2012","Currency=USD","Period=FQ","BEST_FPERIOD_OVERRIDE=FQ","FILING_STATUS=MR","Sort=A","Dates=H","DateFormat=P","Fill=—","Direction=H","UseDPDF=Y")</f>
        <v>0</v>
      </c>
      <c r="G17" s="21">
        <f>_xll.BDH("AMZN US Equity","LT_DEBT_TO_TOT_EQY","FQ2 2012","FQ2 2012","Currency=USD","Period=FQ","BEST_FPERIOD_OVERRIDE=FQ","FILING_STATUS=MR","Sort=A","Dates=H","DateFormat=P","Fill=—","Direction=H","UseDPDF=Y")</f>
        <v>0</v>
      </c>
      <c r="H17" s="21">
        <f>_xll.BDH("AMZN US Equity","LT_DEBT_TO_TOT_EQY","FQ3 2012","FQ3 2012","Currency=USD","Period=FQ","BEST_FPERIOD_OVERRIDE=FQ","FILING_STATUS=MR","Sort=A","Dates=H","DateFormat=P","Fill=—","Direction=H","UseDPDF=Y")</f>
        <v>0</v>
      </c>
      <c r="I17" s="21">
        <f>_xll.BDH("AMZN US Equity","LT_DEBT_TO_TOT_EQY","FQ4 2012","FQ4 2012","Currency=USD","Period=FQ","BEST_FPERIOD_OVERRIDE=FQ","FILING_STATUS=MR","Sort=A","Dates=H","DateFormat=P","Fill=—","Direction=H","UseDPDF=Y")</f>
        <v>46.752899999999997</v>
      </c>
      <c r="J17" s="21">
        <f>_xll.BDH("AMZN US Equity","LT_DEBT_TO_TOT_EQY","FQ1 2013","FQ1 2013","Currency=USD","Period=FQ","BEST_FPERIOD_OVERRIDE=FQ","FILING_STATUS=MR","Sort=A","Dates=H","DateFormat=P","Fill=—","Direction=H","UseDPDF=Y")</f>
        <v>36.053100000000001</v>
      </c>
      <c r="K17" s="21">
        <f>_xll.BDH("AMZN US Equity","LT_DEBT_TO_TOT_EQY","FQ2 2013","FQ2 2013","Currency=USD","Period=FQ","BEST_FPERIOD_OVERRIDE=FQ","FILING_STATUS=MR","Sort=A","Dates=H","DateFormat=P","Fill=—","Direction=H","UseDPDF=Y")</f>
        <v>34.833399999999997</v>
      </c>
      <c r="L17" s="21">
        <f>_xll.BDH("AMZN US Equity","LT_DEBT_TO_TOT_EQY","FQ3 2013","FQ3 2013","Currency=USD","Period=FQ","BEST_FPERIOD_OVERRIDE=FQ","FILING_STATUS=MR","Sort=A","Dates=H","DateFormat=P","Fill=—","Direction=H","UseDPDF=Y")</f>
        <v>33.487400000000001</v>
      </c>
      <c r="M17" s="21">
        <f>_xll.BDH("AMZN US Equity","LT_DEBT_TO_TOT_EQY","FQ4 2013","FQ4 2013","Currency=USD","Period=FQ","BEST_FPERIOD_OVERRIDE=FQ","FILING_STATUS=MR","Sort=A","Dates=H","DateFormat=P","Fill=—","Direction=H","UseDPDF=Y")</f>
        <v>53.160299999999999</v>
      </c>
      <c r="N17" s="21">
        <f>_xll.BDH("AMZN US Equity","LT_DEBT_TO_TOT_EQY","FQ1 2014","FQ1 2014","Currency=USD","Period=FQ","BEST_FPERIOD_OVERRIDE=FQ","FILING_STATUS=MR","Sort=A","Dates=H","DateFormat=P","Fill=—","Direction=H","UseDPDF=Y")</f>
        <v>30.470600000000001</v>
      </c>
      <c r="O17" s="21">
        <f>_xll.BDH("AMZN US Equity","LT_DEBT_TO_TOT_EQY","FQ2 2014","FQ2 2014","Currency=USD","Period=FQ","BEST_FPERIOD_OVERRIDE=FQ","FILING_STATUS=MR","Sort=A","Dates=H","DateFormat=P","Fill=—","Direction=H","UseDPDF=Y")</f>
        <v>29.419</v>
      </c>
      <c r="P17" s="21">
        <f>_xll.BDH("AMZN US Equity","LT_DEBT_TO_TOT_EQY","FQ3 2014","FQ3 2014","Currency=USD","Period=FQ","BEST_FPERIOD_OVERRIDE=FQ","FILING_STATUS=MR","Sort=A","Dates=H","DateFormat=P","Fill=—","Direction=H","UseDPDF=Y")</f>
        <v>29.982600000000001</v>
      </c>
      <c r="Q17" s="21">
        <f>_xll.BDH("AMZN US Equity","LT_DEBT_TO_TOT_EQY","FQ4 2014","FQ4 2014","Currency=USD","Period=FQ","BEST_FPERIOD_OVERRIDE=FQ","FILING_STATUS=MR","Sort=A","Dates=H","DateFormat=P","Fill=—","Direction=H","UseDPDF=Y")</f>
        <v>116.2741</v>
      </c>
      <c r="R17" s="21">
        <f>_xll.BDH("AMZN US Equity","LT_DEBT_TO_TOT_EQY","FQ1 2015","FQ1 2015","Currency=USD","Period=FQ","BEST_FPERIOD_OVERRIDE=FQ","FILING_STATUS=MR","Sort=A","Dates=H","DateFormat=P","Fill=—","Direction=H","UseDPDF=Y")</f>
        <v>75.940399999999997</v>
      </c>
      <c r="S17" s="21">
        <f>_xll.BDH("AMZN US Equity","LT_DEBT_TO_TOT_EQY","FQ2 2015","FQ2 2015","Currency=USD","Period=FQ","BEST_FPERIOD_OVERRIDE=FQ","FILING_STATUS=MR","Sort=A","Dates=H","DateFormat=P","Fill=—","Direction=H","UseDPDF=Y")</f>
        <v>70.105400000000003</v>
      </c>
      <c r="T17" s="21">
        <f>_xll.BDH("AMZN US Equity","LT_DEBT_TO_TOT_EQY","FQ3 2015","FQ3 2015","Currency=USD","Period=FQ","BEST_FPERIOD_OVERRIDE=FQ","FILING_STATUS=MR","Sort=A","Dates=H","DateFormat=P","Fill=—","Direction=H","UseDPDF=Y")</f>
        <v>66.315399999999997</v>
      </c>
      <c r="U17" s="21">
        <f>_xll.BDH("AMZN US Equity","LT_DEBT_TO_TOT_EQY","FQ4 2015","FQ4 2015","Currency=USD","Period=FQ","BEST_FPERIOD_OVERRIDE=FQ","FILING_STATUS=MR","Sort=A","Dates=H","DateFormat=P","Fill=—","Direction=H","UseDPDF=Y")</f>
        <v>105.91</v>
      </c>
      <c r="V17" s="21">
        <f>_xll.BDH("AMZN US Equity","LT_DEBT_TO_TOT_EQY","FQ1 2016","FQ1 2016","Currency=USD","Period=FQ","BEST_FPERIOD_OVERRIDE=FQ","FILING_STATUS=MR","Sort=A","Dates=H","DateFormat=P","Fill=—","Direction=H","UseDPDF=Y")</f>
        <v>96.360799999999998</v>
      </c>
      <c r="W17" s="21">
        <f>_xll.BDH("AMZN US Equity","LT_DEBT_TO_TOT_EQY","FQ2 2016","FQ2 2016","Currency=USD","Period=FQ","BEST_FPERIOD_OVERRIDE=FQ","FILING_STATUS=MR","Sort=A","Dates=H","DateFormat=P","Fill=—","Direction=H","UseDPDF=Y")</f>
        <v>86.540099999999995</v>
      </c>
      <c r="X17" s="21">
        <f>_xll.BDH("AMZN US Equity","LT_DEBT_TO_TOT_EQY","FQ3 2016","FQ3 2016","Currency=USD","Period=FQ","BEST_FPERIOD_OVERRIDE=FQ","FILING_STATUS=MR","Sort=A","Dates=H","DateFormat=P","Fill=—","Direction=H","UseDPDF=Y")</f>
        <v>84.945499999999996</v>
      </c>
      <c r="Y17" s="21">
        <f>_xll.BDH("AMZN US Equity","LT_DEBT_TO_TOT_EQY","FQ4 2016","FQ4 2016","Currency=USD","Period=FQ","BEST_FPERIOD_OVERRIDE=FQ","FILING_STATUS=MR","Sort=A","Dates=H","DateFormat=P","Fill=—","Direction=H","UseDPDF=Y")</f>
        <v>78.885099999999994</v>
      </c>
      <c r="Z17" s="21">
        <f>_xll.BDH("AMZN US Equity","LT_DEBT_TO_TOT_EQY","FQ1 2017","FQ1 2017","Currency=USD","Period=FQ","BEST_FPERIOD_OVERRIDE=FQ","FILING_STATUS=MR","Sort=A","Dates=H","DateFormat=P","Fill=—","Direction=H","UseDPDF=Y")</f>
        <v>73.779600000000002</v>
      </c>
      <c r="AA17" s="21">
        <f>_xll.BDH("AMZN US Equity","LT_DEBT_TO_TOT_EQY","FQ2 2017","FQ2 2017","Currency=USD","Period=FQ","BEST_FPERIOD_OVERRIDE=FQ","FILING_STATUS=MR","Sort=A","Dates=H","DateFormat=P","Fill=—","Direction=H","UseDPDF=Y")</f>
        <v>75.312299999999993</v>
      </c>
      <c r="AB17" s="21">
        <f>_xll.BDH("AMZN US Equity","LT_DEBT_TO_TOT_EQY","FQ3 2017","FQ3 2017","Currency=USD","Period=FQ","BEST_FPERIOD_OVERRIDE=FQ","FILING_STATUS=MR","Sort=A","Dates=H","DateFormat=P","Fill=—","Direction=H","UseDPDF=Y")</f>
        <v>148.47110000000001</v>
      </c>
      <c r="AC17" s="21">
        <f>_xll.BDH("AMZN US Equity","LT_DEBT_TO_TOT_EQY","FQ4 2017","FQ4 2017","Currency=USD","Period=FQ","BEST_FPERIOD_OVERRIDE=FQ","FILING_STATUS=MR","Sort=A","Dates=H","DateFormat=P","Fill=—","Direction=H","UseDPDF=Y")</f>
        <v>136.8725</v>
      </c>
      <c r="AD17" s="21">
        <f>_xll.BDH("AMZN US Equity","LT_DEBT_TO_TOT_EQY","FQ1 2018","FQ1 2018","Currency=USD","Period=FQ","BEST_FPERIOD_OVERRIDE=FQ","FILING_STATUS=MR","Sort=A","Dates=H","DateFormat=P","Fill=—","Direction=H","UseDPDF=Y")</f>
        <v>78.3142</v>
      </c>
      <c r="AE17" s="21">
        <f>_xll.BDH("AMZN US Equity","LT_DEBT_TO_TOT_EQY","FQ2 2018","FQ2 2018","Currency=USD","Period=FQ","BEST_FPERIOD_OVERRIDE=FQ","FILING_STATUS=MR","Sort=A","Dates=H","DateFormat=P","Fill=—","Direction=H","UseDPDF=Y")</f>
        <v>70.404300000000006</v>
      </c>
      <c r="AF17" s="21">
        <f>_xll.BDH("AMZN US Equity","LT_DEBT_TO_TOT_EQY","FQ3 2018","FQ3 2018","Currency=USD","Period=FQ","BEST_FPERIOD_OVERRIDE=FQ","FILING_STATUS=MR","Sort=A","Dates=H","DateFormat=P","Fill=—","Direction=H","UseDPDF=Y")</f>
        <v>96.572500000000005</v>
      </c>
      <c r="AG17" s="21">
        <f>_xll.BDH("AMZN US Equity","LT_DEBT_TO_TOT_EQY","FQ4 2018","FQ4 2018","Currency=USD","Period=FQ","BEST_FPERIOD_OVERRIDE=FQ","FILING_STATUS=MR","Sort=A","Dates=H","DateFormat=P","Fill=—","Direction=H","UseDPDF=Y")</f>
        <v>91.361500000000007</v>
      </c>
      <c r="AH17" s="21">
        <f>_xll.BDH("AMZN US Equity","LT_DEBT_TO_TOT_EQY","FQ1 2019","FQ1 2019","Currency=USD","Period=FQ","BEST_FPERIOD_OVERRIDE=FQ","FILING_STATUS=MR","Sort=A","Dates=H","DateFormat=P","Fill=—","Direction=H","UseDPDF=Y")</f>
        <v>116.9118</v>
      </c>
      <c r="AI17" s="21">
        <f>_xll.BDH("AMZN US Equity","LT_DEBT_TO_TOT_EQY","FQ2 2019","FQ2 2019","Currency=USD","Period=FQ","BEST_FPERIOD_OVERRIDE=FQ","FILING_STATUS=MR","Sort=A","Dates=H","DateFormat=P","Fill=—","Direction=H","UseDPDF=Y")</f>
        <v>110.1807</v>
      </c>
      <c r="AJ17" s="21">
        <f>_xll.BDH("AMZN US Equity","LT_DEBT_TO_TOT_EQY","FQ3 2019","FQ3 2019","Currency=USD","Period=FQ","BEST_FPERIOD_OVERRIDE=FQ","FILING_STATUS=MR","Sort=A","Dates=H","DateFormat=P","Fill=—","Direction=H","UseDPDF=Y")</f>
        <v>105.3479</v>
      </c>
      <c r="AK17" s="21">
        <f>_xll.BDH("AMZN US Equity","LT_DEBT_TO_TOT_EQY","FQ4 2019","FQ4 2019","Currency=USD","Period=FQ","BEST_FPERIOD_OVERRIDE=FQ","FILING_STATUS=MR","Sort=A","Dates=H","DateFormat=P","Fill=—","Direction=H","UseDPDF=Y")</f>
        <v>101.845</v>
      </c>
      <c r="AL17" s="21">
        <f>_xll.BDH("AMZN US Equity","LT_DEBT_TO_TOT_EQY","FQ1 2020","FQ1 2020","Currency=USD","Period=FQ","BEST_FPERIOD_OVERRIDE=FQ","FILING_STATUS=MR","Sort=A","Dates=H","DateFormat=P","Fill=—","Direction=H","UseDPDF=Y")</f>
        <v>97.648300000000006</v>
      </c>
      <c r="AM17" s="21">
        <f>_xll.BDH("AMZN US Equity","LT_DEBT_TO_TOT_EQY","FQ2 2020","FQ2 2020","Currency=USD","Period=FQ","BEST_FPERIOD_OVERRIDE=FQ","FILING_STATUS=MR","Sort=A","Dates=H","DateFormat=P","Fill=—","Direction=H","UseDPDF=Y")</f>
        <v>102.9812</v>
      </c>
      <c r="AN17" s="21">
        <f>_xll.BDH("AMZN US Equity","LT_DEBT_TO_TOT_EQY","FQ3 2020","FQ3 2020","Currency=USD","Period=FQ","BEST_FPERIOD_OVERRIDE=FQ","FILING_STATUS=MR","Sort=A","Dates=H","DateFormat=P","Fill=—","Direction=H","UseDPDF=Y")</f>
        <v>98.481399999999994</v>
      </c>
      <c r="AO17" s="21">
        <f>_xll.BDH("AMZN US Equity","LT_DEBT_TO_TOT_EQY","FQ4 2020","FQ4 2020","Currency=USD","Period=FQ","BEST_FPERIOD_OVERRIDE=FQ","FILING_STATUS=MR","Sort=A","Dates=H","DateFormat=P","Fill=—","Direction=H","UseDPDF=Y")</f>
        <v>90.348399999999998</v>
      </c>
      <c r="AP17" s="21">
        <f>_xll.BDH("AMZN US Equity","LT_DEBT_TO_TOT_EQY","FQ1 2021","FQ1 2021","Currency=USD","Period=FQ","BEST_FPERIOD_OVERRIDE=FQ","FILING_STATUS=MR","Sort=A","Dates=H","DateFormat=P","Fill=—","Direction=H","UseDPDF=Y")</f>
        <v>82.205799999999996</v>
      </c>
    </row>
    <row r="18" spans="1:42" x14ac:dyDescent="0.25">
      <c r="A18" s="7" t="s">
        <v>87</v>
      </c>
      <c r="B18" s="7" t="s">
        <v>185</v>
      </c>
      <c r="C18" s="23" t="s">
        <v>88</v>
      </c>
      <c r="D18" s="23" t="s">
        <v>88</v>
      </c>
      <c r="E18" s="23">
        <v>221.249241975686</v>
      </c>
      <c r="F18" s="23" t="s">
        <v>88</v>
      </c>
      <c r="G18" s="23" t="s">
        <v>88</v>
      </c>
      <c r="H18" s="23" t="s">
        <v>88</v>
      </c>
      <c r="I18" s="23">
        <v>117.16315646165999</v>
      </c>
      <c r="J18" s="23" t="s">
        <v>88</v>
      </c>
      <c r="K18" s="23" t="s">
        <v>88</v>
      </c>
      <c r="L18" s="23" t="s">
        <v>88</v>
      </c>
      <c r="M18" s="23">
        <v>13.7046833214517</v>
      </c>
      <c r="N18" s="23">
        <v>-15.484275138267501</v>
      </c>
      <c r="O18" s="23">
        <v>-15.5437436452856</v>
      </c>
      <c r="P18" s="23">
        <v>-10.4660708206669</v>
      </c>
      <c r="Q18" s="23">
        <v>118.723659252979</v>
      </c>
      <c r="R18" s="23">
        <v>149.22545085724499</v>
      </c>
      <c r="S18" s="23">
        <v>138.29981449389601</v>
      </c>
      <c r="T18" s="23">
        <v>121.179614766372</v>
      </c>
      <c r="U18" s="23">
        <v>-8.9134630079667794</v>
      </c>
      <c r="V18" s="23">
        <v>26.890032437673501</v>
      </c>
      <c r="W18" s="23">
        <v>23.4428817649775</v>
      </c>
      <c r="X18" s="23">
        <v>28.093163204437399</v>
      </c>
      <c r="Y18" s="23">
        <v>-25.51684192515</v>
      </c>
      <c r="Z18" s="23">
        <v>-23.433966437929801</v>
      </c>
      <c r="AA18" s="23">
        <v>-12.9740760955307</v>
      </c>
      <c r="AB18" s="23">
        <v>74.784033753426499</v>
      </c>
      <c r="AC18" s="23">
        <v>73.508583568028996</v>
      </c>
      <c r="AD18" s="23">
        <v>6.1460936298364297</v>
      </c>
      <c r="AE18" s="23">
        <v>-6.5168215789205997</v>
      </c>
      <c r="AF18" s="23">
        <v>-34.955331773559401</v>
      </c>
      <c r="AG18" s="23">
        <v>-33.250683906575397</v>
      </c>
      <c r="AH18" s="23">
        <v>49.285544730643402</v>
      </c>
      <c r="AI18" s="23">
        <v>56.497071494581</v>
      </c>
      <c r="AJ18" s="23">
        <v>9.0868402693917396</v>
      </c>
      <c r="AK18" s="23">
        <v>11.4747887935891</v>
      </c>
      <c r="AL18" s="23">
        <v>-16.476945717923499</v>
      </c>
      <c r="AM18" s="23">
        <v>-6.53427026058593</v>
      </c>
      <c r="AN18" s="23">
        <v>-6.5179163726211398</v>
      </c>
      <c r="AO18" s="23">
        <v>-11.2883413439222</v>
      </c>
      <c r="AP18" s="23">
        <v>-15.814441914207601</v>
      </c>
    </row>
    <row r="19" spans="1:42" x14ac:dyDescent="0.25">
      <c r="A19" s="8" t="s">
        <v>184</v>
      </c>
      <c r="B19" s="8" t="s">
        <v>183</v>
      </c>
      <c r="C19" s="21">
        <f>_xll.BDH("AMZN US Equity","LT_DEBT_TO_TOT_CAP","FQ2 2011","FQ2 2011","Currency=USD","Period=FQ","BEST_FPERIOD_OVERRIDE=FQ","FILING_STATUS=MR","Sort=A","Dates=H","DateFormat=P","Fill=—","Direction=H","UseDPDF=Y")</f>
        <v>0</v>
      </c>
      <c r="D19" s="21">
        <f>_xll.BDH("AMZN US Equity","LT_DEBT_TO_TOT_CAP","FQ3 2011","FQ3 2011","Currency=USD","Period=FQ","BEST_FPERIOD_OVERRIDE=FQ","FILING_STATUS=MR","Sort=A","Dates=H","DateFormat=P","Fill=—","Direction=H","UseDPDF=Y")</f>
        <v>0</v>
      </c>
      <c r="E19" s="21">
        <f>_xll.BDH("AMZN US Equity","LT_DEBT_TO_TOT_CAP","FQ4 2011","FQ4 2011","Currency=USD","Period=FQ","BEST_FPERIOD_OVERRIDE=FQ","FILING_STATUS=MR","Sort=A","Dates=H","DateFormat=P","Fill=—","Direction=H","UseDPDF=Y")</f>
        <v>16.7822</v>
      </c>
      <c r="F19" s="21">
        <f>_xll.BDH("AMZN US Equity","LT_DEBT_TO_TOT_CAP","FQ1 2012","FQ1 2012","Currency=USD","Period=FQ","BEST_FPERIOD_OVERRIDE=FQ","FILING_STATUS=MR","Sort=A","Dates=H","DateFormat=P","Fill=—","Direction=H","UseDPDF=Y")</f>
        <v>0</v>
      </c>
      <c r="G19" s="21">
        <f>_xll.BDH("AMZN US Equity","LT_DEBT_TO_TOT_CAP","FQ2 2012","FQ2 2012","Currency=USD","Period=FQ","BEST_FPERIOD_OVERRIDE=FQ","FILING_STATUS=MR","Sort=A","Dates=H","DateFormat=P","Fill=—","Direction=H","UseDPDF=Y")</f>
        <v>0</v>
      </c>
      <c r="H19" s="21">
        <f>_xll.BDH("AMZN US Equity","LT_DEBT_TO_TOT_CAP","FQ3 2012","FQ3 2012","Currency=USD","Period=FQ","BEST_FPERIOD_OVERRIDE=FQ","FILING_STATUS=MR","Sort=A","Dates=H","DateFormat=P","Fill=—","Direction=H","UseDPDF=Y")</f>
        <v>0</v>
      </c>
      <c r="I19" s="21">
        <f>_xll.BDH("AMZN US Equity","LT_DEBT_TO_TOT_CAP","FQ4 2012","FQ4 2012","Currency=USD","Period=FQ","BEST_FPERIOD_OVERRIDE=FQ","FILING_STATUS=MR","Sort=A","Dates=H","DateFormat=P","Fill=—","Direction=H","UseDPDF=Y")</f>
        <v>29.112200000000001</v>
      </c>
      <c r="J19" s="21">
        <f>_xll.BDH("AMZN US Equity","LT_DEBT_TO_TOT_CAP","FQ1 2013","FQ1 2013","Currency=USD","Period=FQ","BEST_FPERIOD_OVERRIDE=FQ","FILING_STATUS=MR","Sort=A","Dates=H","DateFormat=P","Fill=—","Direction=H","UseDPDF=Y")</f>
        <v>25.074200000000001</v>
      </c>
      <c r="K19" s="21">
        <f>_xll.BDH("AMZN US Equity","LT_DEBT_TO_TOT_CAP","FQ2 2013","FQ2 2013","Currency=USD","Period=FQ","BEST_FPERIOD_OVERRIDE=FQ","FILING_STATUS=MR","Sort=A","Dates=H","DateFormat=P","Fill=—","Direction=H","UseDPDF=Y")</f>
        <v>24.4024</v>
      </c>
      <c r="L19" s="21">
        <f>_xll.BDH("AMZN US Equity","LT_DEBT_TO_TOT_CAP","FQ3 2013","FQ3 2013","Currency=USD","Period=FQ","BEST_FPERIOD_OVERRIDE=FQ","FILING_STATUS=MR","Sort=A","Dates=H","DateFormat=P","Fill=—","Direction=H","UseDPDF=Y")</f>
        <v>23.754899999999999</v>
      </c>
      <c r="M19" s="21">
        <f>_xll.BDH("AMZN US Equity","LT_DEBT_TO_TOT_CAP","FQ4 2013","FQ4 2013","Currency=USD","Period=FQ","BEST_FPERIOD_OVERRIDE=FQ","FILING_STATUS=MR","Sort=A","Dates=H","DateFormat=P","Fill=—","Direction=H","UseDPDF=Y")</f>
        <v>31.145199999999999</v>
      </c>
      <c r="N19" s="21">
        <f>_xll.BDH("AMZN US Equity","LT_DEBT_TO_TOT_CAP","FQ1 2014","FQ1 2014","Currency=USD","Period=FQ","BEST_FPERIOD_OVERRIDE=FQ","FILING_STATUS=MR","Sort=A","Dates=H","DateFormat=P","Fill=—","Direction=H","UseDPDF=Y")</f>
        <v>22.0703</v>
      </c>
      <c r="O19" s="21">
        <f>_xll.BDH("AMZN US Equity","LT_DEBT_TO_TOT_CAP","FQ2 2014","FQ2 2014","Currency=USD","Period=FQ","BEST_FPERIOD_OVERRIDE=FQ","FILING_STATUS=MR","Sort=A","Dates=H","DateFormat=P","Fill=—","Direction=H","UseDPDF=Y")</f>
        <v>21.390899999999998</v>
      </c>
      <c r="P19" s="21">
        <f>_xll.BDH("AMZN US Equity","LT_DEBT_TO_TOT_CAP","FQ3 2014","FQ3 2014","Currency=USD","Period=FQ","BEST_FPERIOD_OVERRIDE=FQ","FILING_STATUS=MR","Sort=A","Dates=H","DateFormat=P","Fill=—","Direction=H","UseDPDF=Y")</f>
        <v>21.672799999999999</v>
      </c>
      <c r="Q19" s="21">
        <f>_xll.BDH("AMZN US Equity","LT_DEBT_TO_TOT_CAP","FQ4 2014","FQ4 2014","Currency=USD","Period=FQ","BEST_FPERIOD_OVERRIDE=FQ","FILING_STATUS=MR","Sort=A","Dates=H","DateFormat=P","Fill=—","Direction=H","UseDPDF=Y")</f>
        <v>46.5486</v>
      </c>
      <c r="R19" s="21">
        <f>_xll.BDH("AMZN US Equity","LT_DEBT_TO_TOT_CAP","FQ1 2015","FQ1 2015","Currency=USD","Period=FQ","BEST_FPERIOD_OVERRIDE=FQ","FILING_STATUS=MR","Sort=A","Dates=H","DateFormat=P","Fill=—","Direction=H","UseDPDF=Y")</f>
        <v>40.264299999999999</v>
      </c>
      <c r="S19" s="21">
        <f>_xll.BDH("AMZN US Equity","LT_DEBT_TO_TOT_CAP","FQ2 2015","FQ2 2015","Currency=USD","Period=FQ","BEST_FPERIOD_OVERRIDE=FQ","FILING_STATUS=MR","Sort=A","Dates=H","DateFormat=P","Fill=—","Direction=H","UseDPDF=Y")</f>
        <v>38.774299999999997</v>
      </c>
      <c r="T19" s="21">
        <f>_xll.BDH("AMZN US Equity","LT_DEBT_TO_TOT_CAP","FQ3 2015","FQ3 2015","Currency=USD","Period=FQ","BEST_FPERIOD_OVERRIDE=FQ","FILING_STATUS=MR","Sort=A","Dates=H","DateFormat=P","Fill=—","Direction=H","UseDPDF=Y")</f>
        <v>37.829300000000003</v>
      </c>
      <c r="U19" s="21">
        <f>_xll.BDH("AMZN US Equity","LT_DEBT_TO_TOT_CAP","FQ4 2015","FQ4 2015","Currency=USD","Period=FQ","BEST_FPERIOD_OVERRIDE=FQ","FILING_STATUS=MR","Sort=A","Dates=H","DateFormat=P","Fill=—","Direction=H","UseDPDF=Y")</f>
        <v>45.839700000000001</v>
      </c>
      <c r="V19" s="21">
        <f>_xll.BDH("AMZN US Equity","LT_DEBT_TO_TOT_CAP","FQ1 2016","FQ1 2016","Currency=USD","Period=FQ","BEST_FPERIOD_OVERRIDE=FQ","FILING_STATUS=MR","Sort=A","Dates=H","DateFormat=P","Fill=—","Direction=H","UseDPDF=Y")</f>
        <v>43.929200000000002</v>
      </c>
      <c r="W19" s="21">
        <f>_xll.BDH("AMZN US Equity","LT_DEBT_TO_TOT_CAP","FQ2 2016","FQ2 2016","Currency=USD","Period=FQ","BEST_FPERIOD_OVERRIDE=FQ","FILING_STATUS=MR","Sort=A","Dates=H","DateFormat=P","Fill=—","Direction=H","UseDPDF=Y")</f>
        <v>41.607100000000003</v>
      </c>
      <c r="X19" s="21">
        <f>_xll.BDH("AMZN US Equity","LT_DEBT_TO_TOT_CAP","FQ3 2016","FQ3 2016","Currency=USD","Period=FQ","BEST_FPERIOD_OVERRIDE=FQ","FILING_STATUS=MR","Sort=A","Dates=H","DateFormat=P","Fill=—","Direction=H","UseDPDF=Y")</f>
        <v>41.079700000000003</v>
      </c>
      <c r="Y19" s="21">
        <f>_xll.BDH("AMZN US Equity","LT_DEBT_TO_TOT_CAP","FQ4 2016","FQ4 2016","Currency=USD","Period=FQ","BEST_FPERIOD_OVERRIDE=FQ","FILING_STATUS=MR","Sort=A","Dates=H","DateFormat=P","Fill=—","Direction=H","UseDPDF=Y")</f>
        <v>38.3247</v>
      </c>
      <c r="Z19" s="21">
        <f>_xll.BDH("AMZN US Equity","LT_DEBT_TO_TOT_CAP","FQ1 2017","FQ1 2017","Currency=USD","Period=FQ","BEST_FPERIOD_OVERRIDE=FQ","FILING_STATUS=MR","Sort=A","Dates=H","DateFormat=P","Fill=—","Direction=H","UseDPDF=Y")</f>
        <v>36.953800000000001</v>
      </c>
      <c r="AA19" s="21">
        <f>_xll.BDH("AMZN US Equity","LT_DEBT_TO_TOT_CAP","FQ2 2017","FQ2 2017","Currency=USD","Period=FQ","BEST_FPERIOD_OVERRIDE=FQ","FILING_STATUS=MR","Sort=A","Dates=H","DateFormat=P","Fill=—","Direction=H","UseDPDF=Y")</f>
        <v>37.330500000000001</v>
      </c>
      <c r="AB19" s="21">
        <f>_xll.BDH("AMZN US Equity","LT_DEBT_TO_TOT_CAP","FQ3 2017","FQ3 2017","Currency=USD","Period=FQ","BEST_FPERIOD_OVERRIDE=FQ","FILING_STATUS=MR","Sort=A","Dates=H","DateFormat=P","Fill=—","Direction=H","UseDPDF=Y")</f>
        <v>53.962000000000003</v>
      </c>
      <c r="AC19" s="21">
        <f>_xll.BDH("AMZN US Equity","LT_DEBT_TO_TOT_CAP","FQ4 2017","FQ4 2017","Currency=USD","Period=FQ","BEST_FPERIOD_OVERRIDE=FQ","FILING_STATUS=MR","Sort=A","Dates=H","DateFormat=P","Fill=—","Direction=H","UseDPDF=Y")</f>
        <v>52.7806</v>
      </c>
      <c r="AD19" s="21">
        <f>_xll.BDH("AMZN US Equity","LT_DEBT_TO_TOT_CAP","FQ1 2018","FQ1 2018","Currency=USD","Period=FQ","BEST_FPERIOD_OVERRIDE=FQ","FILING_STATUS=MR","Sort=A","Dates=H","DateFormat=P","Fill=—","Direction=H","UseDPDF=Y")</f>
        <v>39.329599999999999</v>
      </c>
      <c r="AE19" s="21">
        <f>_xll.BDH("AMZN US Equity","LT_DEBT_TO_TOT_CAP","FQ2 2018","FQ2 2018","Currency=USD","Period=FQ","BEST_FPERIOD_OVERRIDE=FQ","FILING_STATUS=MR","Sort=A","Dates=H","DateFormat=P","Fill=—","Direction=H","UseDPDF=Y")</f>
        <v>37.002899999999997</v>
      </c>
      <c r="AF19" s="21">
        <f>_xll.BDH("AMZN US Equity","LT_DEBT_TO_TOT_CAP","FQ3 2018","FQ3 2018","Currency=USD","Period=FQ","BEST_FPERIOD_OVERRIDE=FQ","FILING_STATUS=MR","Sort=A","Dates=H","DateFormat=P","Fill=—","Direction=H","UseDPDF=Y")</f>
        <v>45.503700000000002</v>
      </c>
      <c r="AG19" s="21">
        <f>_xll.BDH("AMZN US Equity","LT_DEBT_TO_TOT_CAP","FQ4 2018","FQ4 2018","Currency=USD","Period=FQ","BEST_FPERIOD_OVERRIDE=FQ","FILING_STATUS=MR","Sort=A","Dates=H","DateFormat=P","Fill=—","Direction=H","UseDPDF=Y")</f>
        <v>42.856400000000001</v>
      </c>
      <c r="AH19" s="21">
        <f>_xll.BDH("AMZN US Equity","LT_DEBT_TO_TOT_CAP","FQ1 2019","FQ1 2019","Currency=USD","Period=FQ","BEST_FPERIOD_OVERRIDE=FQ","FILING_STATUS=MR","Sort=A","Dates=H","DateFormat=P","Fill=—","Direction=H","UseDPDF=Y")</f>
        <v>48.202500000000001</v>
      </c>
      <c r="AI19" s="21">
        <f>_xll.BDH("AMZN US Equity","LT_DEBT_TO_TOT_CAP","FQ2 2019","FQ2 2019","Currency=USD","Period=FQ","BEST_FPERIOD_OVERRIDE=FQ","FILING_STATUS=MR","Sort=A","Dates=H","DateFormat=P","Fill=—","Direction=H","UseDPDF=Y")</f>
        <v>46.892299999999999</v>
      </c>
      <c r="AJ19" s="21">
        <f>_xll.BDH("AMZN US Equity","LT_DEBT_TO_TOT_CAP","FQ3 2019","FQ3 2019","Currency=USD","Period=FQ","BEST_FPERIOD_OVERRIDE=FQ","FILING_STATUS=MR","Sort=A","Dates=H","DateFormat=P","Fill=—","Direction=H","UseDPDF=Y")</f>
        <v>45.4084</v>
      </c>
      <c r="AK19" s="21">
        <f>_xll.BDH("AMZN US Equity","LT_DEBT_TO_TOT_CAP","FQ4 2019","FQ4 2019","Currency=USD","Period=FQ","BEST_FPERIOD_OVERRIDE=FQ","FILING_STATUS=MR","Sort=A","Dates=H","DateFormat=P","Fill=—","Direction=H","UseDPDF=Y")</f>
        <v>45.278100000000002</v>
      </c>
      <c r="AL19" s="21">
        <f>_xll.BDH("AMZN US Equity","LT_DEBT_TO_TOT_CAP","FQ1 2020","FQ1 2020","Currency=USD","Period=FQ","BEST_FPERIOD_OVERRIDE=FQ","FILING_STATUS=MR","Sort=A","Dates=H","DateFormat=P","Fill=—","Direction=H","UseDPDF=Y")</f>
        <v>44.439900000000002</v>
      </c>
      <c r="AM19" s="21">
        <f>_xll.BDH("AMZN US Equity","LT_DEBT_TO_TOT_CAP","FQ2 2020","FQ2 2020","Currency=USD","Period=FQ","BEST_FPERIOD_OVERRIDE=FQ","FILING_STATUS=MR","Sort=A","Dates=H","DateFormat=P","Fill=—","Direction=H","UseDPDF=Y")</f>
        <v>46.183999999999997</v>
      </c>
      <c r="AN19" s="21">
        <f>_xll.BDH("AMZN US Equity","LT_DEBT_TO_TOT_CAP","FQ3 2020","FQ3 2020","Currency=USD","Period=FQ","BEST_FPERIOD_OVERRIDE=FQ","FILING_STATUS=MR","Sort=A","Dates=H","DateFormat=P","Fill=—","Direction=H","UseDPDF=Y")</f>
        <v>45.575400000000002</v>
      </c>
      <c r="AO19" s="21">
        <f>_xll.BDH("AMZN US Equity","LT_DEBT_TO_TOT_CAP","FQ4 2020","FQ4 2020","Currency=USD","Period=FQ","BEST_FPERIOD_OVERRIDE=FQ","FILING_STATUS=MR","Sort=A","Dates=H","DateFormat=P","Fill=—","Direction=H","UseDPDF=Y")</f>
        <v>43.520099999999999</v>
      </c>
      <c r="AP19" s="21">
        <f>_xll.BDH("AMZN US Equity","LT_DEBT_TO_TOT_CAP","FQ1 2021","FQ1 2021","Currency=USD","Period=FQ","BEST_FPERIOD_OVERRIDE=FQ","FILING_STATUS=MR","Sort=A","Dates=H","DateFormat=P","Fill=—","Direction=H","UseDPDF=Y")</f>
        <v>41.611600000000003</v>
      </c>
    </row>
    <row r="20" spans="1:42" x14ac:dyDescent="0.25">
      <c r="A20" s="7" t="s">
        <v>87</v>
      </c>
      <c r="B20" s="7" t="s">
        <v>183</v>
      </c>
      <c r="C20" s="23" t="s">
        <v>88</v>
      </c>
      <c r="D20" s="23" t="s">
        <v>88</v>
      </c>
      <c r="E20" s="23">
        <v>175.155652122302</v>
      </c>
      <c r="F20" s="23" t="s">
        <v>88</v>
      </c>
      <c r="G20" s="23" t="s">
        <v>88</v>
      </c>
      <c r="H20" s="23" t="s">
        <v>88</v>
      </c>
      <c r="I20" s="23">
        <v>73.470312323753305</v>
      </c>
      <c r="J20" s="23" t="s">
        <v>88</v>
      </c>
      <c r="K20" s="23" t="s">
        <v>88</v>
      </c>
      <c r="L20" s="23" t="s">
        <v>88</v>
      </c>
      <c r="M20" s="23">
        <v>6.9832735370802697</v>
      </c>
      <c r="N20" s="23">
        <v>-11.9802747306368</v>
      </c>
      <c r="O20" s="23">
        <v>-12.341106648066299</v>
      </c>
      <c r="P20" s="23">
        <v>-8.7646626194138797</v>
      </c>
      <c r="Q20" s="23">
        <v>49.456981716847601</v>
      </c>
      <c r="R20" s="23">
        <v>82.436817382079298</v>
      </c>
      <c r="S20" s="23">
        <v>81.265640156158298</v>
      </c>
      <c r="T20" s="23">
        <v>74.546907641655096</v>
      </c>
      <c r="U20" s="23">
        <v>-1.52308209219431</v>
      </c>
      <c r="V20" s="23">
        <v>9.1020805030759302</v>
      </c>
      <c r="W20" s="23">
        <v>7.3058951500896399</v>
      </c>
      <c r="X20" s="23">
        <v>8.5923022746481603</v>
      </c>
      <c r="Y20" s="23">
        <v>-16.393967617477799</v>
      </c>
      <c r="Z20" s="23">
        <v>-15.878804409523701</v>
      </c>
      <c r="AA20" s="23">
        <v>-10.2784334489307</v>
      </c>
      <c r="AB20" s="23">
        <v>31.3594079409324</v>
      </c>
      <c r="AC20" s="23">
        <v>37.719343381606997</v>
      </c>
      <c r="AD20" s="23">
        <v>6.4292512163647597</v>
      </c>
      <c r="AE20" s="23">
        <v>-0.87764929039954798</v>
      </c>
      <c r="AF20" s="23">
        <v>-15.6745916401849</v>
      </c>
      <c r="AG20" s="23">
        <v>-18.8027330743984</v>
      </c>
      <c r="AH20" s="23">
        <v>22.560407351113</v>
      </c>
      <c r="AI20" s="23">
        <v>26.7261222125281</v>
      </c>
      <c r="AJ20" s="23">
        <v>-0.209369773708315</v>
      </c>
      <c r="AK20" s="23">
        <v>5.6506998387381104</v>
      </c>
      <c r="AL20" s="23">
        <v>-7.8059286059451303</v>
      </c>
      <c r="AM20" s="23">
        <v>-1.5105693213728799</v>
      </c>
      <c r="AN20" s="23">
        <v>0.367722452957642</v>
      </c>
      <c r="AO20" s="23">
        <v>-3.88253179939829</v>
      </c>
      <c r="AP20" s="23">
        <v>-6.3643834813753104</v>
      </c>
    </row>
    <row r="21" spans="1:42" x14ac:dyDescent="0.25">
      <c r="A21" s="8" t="s">
        <v>182</v>
      </c>
      <c r="B21" s="8" t="s">
        <v>181</v>
      </c>
      <c r="C21" s="21">
        <f>_xll.BDH("AMZN US Equity","LT_DEBT_TO_TOT_ASSET","FQ2 2011","FQ2 2011","Currency=USD","Period=FQ","BEST_FPERIOD_OVERRIDE=FQ","FILING_STATUS=MR","Sort=A","Dates=H","DateFormat=P","Fill=—","Direction=H","UseDPDF=Y")</f>
        <v>0</v>
      </c>
      <c r="D21" s="21">
        <f>_xll.BDH("AMZN US Equity","LT_DEBT_TO_TOT_ASSET","FQ3 2011","FQ3 2011","Currency=USD","Period=FQ","BEST_FPERIOD_OVERRIDE=FQ","FILING_STATUS=MR","Sort=A","Dates=H","DateFormat=P","Fill=—","Direction=H","UseDPDF=Y")</f>
        <v>0</v>
      </c>
      <c r="E21" s="21">
        <f>_xll.BDH("AMZN US Equity","LT_DEBT_TO_TOT_ASSET","FQ4 2011","FQ4 2011","Currency=USD","Period=FQ","BEST_FPERIOD_OVERRIDE=FQ","FILING_STATUS=MR","Sort=A","Dates=H","DateFormat=P","Fill=—","Direction=H","UseDPDF=Y")</f>
        <v>6.6065000000000005</v>
      </c>
      <c r="F21" s="21">
        <f>_xll.BDH("AMZN US Equity","LT_DEBT_TO_TOT_ASSET","FQ1 2012","FQ1 2012","Currency=USD","Period=FQ","BEST_FPERIOD_OVERRIDE=FQ","FILING_STATUS=MR","Sort=A","Dates=H","DateFormat=P","Fill=—","Direction=H","UseDPDF=Y")</f>
        <v>0</v>
      </c>
      <c r="G21" s="21">
        <f>_xll.BDH("AMZN US Equity","LT_DEBT_TO_TOT_ASSET","FQ2 2012","FQ2 2012","Currency=USD","Period=FQ","BEST_FPERIOD_OVERRIDE=FQ","FILING_STATUS=MR","Sort=A","Dates=H","DateFormat=P","Fill=—","Direction=H","UseDPDF=Y")</f>
        <v>0</v>
      </c>
      <c r="H21" s="21">
        <f>_xll.BDH("AMZN US Equity","LT_DEBT_TO_TOT_ASSET","FQ3 2012","FQ3 2012","Currency=USD","Period=FQ","BEST_FPERIOD_OVERRIDE=FQ","FILING_STATUS=MR","Sort=A","Dates=H","DateFormat=P","Fill=—","Direction=H","UseDPDF=Y")</f>
        <v>0</v>
      </c>
      <c r="I21" s="21">
        <f>_xll.BDH("AMZN US Equity","LT_DEBT_TO_TOT_ASSET","FQ4 2012","FQ4 2012","Currency=USD","Period=FQ","BEST_FPERIOD_OVERRIDE=FQ","FILING_STATUS=MR","Sort=A","Dates=H","DateFormat=P","Fill=—","Direction=H","UseDPDF=Y")</f>
        <v>11.764699999999999</v>
      </c>
      <c r="J21" s="21">
        <f>_xll.BDH("AMZN US Equity","LT_DEBT_TO_TOT_ASSET","FQ1 2013","FQ1 2013","Currency=USD","Period=FQ","BEST_FPERIOD_OVERRIDE=FQ","FILING_STATUS=MR","Sort=A","Dates=H","DateFormat=P","Fill=—","Direction=H","UseDPDF=Y")</f>
        <v>10.712899999999999</v>
      </c>
      <c r="K21" s="21">
        <f>_xll.BDH("AMZN US Equity","LT_DEBT_TO_TOT_ASSET","FQ2 2013","FQ2 2013","Currency=USD","Period=FQ","BEST_FPERIOD_OVERRIDE=FQ","FILING_STATUS=MR","Sort=A","Dates=H","DateFormat=P","Fill=—","Direction=H","UseDPDF=Y")</f>
        <v>10.269</v>
      </c>
      <c r="L21" s="21">
        <f>_xll.BDH("AMZN US Equity","LT_DEBT_TO_TOT_ASSET","FQ3 2013","FQ3 2013","Currency=USD","Period=FQ","BEST_FPERIOD_OVERRIDE=FQ","FILING_STATUS=MR","Sort=A","Dates=H","DateFormat=P","Fill=—","Direction=H","UseDPDF=Y")</f>
        <v>9.5509000000000004</v>
      </c>
      <c r="M21" s="21">
        <f>_xll.BDH("AMZN US Equity","LT_DEBT_TO_TOT_ASSET","FQ4 2013","FQ4 2013","Currency=USD","Period=FQ","BEST_FPERIOD_OVERRIDE=FQ","FILING_STATUS=MR","Sort=A","Dates=H","DateFormat=P","Fill=—","Direction=H","UseDPDF=Y")</f>
        <v>12.901199999999999</v>
      </c>
      <c r="N21" s="21">
        <f>_xll.BDH("AMZN US Equity","LT_DEBT_TO_TOT_ASSET","FQ1 2014","FQ1 2014","Currency=USD","Period=FQ","BEST_FPERIOD_OVERRIDE=FQ","FILING_STATUS=MR","Sort=A","Dates=H","DateFormat=P","Fill=—","Direction=H","UseDPDF=Y")</f>
        <v>8.6541999999999994</v>
      </c>
      <c r="O21" s="21">
        <f>_xll.BDH("AMZN US Equity","LT_DEBT_TO_TOT_ASSET","FQ2 2014","FQ2 2014","Currency=USD","Period=FQ","BEST_FPERIOD_OVERRIDE=FQ","FILING_STATUS=MR","Sort=A","Dates=H","DateFormat=P","Fill=—","Direction=H","UseDPDF=Y")</f>
        <v>8.23</v>
      </c>
      <c r="P21" s="21">
        <f>_xll.BDH("AMZN US Equity","LT_DEBT_TO_TOT_ASSET","FQ3 2014","FQ3 2014","Currency=USD","Period=FQ","BEST_FPERIOD_OVERRIDE=FQ","FILING_STATUS=MR","Sort=A","Dates=H","DateFormat=P","Fill=—","Direction=H","UseDPDF=Y")</f>
        <v>7.6672000000000002</v>
      </c>
      <c r="Q21" s="21">
        <f>_xll.BDH("AMZN US Equity","LT_DEBT_TO_TOT_ASSET","FQ4 2014","FQ4 2014","Currency=USD","Period=FQ","BEST_FPERIOD_OVERRIDE=FQ","FILING_STATUS=MR","Sort=A","Dates=H","DateFormat=P","Fill=—","Direction=H","UseDPDF=Y")</f>
        <v>22.913499999999999</v>
      </c>
      <c r="R21" s="21">
        <f>_xll.BDH("AMZN US Equity","LT_DEBT_TO_TOT_ASSET","FQ1 2015","FQ1 2015","Currency=USD","Period=FQ","BEST_FPERIOD_OVERRIDE=FQ","FILING_STATUS=MR","Sort=A","Dates=H","DateFormat=P","Fill=—","Direction=H","UseDPDF=Y")</f>
        <v>16.4893</v>
      </c>
      <c r="S21" s="21">
        <f>_xll.BDH("AMZN US Equity","LT_DEBT_TO_TOT_ASSET","FQ2 2015","FQ2 2015","Currency=USD","Period=FQ","BEST_FPERIOD_OVERRIDE=FQ","FILING_STATUS=MR","Sort=A","Dates=H","DateFormat=P","Fill=—","Direction=H","UseDPDF=Y")</f>
        <v>15.7323</v>
      </c>
      <c r="T21" s="21">
        <f>_xll.BDH("AMZN US Equity","LT_DEBT_TO_TOT_ASSET","FQ3 2015","FQ3 2015","Currency=USD","Period=FQ","BEST_FPERIOD_OVERRIDE=FQ","FILING_STATUS=MR","Sort=A","Dates=H","DateFormat=P","Fill=—","Direction=H","UseDPDF=Y")</f>
        <v>14.6594</v>
      </c>
      <c r="U21" s="21">
        <f>_xll.BDH("AMZN US Equity","LT_DEBT_TO_TOT_ASSET","FQ4 2015","FQ4 2015","Currency=USD","Period=FQ","BEST_FPERIOD_OVERRIDE=FQ","FILING_STATUS=MR","Sort=A","Dates=H","DateFormat=P","Fill=—","Direction=H","UseDPDF=Y")</f>
        <v>21.892900000000001</v>
      </c>
      <c r="V21" s="21">
        <f>_xll.BDH("AMZN US Equity","LT_DEBT_TO_TOT_ASSET","FQ1 2016","FQ1 2016","Currency=USD","Period=FQ","BEST_FPERIOD_OVERRIDE=FQ","FILING_STATUS=MR","Sort=A","Dates=H","DateFormat=P","Fill=—","Direction=H","UseDPDF=Y")</f>
        <v>23.260999999999999</v>
      </c>
      <c r="W21" s="21">
        <f>_xll.BDH("AMZN US Equity","LT_DEBT_TO_TOT_ASSET","FQ2 2016","FQ2 2016","Currency=USD","Period=FQ","BEST_FPERIOD_OVERRIDE=FQ","FILING_STATUS=MR","Sort=A","Dates=H","DateFormat=P","Fill=—","Direction=H","UseDPDF=Y")</f>
        <v>21.992699999999999</v>
      </c>
      <c r="X21" s="21">
        <f>_xll.BDH("AMZN US Equity","LT_DEBT_TO_TOT_ASSET","FQ3 2016","FQ3 2016","Currency=USD","Period=FQ","BEST_FPERIOD_OVERRIDE=FQ","FILING_STATUS=MR","Sort=A","Dates=H","DateFormat=P","Fill=—","Direction=H","UseDPDF=Y")</f>
        <v>21.305599999999998</v>
      </c>
      <c r="Y21" s="21">
        <f>_xll.BDH("AMZN US Equity","LT_DEBT_TO_TOT_ASSET","FQ4 2016","FQ4 2016","Currency=USD","Period=FQ","BEST_FPERIOD_OVERRIDE=FQ","FILING_STATUS=MR","Sort=A","Dates=H","DateFormat=P","Fill=—","Direction=H","UseDPDF=Y")</f>
        <v>18.240600000000001</v>
      </c>
      <c r="Z21" s="21">
        <f>_xll.BDH("AMZN US Equity","LT_DEBT_TO_TOT_ASSET","FQ1 2017","FQ1 2017","Currency=USD","Period=FQ","BEST_FPERIOD_OVERRIDE=FQ","FILING_STATUS=MR","Sort=A","Dates=H","DateFormat=P","Fill=—","Direction=H","UseDPDF=Y")</f>
        <v>19.749500000000001</v>
      </c>
      <c r="AA21" s="21">
        <f>_xll.BDH("AMZN US Equity","LT_DEBT_TO_TOT_ASSET","FQ2 2017","FQ2 2017","Currency=USD","Period=FQ","BEST_FPERIOD_OVERRIDE=FQ","FILING_STATUS=MR","Sort=A","Dates=H","DateFormat=P","Fill=—","Direction=H","UseDPDF=Y")</f>
        <v>19.916599999999999</v>
      </c>
      <c r="AB21" s="21">
        <f>_xll.BDH("AMZN US Equity","LT_DEBT_TO_TOT_ASSET","FQ3 2017","FQ3 2017","Currency=USD","Period=FQ","BEST_FPERIOD_OVERRIDE=FQ","FILING_STATUS=MR","Sort=A","Dates=H","DateFormat=P","Fill=—","Direction=H","UseDPDF=Y")</f>
        <v>31.760999999999999</v>
      </c>
      <c r="AC21" s="21">
        <f>_xll.BDH("AMZN US Equity","LT_DEBT_TO_TOT_ASSET","FQ4 2017","FQ4 2017","Currency=USD","Period=FQ","BEST_FPERIOD_OVERRIDE=FQ","FILING_STATUS=MR","Sort=A","Dates=H","DateFormat=P","Fill=—","Direction=H","UseDPDF=Y")</f>
        <v>28.8828</v>
      </c>
      <c r="AD21" s="21">
        <f>_xll.BDH("AMZN US Equity","LT_DEBT_TO_TOT_ASSET","FQ1 2018","FQ1 2018","Currency=USD","Period=FQ","BEST_FPERIOD_OVERRIDE=FQ","FILING_STATUS=MR","Sort=A","Dates=H","DateFormat=P","Fill=—","Direction=H","UseDPDF=Y")</f>
        <v>19.499500000000001</v>
      </c>
      <c r="AE21" s="21">
        <f>_xll.BDH("AMZN US Equity","LT_DEBT_TO_TOT_ASSET","FQ2 2018","FQ2 2018","Currency=USD","Period=FQ","BEST_FPERIOD_OVERRIDE=FQ","FILING_STATUS=MR","Sort=A","Dates=H","DateFormat=P","Fill=—","Direction=H","UseDPDF=Y")</f>
        <v>18.372900000000001</v>
      </c>
      <c r="AF21" s="21">
        <f>_xll.BDH("AMZN US Equity","LT_DEBT_TO_TOT_ASSET","FQ3 2018","FQ3 2018","Currency=USD","Period=FQ","BEST_FPERIOD_OVERRIDE=FQ","FILING_STATUS=MR","Sort=A","Dates=H","DateFormat=P","Fill=—","Direction=H","UseDPDF=Y")</f>
        <v>26.294599999999999</v>
      </c>
      <c r="AG21" s="21">
        <f>_xll.BDH("AMZN US Equity","LT_DEBT_TO_TOT_ASSET","FQ4 2018","FQ4 2018","Currency=USD","Period=FQ","BEST_FPERIOD_OVERRIDE=FQ","FILING_STATUS=MR","Sort=A","Dates=H","DateFormat=P","Fill=—","Direction=H","UseDPDF=Y")</f>
        <v>24.462</v>
      </c>
      <c r="AH21" s="21">
        <f>_xll.BDH("AMZN US Equity","LT_DEBT_TO_TOT_ASSET","FQ1 2019","FQ1 2019","Currency=USD","Period=FQ","BEST_FPERIOD_OVERRIDE=FQ","FILING_STATUS=MR","Sort=A","Dates=H","DateFormat=P","Fill=—","Direction=H","UseDPDF=Y")</f>
        <v>31.777899999999999</v>
      </c>
      <c r="AI21" s="21">
        <f>_xll.BDH("AMZN US Equity","LT_DEBT_TO_TOT_ASSET","FQ2 2019","FQ2 2019","Currency=USD","Period=FQ","BEST_FPERIOD_OVERRIDE=FQ","FILING_STATUS=MR","Sort=A","Dates=H","DateFormat=P","Fill=—","Direction=H","UseDPDF=Y")</f>
        <v>30.552800000000001</v>
      </c>
      <c r="AJ21" s="21">
        <f>_xll.BDH("AMZN US Equity","LT_DEBT_TO_TOT_ASSET","FQ3 2019","FQ3 2019","Currency=USD","Period=FQ","BEST_FPERIOD_OVERRIDE=FQ","FILING_STATUS=MR","Sort=A","Dates=H","DateFormat=P","Fill=—","Direction=H","UseDPDF=Y")</f>
        <v>29.899699999999999</v>
      </c>
      <c r="AK21" s="21">
        <f>_xll.BDH("AMZN US Equity","LT_DEBT_TO_TOT_ASSET","FQ4 2019","FQ4 2019","Currency=USD","Period=FQ","BEST_FPERIOD_OVERRIDE=FQ","FILING_STATUS=MR","Sort=A","Dates=H","DateFormat=P","Fill=—","Direction=H","UseDPDF=Y")</f>
        <v>28.060199999999998</v>
      </c>
      <c r="AL21" s="21">
        <f>_xll.BDH("AMZN US Equity","LT_DEBT_TO_TOT_ASSET","FQ1 2020","FQ1 2020","Currency=USD","Period=FQ","BEST_FPERIOD_OVERRIDE=FQ","FILING_STATUS=MR","Sort=A","Dates=H","DateFormat=P","Fill=—","Direction=H","UseDPDF=Y")</f>
        <v>28.809200000000001</v>
      </c>
      <c r="AM21" s="21">
        <f>_xll.BDH("AMZN US Equity","LT_DEBT_TO_TOT_ASSET","FQ2 2020","FQ2 2020","Currency=USD","Period=FQ","BEST_FPERIOD_OVERRIDE=FQ","FILING_STATUS=MR","Sort=A","Dates=H","DateFormat=P","Fill=—","Direction=H","UseDPDF=Y")</f>
        <v>29.392900000000001</v>
      </c>
      <c r="AN21" s="21">
        <f>_xll.BDH("AMZN US Equity","LT_DEBT_TO_TOT_ASSET","FQ3 2020","FQ3 2020","Currency=USD","Period=FQ","BEST_FPERIOD_OVERRIDE=FQ","FILING_STATUS=MR","Sort=A","Dates=H","DateFormat=P","Fill=—","Direction=H","UseDPDF=Y")</f>
        <v>28.8888</v>
      </c>
      <c r="AO21" s="21">
        <f>_xll.BDH("AMZN US Equity","LT_DEBT_TO_TOT_ASSET","FQ4 2020","FQ4 2020","Currency=USD","Period=FQ","BEST_FPERIOD_OVERRIDE=FQ","FILING_STATUS=MR","Sort=A","Dates=H","DateFormat=P","Fill=—","Direction=H","UseDPDF=Y")</f>
        <v>26.273399999999999</v>
      </c>
      <c r="AP21" s="21">
        <f>_xll.BDH("AMZN US Equity","LT_DEBT_TO_TOT_ASSET","FQ1 2021","FQ1 2021","Currency=USD","Period=FQ","BEST_FPERIOD_OVERRIDE=FQ","FILING_STATUS=MR","Sort=A","Dates=H","DateFormat=P","Fill=—","Direction=H","UseDPDF=Y")</f>
        <v>26.289400000000001</v>
      </c>
    </row>
    <row r="22" spans="1:42" x14ac:dyDescent="0.25">
      <c r="A22" s="7" t="s">
        <v>87</v>
      </c>
      <c r="B22" s="7" t="s">
        <v>181</v>
      </c>
      <c r="C22" s="23" t="s">
        <v>88</v>
      </c>
      <c r="D22" s="23" t="s">
        <v>88</v>
      </c>
      <c r="E22" s="23">
        <v>169.96312927555101</v>
      </c>
      <c r="F22" s="23" t="s">
        <v>88</v>
      </c>
      <c r="G22" s="23" t="s">
        <v>88</v>
      </c>
      <c r="H22" s="23" t="s">
        <v>88</v>
      </c>
      <c r="I22" s="23">
        <v>78.076798200569598</v>
      </c>
      <c r="J22" s="23" t="s">
        <v>88</v>
      </c>
      <c r="K22" s="23" t="s">
        <v>88</v>
      </c>
      <c r="L22" s="23" t="s">
        <v>88</v>
      </c>
      <c r="M22" s="23">
        <v>9.6603519033964798</v>
      </c>
      <c r="N22" s="23">
        <v>-19.217371653112401</v>
      </c>
      <c r="O22" s="23">
        <v>-19.856387856011601</v>
      </c>
      <c r="P22" s="23">
        <v>-19.722575826140101</v>
      </c>
      <c r="Q22" s="23">
        <v>77.607215070701102</v>
      </c>
      <c r="R22" s="23">
        <v>90.535653187951297</v>
      </c>
      <c r="S22" s="23">
        <v>91.157858591739995</v>
      </c>
      <c r="T22" s="23">
        <v>91.197057173257605</v>
      </c>
      <c r="U22" s="23">
        <v>-4.4540915497217499</v>
      </c>
      <c r="V22" s="23">
        <v>41.0676860934865</v>
      </c>
      <c r="W22" s="23">
        <v>39.793901259608802</v>
      </c>
      <c r="X22" s="23">
        <v>45.336825419044096</v>
      </c>
      <c r="Y22" s="23">
        <v>-16.682737321395301</v>
      </c>
      <c r="Z22" s="23">
        <v>-15.096032307431299</v>
      </c>
      <c r="AA22" s="23">
        <v>-9.4400940455505697</v>
      </c>
      <c r="AB22" s="23">
        <v>49.073988024532198</v>
      </c>
      <c r="AC22" s="23">
        <v>58.343714039638002</v>
      </c>
      <c r="AD22" s="23">
        <v>-1.2658577159339599</v>
      </c>
      <c r="AE22" s="23">
        <v>-7.7510927938493204</v>
      </c>
      <c r="AF22" s="23">
        <v>-17.211211143513498</v>
      </c>
      <c r="AG22" s="23">
        <v>-15.305886590758</v>
      </c>
      <c r="AH22" s="23">
        <v>62.967277216331297</v>
      </c>
      <c r="AI22" s="23">
        <v>66.292894256614204</v>
      </c>
      <c r="AJ22" s="23">
        <v>13.710489864413899</v>
      </c>
      <c r="AK22" s="23">
        <v>14.709144311338401</v>
      </c>
      <c r="AL22" s="23">
        <v>-9.3417624309353897</v>
      </c>
      <c r="AM22" s="23">
        <v>-3.7962044272670199</v>
      </c>
      <c r="AN22" s="23">
        <v>-3.3811144179449601</v>
      </c>
      <c r="AO22" s="23">
        <v>-6.3675101477420899</v>
      </c>
      <c r="AP22" s="23">
        <v>-8.7466607074687097</v>
      </c>
    </row>
    <row r="23" spans="1:42" x14ac:dyDescent="0.25">
      <c r="A23" s="8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</row>
    <row r="24" spans="1:42" x14ac:dyDescent="0.25">
      <c r="A24" s="8" t="s">
        <v>180</v>
      </c>
      <c r="B24" s="8" t="s">
        <v>179</v>
      </c>
      <c r="C24" s="21">
        <f>_xll.BDH("AMZN US Equity","TOT_DEBT_TO_TOT_EQY","FQ2 2011","FQ2 2011","Currency=USD","Period=FQ","BEST_FPERIOD_OVERRIDE=FQ","FILING_STATUS=MR","Sort=A","Dates=H","DateFormat=P","Fill=—","Direction=H","UseDPDF=Y")</f>
        <v>0</v>
      </c>
      <c r="D24" s="21">
        <f>_xll.BDH("AMZN US Equity","TOT_DEBT_TO_TOT_EQY","FQ3 2011","FQ3 2011","Currency=USD","Period=FQ","BEST_FPERIOD_OVERRIDE=FQ","FILING_STATUS=MR","Sort=A","Dates=H","DateFormat=P","Fill=—","Direction=H","UseDPDF=Y")</f>
        <v>0</v>
      </c>
      <c r="E24" s="21">
        <f>_xll.BDH("AMZN US Equity","TOT_DEBT_TO_TOT_EQY","FQ4 2011","FQ4 2011","Currency=USD","Period=FQ","BEST_FPERIOD_OVERRIDE=FQ","FILING_STATUS=MR","Sort=A","Dates=H","DateFormat=P","Fill=—","Direction=H","UseDPDF=Y")</f>
        <v>28.284099999999999</v>
      </c>
      <c r="F24" s="21">
        <f>_xll.BDH("AMZN US Equity","TOT_DEBT_TO_TOT_EQY","FQ1 2012","FQ1 2012","Currency=USD","Period=FQ","BEST_FPERIOD_OVERRIDE=FQ","FILING_STATUS=MR","Sort=A","Dates=H","DateFormat=P","Fill=—","Direction=H","UseDPDF=Y")</f>
        <v>0</v>
      </c>
      <c r="G24" s="21">
        <f>_xll.BDH("AMZN US Equity","TOT_DEBT_TO_TOT_EQY","FQ2 2012","FQ2 2012","Currency=USD","Period=FQ","BEST_FPERIOD_OVERRIDE=FQ","FILING_STATUS=MR","Sort=A","Dates=H","DateFormat=P","Fill=—","Direction=H","UseDPDF=Y")</f>
        <v>0</v>
      </c>
      <c r="H24" s="21">
        <f>_xll.BDH("AMZN US Equity","TOT_DEBT_TO_TOT_EQY","FQ3 2012","FQ3 2012","Currency=USD","Period=FQ","BEST_FPERIOD_OVERRIDE=FQ","FILING_STATUS=MR","Sort=A","Dates=H","DateFormat=P","Fill=—","Direction=H","UseDPDF=Y")</f>
        <v>0</v>
      </c>
      <c r="I24" s="21">
        <f>_xll.BDH("AMZN US Equity","TOT_DEBT_TO_TOT_EQY","FQ4 2012","FQ4 2012","Currency=USD","Period=FQ","BEST_FPERIOD_OVERRIDE=FQ","FILING_STATUS=MR","Sort=A","Dates=H","DateFormat=P","Fill=—","Direction=H","UseDPDF=Y")</f>
        <v>60.595700000000001</v>
      </c>
      <c r="J24" s="21">
        <f>_xll.BDH("AMZN US Equity","TOT_DEBT_TO_TOT_EQY","FQ1 2013","FQ1 2013","Currency=USD","Period=FQ","BEST_FPERIOD_OVERRIDE=FQ","FILING_STATUS=MR","Sort=A","Dates=H","DateFormat=P","Fill=—","Direction=H","UseDPDF=Y")</f>
        <v>43.785600000000002</v>
      </c>
      <c r="K24" s="21">
        <f>_xll.BDH("AMZN US Equity","TOT_DEBT_TO_TOT_EQY","FQ2 2013","FQ2 2013","Currency=USD","Period=FQ","BEST_FPERIOD_OVERRIDE=FQ","FILING_STATUS=MR","Sort=A","Dates=H","DateFormat=P","Fill=—","Direction=H","UseDPDF=Y")</f>
        <v>42.745899999999999</v>
      </c>
      <c r="L24" s="21">
        <f>_xll.BDH("AMZN US Equity","TOT_DEBT_TO_TOT_EQY","FQ3 2013","FQ3 2013","Currency=USD","Period=FQ","BEST_FPERIOD_OVERRIDE=FQ","FILING_STATUS=MR","Sort=A","Dates=H","DateFormat=P","Fill=—","Direction=H","UseDPDF=Y")</f>
        <v>40.970599999999997</v>
      </c>
      <c r="M24" s="21">
        <f>_xll.BDH("AMZN US Equity","TOT_DEBT_TO_TOT_EQY","FQ4 2013","FQ4 2013","Currency=USD","Period=FQ","BEST_FPERIOD_OVERRIDE=FQ","FILING_STATUS=MR","Sort=A","Dates=H","DateFormat=P","Fill=—","Direction=H","UseDPDF=Y")</f>
        <v>70.685400000000001</v>
      </c>
      <c r="N24" s="21">
        <f>_xll.BDH("AMZN US Equity","TOT_DEBT_TO_TOT_EQY","FQ1 2014","FQ1 2014","Currency=USD","Period=FQ","BEST_FPERIOD_OVERRIDE=FQ","FILING_STATUS=MR","Sort=A","Dates=H","DateFormat=P","Fill=—","Direction=H","UseDPDF=Y")</f>
        <v>38.061599999999999</v>
      </c>
      <c r="O24" s="21">
        <f>_xll.BDH("AMZN US Equity","TOT_DEBT_TO_TOT_EQY","FQ2 2014","FQ2 2014","Currency=USD","Period=FQ","BEST_FPERIOD_OVERRIDE=FQ","FILING_STATUS=MR","Sort=A","Dates=H","DateFormat=P","Fill=—","Direction=H","UseDPDF=Y")</f>
        <v>37.530700000000003</v>
      </c>
      <c r="P24" s="21">
        <f>_xll.BDH("AMZN US Equity","TOT_DEBT_TO_TOT_EQY","FQ3 2014","FQ3 2014","Currency=USD","Period=FQ","BEST_FPERIOD_OVERRIDE=FQ","FILING_STATUS=MR","Sort=A","Dates=H","DateFormat=P","Fill=—","Direction=H","UseDPDF=Y")</f>
        <v>38.341700000000003</v>
      </c>
      <c r="Q24" s="21">
        <f>_xll.BDH("AMZN US Equity","TOT_DEBT_TO_TOT_EQY","FQ4 2014","FQ4 2014","Currency=USD","Period=FQ","BEST_FPERIOD_OVERRIDE=FQ","FILING_STATUS=MR","Sort=A","Dates=H","DateFormat=P","Fill=—","Direction=H","UseDPDF=Y")</f>
        <v>149.79050000000001</v>
      </c>
      <c r="R24" s="21">
        <f>_xll.BDH("AMZN US Equity","TOT_DEBT_TO_TOT_EQY","FQ1 2015","FQ1 2015","Currency=USD","Period=FQ","BEST_FPERIOD_OVERRIDE=FQ","FILING_STATUS=MR","Sort=A","Dates=H","DateFormat=P","Fill=—","Direction=H","UseDPDF=Y")</f>
        <v>88.604799999999997</v>
      </c>
      <c r="S24" s="21">
        <f>_xll.BDH("AMZN US Equity","TOT_DEBT_TO_TOT_EQY","FQ2 2015","FQ2 2015","Currency=USD","Period=FQ","BEST_FPERIOD_OVERRIDE=FQ","FILING_STATUS=MR","Sort=A","Dates=H","DateFormat=P","Fill=—","Direction=H","UseDPDF=Y")</f>
        <v>80.803899999999999</v>
      </c>
      <c r="T24" s="21">
        <f>_xll.BDH("AMZN US Equity","TOT_DEBT_TO_TOT_EQY","FQ3 2015","FQ3 2015","Currency=USD","Period=FQ","BEST_FPERIOD_OVERRIDE=FQ","FILING_STATUS=MR","Sort=A","Dates=H","DateFormat=P","Fill=—","Direction=H","UseDPDF=Y")</f>
        <v>75.301699999999997</v>
      </c>
      <c r="U24" s="21">
        <f>_xll.BDH("AMZN US Equity","TOT_DEBT_TO_TOT_EQY","FQ4 2015","FQ4 2015","Currency=USD","Period=FQ","BEST_FPERIOD_OVERRIDE=FQ","FILING_STATUS=MR","Sort=A","Dates=H","DateFormat=P","Fill=—","Direction=H","UseDPDF=Y")</f>
        <v>131.0445</v>
      </c>
      <c r="V24" s="21">
        <f>_xll.BDH("AMZN US Equity","TOT_DEBT_TO_TOT_EQY","FQ1 2016","FQ1 2016","Currency=USD","Period=FQ","BEST_FPERIOD_OVERRIDE=FQ","FILING_STATUS=MR","Sort=A","Dates=H","DateFormat=P","Fill=—","Direction=H","UseDPDF=Y")</f>
        <v>119.3548</v>
      </c>
      <c r="W24" s="21">
        <f>_xll.BDH("AMZN US Equity","TOT_DEBT_TO_TOT_EQY","FQ2 2016","FQ2 2016","Currency=USD","Period=FQ","BEST_FPERIOD_OVERRIDE=FQ","FILING_STATUS=MR","Sort=A","Dates=H","DateFormat=P","Fill=—","Direction=H","UseDPDF=Y")</f>
        <v>107.9937</v>
      </c>
      <c r="X24" s="21">
        <f>_xll.BDH("AMZN US Equity","TOT_DEBT_TO_TOT_EQY","FQ3 2016","FQ3 2016","Currency=USD","Period=FQ","BEST_FPERIOD_OVERRIDE=FQ","FILING_STATUS=MR","Sort=A","Dates=H","DateFormat=P","Fill=—","Direction=H","UseDPDF=Y")</f>
        <v>106.7821</v>
      </c>
      <c r="Y24" s="21">
        <f>_xll.BDH("AMZN US Equity","TOT_DEBT_TO_TOT_EQY","FQ4 2016","FQ4 2016","Currency=USD","Period=FQ","BEST_FPERIOD_OVERRIDE=FQ","FILING_STATUS=MR","Sort=A","Dates=H","DateFormat=P","Fill=—","Direction=H","UseDPDF=Y")</f>
        <v>105.8335</v>
      </c>
      <c r="Z24" s="21">
        <f>_xll.BDH("AMZN US Equity","TOT_DEBT_TO_TOT_EQY","FQ1 2017","FQ1 2017","Currency=USD","Period=FQ","BEST_FPERIOD_OVERRIDE=FQ","FILING_STATUS=MR","Sort=A","Dates=H","DateFormat=P","Fill=—","Direction=H","UseDPDF=Y")</f>
        <v>99.653999999999996</v>
      </c>
      <c r="AA24" s="21">
        <f>_xll.BDH("AMZN US Equity","TOT_DEBT_TO_TOT_EQY","FQ2 2017","FQ2 2017","Currency=USD","Period=FQ","BEST_FPERIOD_OVERRIDE=FQ","FILING_STATUS=MR","Sort=A","Dates=H","DateFormat=P","Fill=—","Direction=H","UseDPDF=Y")</f>
        <v>101.74460000000001</v>
      </c>
      <c r="AB24" s="21">
        <f>_xll.BDH("AMZN US Equity","TOT_DEBT_TO_TOT_EQY","FQ3 2017","FQ3 2017","Currency=USD","Period=FQ","BEST_FPERIOD_OVERRIDE=FQ","FILING_STATUS=MR","Sort=A","Dates=H","DateFormat=P","Fill=—","Direction=H","UseDPDF=Y")</f>
        <v>175.13990000000001</v>
      </c>
      <c r="AC24" s="21">
        <f>_xll.BDH("AMZN US Equity","TOT_DEBT_TO_TOT_EQY","FQ4 2017","FQ4 2017","Currency=USD","Period=FQ","BEST_FPERIOD_OVERRIDE=FQ","FILING_STATUS=MR","Sort=A","Dates=H","DateFormat=P","Fill=—","Direction=H","UseDPDF=Y")</f>
        <v>159.3237</v>
      </c>
      <c r="AD24" s="21">
        <f>_xll.BDH("AMZN US Equity","TOT_DEBT_TO_TOT_EQY","FQ1 2018","FQ1 2018","Currency=USD","Period=FQ","BEST_FPERIOD_OVERRIDE=FQ","FILING_STATUS=MR","Sort=A","Dates=H","DateFormat=P","Fill=—","Direction=H","UseDPDF=Y")</f>
        <v>99.122799999999998</v>
      </c>
      <c r="AE24" s="21">
        <f>_xll.BDH("AMZN US Equity","TOT_DEBT_TO_TOT_EQY","FQ2 2018","FQ2 2018","Currency=USD","Period=FQ","BEST_FPERIOD_OVERRIDE=FQ","FILING_STATUS=MR","Sort=A","Dates=H","DateFormat=P","Fill=—","Direction=H","UseDPDF=Y")</f>
        <v>90.267200000000003</v>
      </c>
      <c r="AF24" s="21">
        <f>_xll.BDH("AMZN US Equity","TOT_DEBT_TO_TOT_EQY","FQ3 2018","FQ3 2018","Currency=USD","Period=FQ","BEST_FPERIOD_OVERRIDE=FQ","FILING_STATUS=MR","Sort=A","Dates=H","DateFormat=P","Fill=—","Direction=H","UseDPDF=Y")</f>
        <v>112.23</v>
      </c>
      <c r="AG24" s="21">
        <f>_xll.BDH("AMZN US Equity","TOT_DEBT_TO_TOT_EQY","FQ4 2018","FQ4 2018","Currency=USD","Period=FQ","BEST_FPERIOD_OVERRIDE=FQ","FILING_STATUS=MR","Sort=A","Dates=H","DateFormat=P","Fill=—","Direction=H","UseDPDF=Y")</f>
        <v>113.1806</v>
      </c>
      <c r="AH24" s="21">
        <f>_xll.BDH("AMZN US Equity","TOT_DEBT_TO_TOT_EQY","FQ1 2019","FQ1 2019","Currency=USD","Period=FQ","BEST_FPERIOD_OVERRIDE=FQ","FILING_STATUS=MR","Sort=A","Dates=H","DateFormat=P","Fill=—","Direction=H","UseDPDF=Y")</f>
        <v>142.5429</v>
      </c>
      <c r="AI24" s="21">
        <f>_xll.BDH("AMZN US Equity","TOT_DEBT_TO_TOT_EQY","FQ2 2019","FQ2 2019","Currency=USD","Period=FQ","BEST_FPERIOD_OVERRIDE=FQ","FILING_STATUS=MR","Sort=A","Dates=H","DateFormat=P","Fill=—","Direction=H","UseDPDF=Y")</f>
        <v>134.96539999999999</v>
      </c>
      <c r="AJ24" s="21">
        <f>_xll.BDH("AMZN US Equity","TOT_DEBT_TO_TOT_EQY","FQ3 2019","FQ3 2019","Currency=USD","Period=FQ","BEST_FPERIOD_OVERRIDE=FQ","FILING_STATUS=MR","Sort=A","Dates=H","DateFormat=P","Fill=—","Direction=H","UseDPDF=Y")</f>
        <v>132.0008</v>
      </c>
      <c r="AK24" s="21">
        <f>_xll.BDH("AMZN US Equity","TOT_DEBT_TO_TOT_EQY","FQ4 2019","FQ4 2019","Currency=USD","Period=FQ","BEST_FPERIOD_OVERRIDE=FQ","FILING_STATUS=MR","Sort=A","Dates=H","DateFormat=P","Fill=—","Direction=H","UseDPDF=Y")</f>
        <v>124.9323</v>
      </c>
      <c r="AL24" s="21">
        <f>_xll.BDH("AMZN US Equity","TOT_DEBT_TO_TOT_EQY","FQ1 2020","FQ1 2020","Currency=USD","Period=FQ","BEST_FPERIOD_OVERRIDE=FQ","FILING_STATUS=MR","Sort=A","Dates=H","DateFormat=P","Fill=—","Direction=H","UseDPDF=Y")</f>
        <v>119.7313</v>
      </c>
      <c r="AM24" s="21">
        <f>_xll.BDH("AMZN US Equity","TOT_DEBT_TO_TOT_EQY","FQ2 2020","FQ2 2020","Currency=USD","Period=FQ","BEST_FPERIOD_OVERRIDE=FQ","FILING_STATUS=MR","Sort=A","Dates=H","DateFormat=P","Fill=—","Direction=H","UseDPDF=Y")</f>
        <v>122.9804</v>
      </c>
      <c r="AN24" s="21">
        <f>_xll.BDH("AMZN US Equity","TOT_DEBT_TO_TOT_EQY","FQ3 2020","FQ3 2020","Currency=USD","Period=FQ","BEST_FPERIOD_OVERRIDE=FQ","FILING_STATUS=MR","Sort=A","Dates=H","DateFormat=P","Fill=—","Direction=H","UseDPDF=Y")</f>
        <v>116.08459999999999</v>
      </c>
      <c r="AO24" s="21">
        <f>_xll.BDH("AMZN US Equity","TOT_DEBT_TO_TOT_EQY","FQ4 2020","FQ4 2020","Currency=USD","Period=FQ","BEST_FPERIOD_OVERRIDE=FQ","FILING_STATUS=MR","Sort=A","Dates=H","DateFormat=P","Fill=—","Direction=H","UseDPDF=Y")</f>
        <v>107.6014</v>
      </c>
      <c r="AP24" s="21">
        <f>_xll.BDH("AMZN US Equity","TOT_DEBT_TO_TOT_EQY","FQ1 2021","FQ1 2021","Currency=USD","Period=FQ","BEST_FPERIOD_OVERRIDE=FQ","FILING_STATUS=MR","Sort=A","Dates=H","DateFormat=P","Fill=—","Direction=H","UseDPDF=Y")</f>
        <v>97.555199999999999</v>
      </c>
    </row>
    <row r="25" spans="1:42" x14ac:dyDescent="0.25">
      <c r="A25" s="7" t="s">
        <v>87</v>
      </c>
      <c r="B25" s="7" t="s">
        <v>179</v>
      </c>
      <c r="C25" s="23" t="s">
        <v>88</v>
      </c>
      <c r="D25" s="23" t="s">
        <v>88</v>
      </c>
      <c r="E25" s="23">
        <v>186.34553944259099</v>
      </c>
      <c r="F25" s="23" t="s">
        <v>88</v>
      </c>
      <c r="G25" s="23" t="s">
        <v>88</v>
      </c>
      <c r="H25" s="23" t="s">
        <v>88</v>
      </c>
      <c r="I25" s="23">
        <v>114.239232389329</v>
      </c>
      <c r="J25" s="23" t="s">
        <v>88</v>
      </c>
      <c r="K25" s="23" t="s">
        <v>88</v>
      </c>
      <c r="L25" s="23" t="s">
        <v>88</v>
      </c>
      <c r="M25" s="23">
        <v>16.6508605403918</v>
      </c>
      <c r="N25" s="23">
        <v>-13.0727950405772</v>
      </c>
      <c r="O25" s="23">
        <v>-12.2005859461722</v>
      </c>
      <c r="P25" s="23">
        <v>-6.4165472538526798</v>
      </c>
      <c r="Q25" s="23">
        <v>111.91151627912301</v>
      </c>
      <c r="R25" s="23">
        <v>132.79328130886799</v>
      </c>
      <c r="S25" s="23">
        <v>115.30099861033599</v>
      </c>
      <c r="T25" s="23">
        <v>96.396230862685897</v>
      </c>
      <c r="U25" s="23">
        <v>-12.514804508125</v>
      </c>
      <c r="V25" s="23">
        <v>34.704708608284101</v>
      </c>
      <c r="W25" s="23">
        <v>33.649173384321003</v>
      </c>
      <c r="X25" s="23">
        <v>41.805768792251101</v>
      </c>
      <c r="Y25" s="23">
        <v>-19.238484664423002</v>
      </c>
      <c r="Z25" s="23">
        <v>-16.506139311201299</v>
      </c>
      <c r="AA25" s="23">
        <v>-5.7865165870631197</v>
      </c>
      <c r="AB25" s="23">
        <v>64.016113219084303</v>
      </c>
      <c r="AC25" s="23">
        <v>50.541757793646298</v>
      </c>
      <c r="AD25" s="23">
        <v>-0.53302847574663004</v>
      </c>
      <c r="AE25" s="23">
        <v>-11.2806496130111</v>
      </c>
      <c r="AF25" s="23">
        <v>-35.919785823350402</v>
      </c>
      <c r="AG25" s="23">
        <v>-28.961877199865199</v>
      </c>
      <c r="AH25" s="23">
        <v>43.804344912484801</v>
      </c>
      <c r="AI25" s="23">
        <v>49.5177045575401</v>
      </c>
      <c r="AJ25" s="23">
        <v>17.616271373779899</v>
      </c>
      <c r="AK25" s="23">
        <v>10.3832049595445</v>
      </c>
      <c r="AL25" s="23">
        <v>-16.0033161393707</v>
      </c>
      <c r="AM25" s="23">
        <v>-8.8800548069288006</v>
      </c>
      <c r="AN25" s="23">
        <v>-12.0576652051425</v>
      </c>
      <c r="AO25" s="23">
        <v>-13.8722593521913</v>
      </c>
      <c r="AP25" s="23">
        <v>-18.5215679398327</v>
      </c>
    </row>
    <row r="26" spans="1:42" x14ac:dyDescent="0.25">
      <c r="A26" s="8" t="s">
        <v>178</v>
      </c>
      <c r="B26" s="8" t="s">
        <v>177</v>
      </c>
      <c r="C26" s="21">
        <f>_xll.BDH("AMZN US Equity","TOT_DEBT_TO_TOT_CAP","FQ2 2011","FQ2 2011","Currency=USD","Period=FQ","BEST_FPERIOD_OVERRIDE=FQ","FILING_STATUS=MR","Sort=A","Dates=H","DateFormat=P","Fill=—","Direction=H","UseDPDF=Y")</f>
        <v>0</v>
      </c>
      <c r="D26" s="21">
        <f>_xll.BDH("AMZN US Equity","TOT_DEBT_TO_TOT_CAP","FQ3 2011","FQ3 2011","Currency=USD","Period=FQ","BEST_FPERIOD_OVERRIDE=FQ","FILING_STATUS=MR","Sort=A","Dates=H","DateFormat=P","Fill=—","Direction=H","UseDPDF=Y")</f>
        <v>0</v>
      </c>
      <c r="E26" s="21">
        <f>_xll.BDH("AMZN US Equity","TOT_DEBT_TO_TOT_CAP","FQ4 2011","FQ4 2011","Currency=USD","Period=FQ","BEST_FPERIOD_OVERRIDE=FQ","FILING_STATUS=MR","Sort=A","Dates=H","DateFormat=P","Fill=—","Direction=H","UseDPDF=Y")</f>
        <v>22.047999999999998</v>
      </c>
      <c r="F26" s="21">
        <f>_xll.BDH("AMZN US Equity","TOT_DEBT_TO_TOT_CAP","FQ1 2012","FQ1 2012","Currency=USD","Period=FQ","BEST_FPERIOD_OVERRIDE=FQ","FILING_STATUS=MR","Sort=A","Dates=H","DateFormat=P","Fill=—","Direction=H","UseDPDF=Y")</f>
        <v>0</v>
      </c>
      <c r="G26" s="21">
        <f>_xll.BDH("AMZN US Equity","TOT_DEBT_TO_TOT_CAP","FQ2 2012","FQ2 2012","Currency=USD","Period=FQ","BEST_FPERIOD_OVERRIDE=FQ","FILING_STATUS=MR","Sort=A","Dates=H","DateFormat=P","Fill=—","Direction=H","UseDPDF=Y")</f>
        <v>0</v>
      </c>
      <c r="H26" s="21">
        <f>_xll.BDH("AMZN US Equity","TOT_DEBT_TO_TOT_CAP","FQ3 2012","FQ3 2012","Currency=USD","Period=FQ","BEST_FPERIOD_OVERRIDE=FQ","FILING_STATUS=MR","Sort=A","Dates=H","DateFormat=P","Fill=—","Direction=H","UseDPDF=Y")</f>
        <v>0</v>
      </c>
      <c r="I26" s="21">
        <f>_xll.BDH("AMZN US Equity","TOT_DEBT_TO_TOT_CAP","FQ4 2012","FQ4 2012","Currency=USD","Period=FQ","BEST_FPERIOD_OVERRIDE=FQ","FILING_STATUS=MR","Sort=A","Dates=H","DateFormat=P","Fill=—","Direction=H","UseDPDF=Y")</f>
        <v>37.7318</v>
      </c>
      <c r="J26" s="21">
        <f>_xll.BDH("AMZN US Equity","TOT_DEBT_TO_TOT_CAP","FQ1 2013","FQ1 2013","Currency=USD","Period=FQ","BEST_FPERIOD_OVERRIDE=FQ","FILING_STATUS=MR","Sort=A","Dates=H","DateFormat=P","Fill=—","Direction=H","UseDPDF=Y")</f>
        <v>30.452000000000002</v>
      </c>
      <c r="K26" s="21">
        <f>_xll.BDH("AMZN US Equity","TOT_DEBT_TO_TOT_CAP","FQ2 2013","FQ2 2013","Currency=USD","Period=FQ","BEST_FPERIOD_OVERRIDE=FQ","FILING_STATUS=MR","Sort=A","Dates=H","DateFormat=P","Fill=—","Direction=H","UseDPDF=Y")</f>
        <v>29.945499999999999</v>
      </c>
      <c r="L26" s="21">
        <f>_xll.BDH("AMZN US Equity","TOT_DEBT_TO_TOT_CAP","FQ3 2013","FQ3 2013","Currency=USD","Period=FQ","BEST_FPERIOD_OVERRIDE=FQ","FILING_STATUS=MR","Sort=A","Dates=H","DateFormat=P","Fill=—","Direction=H","UseDPDF=Y")</f>
        <v>29.063199999999998</v>
      </c>
      <c r="M26" s="21">
        <f>_xll.BDH("AMZN US Equity","TOT_DEBT_TO_TOT_CAP","FQ4 2013","FQ4 2013","Currency=USD","Period=FQ","BEST_FPERIOD_OVERRIDE=FQ","FILING_STATUS=MR","Sort=A","Dates=H","DateFormat=P","Fill=—","Direction=H","UseDPDF=Y")</f>
        <v>41.412700000000001</v>
      </c>
      <c r="N26" s="21">
        <f>_xll.BDH("AMZN US Equity","TOT_DEBT_TO_TOT_CAP","FQ1 2014","FQ1 2014","Currency=USD","Period=FQ","BEST_FPERIOD_OVERRIDE=FQ","FILING_STATUS=MR","Sort=A","Dates=H","DateFormat=P","Fill=—","Direction=H","UseDPDF=Y")</f>
        <v>27.5686</v>
      </c>
      <c r="O26" s="21">
        <f>_xll.BDH("AMZN US Equity","TOT_DEBT_TO_TOT_CAP","FQ2 2014","FQ2 2014","Currency=USD","Period=FQ","BEST_FPERIOD_OVERRIDE=FQ","FILING_STATUS=MR","Sort=A","Dates=H","DateFormat=P","Fill=—","Direction=H","UseDPDF=Y")</f>
        <v>27.288900000000002</v>
      </c>
      <c r="P26" s="21">
        <f>_xll.BDH("AMZN US Equity","TOT_DEBT_TO_TOT_CAP","FQ3 2014","FQ3 2014","Currency=USD","Period=FQ","BEST_FPERIOD_OVERRIDE=FQ","FILING_STATUS=MR","Sort=A","Dates=H","DateFormat=P","Fill=—","Direction=H","UseDPDF=Y")</f>
        <v>27.715199999999999</v>
      </c>
      <c r="Q26" s="21">
        <f>_xll.BDH("AMZN US Equity","TOT_DEBT_TO_TOT_CAP","FQ4 2014","FQ4 2014","Currency=USD","Period=FQ","BEST_FPERIOD_OVERRIDE=FQ","FILING_STATUS=MR","Sort=A","Dates=H","DateFormat=P","Fill=—","Direction=H","UseDPDF=Y")</f>
        <v>59.966500000000003</v>
      </c>
      <c r="R26" s="21">
        <f>_xll.BDH("AMZN US Equity","TOT_DEBT_TO_TOT_CAP","FQ1 2015","FQ1 2015","Currency=USD","Period=FQ","BEST_FPERIOD_OVERRIDE=FQ","FILING_STATUS=MR","Sort=A","Dates=H","DateFormat=P","Fill=—","Direction=H","UseDPDF=Y")</f>
        <v>46.979100000000003</v>
      </c>
      <c r="S26" s="21">
        <f>_xll.BDH("AMZN US Equity","TOT_DEBT_TO_TOT_CAP","FQ2 2015","FQ2 2015","Currency=USD","Period=FQ","BEST_FPERIOD_OVERRIDE=FQ","FILING_STATUS=MR","Sort=A","Dates=H","DateFormat=P","Fill=—","Direction=H","UseDPDF=Y")</f>
        <v>44.691499999999998</v>
      </c>
      <c r="T26" s="21">
        <f>_xll.BDH("AMZN US Equity","TOT_DEBT_TO_TOT_CAP","FQ3 2015","FQ3 2015","Currency=USD","Period=FQ","BEST_FPERIOD_OVERRIDE=FQ","FILING_STATUS=MR","Sort=A","Dates=H","DateFormat=P","Fill=—","Direction=H","UseDPDF=Y")</f>
        <v>42.955500000000001</v>
      </c>
      <c r="U26" s="21">
        <f>_xll.BDH("AMZN US Equity","TOT_DEBT_TO_TOT_CAP","FQ4 2015","FQ4 2015","Currency=USD","Period=FQ","BEST_FPERIOD_OVERRIDE=FQ","FILING_STATUS=MR","Sort=A","Dates=H","DateFormat=P","Fill=—","Direction=H","UseDPDF=Y")</f>
        <v>56.718299999999999</v>
      </c>
      <c r="V26" s="21">
        <f>_xll.BDH("AMZN US Equity","TOT_DEBT_TO_TOT_CAP","FQ1 2016","FQ1 2016","Currency=USD","Period=FQ","BEST_FPERIOD_OVERRIDE=FQ","FILING_STATUS=MR","Sort=A","Dates=H","DateFormat=P","Fill=—","Direction=H","UseDPDF=Y")</f>
        <v>54.411799999999999</v>
      </c>
      <c r="W26" s="21">
        <f>_xll.BDH("AMZN US Equity","TOT_DEBT_TO_TOT_CAP","FQ2 2016","FQ2 2016","Currency=USD","Period=FQ","BEST_FPERIOD_OVERRIDE=FQ","FILING_STATUS=MR","Sort=A","Dates=H","DateFormat=P","Fill=—","Direction=H","UseDPDF=Y")</f>
        <v>51.921599999999998</v>
      </c>
      <c r="X26" s="21">
        <f>_xll.BDH("AMZN US Equity","TOT_DEBT_TO_TOT_CAP","FQ3 2016","FQ3 2016","Currency=USD","Period=FQ","BEST_FPERIOD_OVERRIDE=FQ","FILING_STATUS=MR","Sort=A","Dates=H","DateFormat=P","Fill=—","Direction=H","UseDPDF=Y")</f>
        <v>51.639899999999997</v>
      </c>
      <c r="Y26" s="21">
        <f>_xll.BDH("AMZN US Equity","TOT_DEBT_TO_TOT_CAP","FQ4 2016","FQ4 2016","Currency=USD","Period=FQ","BEST_FPERIOD_OVERRIDE=FQ","FILING_STATUS=MR","Sort=A","Dates=H","DateFormat=P","Fill=—","Direction=H","UseDPDF=Y")</f>
        <v>51.417099999999998</v>
      </c>
      <c r="Z26" s="21">
        <f>_xll.BDH("AMZN US Equity","TOT_DEBT_TO_TOT_CAP","FQ1 2017","FQ1 2017","Currency=USD","Period=FQ","BEST_FPERIOD_OVERRIDE=FQ","FILING_STATUS=MR","Sort=A","Dates=H","DateFormat=P","Fill=—","Direction=H","UseDPDF=Y")</f>
        <v>49.9133</v>
      </c>
      <c r="AA26" s="21">
        <f>_xll.BDH("AMZN US Equity","TOT_DEBT_TO_TOT_CAP","FQ2 2017","FQ2 2017","Currency=USD","Period=FQ","BEST_FPERIOD_OVERRIDE=FQ","FILING_STATUS=MR","Sort=A","Dates=H","DateFormat=P","Fill=—","Direction=H","UseDPDF=Y")</f>
        <v>50.432400000000001</v>
      </c>
      <c r="AB26" s="21">
        <f>_xll.BDH("AMZN US Equity","TOT_DEBT_TO_TOT_CAP","FQ3 2017","FQ3 2017","Currency=USD","Period=FQ","BEST_FPERIOD_OVERRIDE=FQ","FILING_STATUS=MR","Sort=A","Dates=H","DateFormat=P","Fill=—","Direction=H","UseDPDF=Y")</f>
        <v>63.654899999999998</v>
      </c>
      <c r="AC26" s="21">
        <f>_xll.BDH("AMZN US Equity","TOT_DEBT_TO_TOT_CAP","FQ4 2017","FQ4 2017","Currency=USD","Period=FQ","BEST_FPERIOD_OVERRIDE=FQ","FILING_STATUS=MR","Sort=A","Dates=H","DateFormat=P","Fill=—","Direction=H","UseDPDF=Y")</f>
        <v>61.438200000000002</v>
      </c>
      <c r="AD26" s="21">
        <f>_xll.BDH("AMZN US Equity","TOT_DEBT_TO_TOT_CAP","FQ1 2018","FQ1 2018","Currency=USD","Period=FQ","BEST_FPERIOD_OVERRIDE=FQ","FILING_STATUS=MR","Sort=A","Dates=H","DateFormat=P","Fill=—","Direction=H","UseDPDF=Y")</f>
        <v>49.779699999999998</v>
      </c>
      <c r="AE26" s="21">
        <f>_xll.BDH("AMZN US Equity","TOT_DEBT_TO_TOT_CAP","FQ2 2018","FQ2 2018","Currency=USD","Period=FQ","BEST_FPERIOD_OVERRIDE=FQ","FILING_STATUS=MR","Sort=A","Dates=H","DateFormat=P","Fill=—","Direction=H","UseDPDF=Y")</f>
        <v>47.442300000000003</v>
      </c>
      <c r="AF26" s="21">
        <f>_xll.BDH("AMZN US Equity","TOT_DEBT_TO_TOT_CAP","FQ3 2018","FQ3 2018","Currency=USD","Period=FQ","BEST_FPERIOD_OVERRIDE=FQ","FILING_STATUS=MR","Sort=A","Dates=H","DateFormat=P","Fill=—","Direction=H","UseDPDF=Y")</f>
        <v>52.881300000000003</v>
      </c>
      <c r="AG26" s="21">
        <f>_xll.BDH("AMZN US Equity","TOT_DEBT_TO_TOT_CAP","FQ4 2018","FQ4 2018","Currency=USD","Period=FQ","BEST_FPERIOD_OVERRIDE=FQ","FILING_STATUS=MR","Sort=A","Dates=H","DateFormat=P","Fill=—","Direction=H","UseDPDF=Y")</f>
        <v>53.0914</v>
      </c>
      <c r="AH26" s="21">
        <f>_xll.BDH("AMZN US Equity","TOT_DEBT_TO_TOT_CAP","FQ1 2019","FQ1 2019","Currency=USD","Period=FQ","BEST_FPERIOD_OVERRIDE=FQ","FILING_STATUS=MR","Sort=A","Dates=H","DateFormat=P","Fill=—","Direction=H","UseDPDF=Y")</f>
        <v>58.770200000000003</v>
      </c>
      <c r="AI26" s="21">
        <f>_xll.BDH("AMZN US Equity","TOT_DEBT_TO_TOT_CAP","FQ2 2019","FQ2 2019","Currency=USD","Period=FQ","BEST_FPERIOD_OVERRIDE=FQ","FILING_STATUS=MR","Sort=A","Dates=H","DateFormat=P","Fill=—","Direction=H","UseDPDF=Y")</f>
        <v>57.4405</v>
      </c>
      <c r="AJ26" s="21">
        <f>_xll.BDH("AMZN US Equity","TOT_DEBT_TO_TOT_CAP","FQ3 2019","FQ3 2019","Currency=USD","Period=FQ","BEST_FPERIOD_OVERRIDE=FQ","FILING_STATUS=MR","Sort=A","Dates=H","DateFormat=P","Fill=—","Direction=H","UseDPDF=Y")</f>
        <v>56.896700000000003</v>
      </c>
      <c r="AK26" s="21">
        <f>_xll.BDH("AMZN US Equity","TOT_DEBT_TO_TOT_CAP","FQ4 2019","FQ4 2019","Currency=USD","Period=FQ","BEST_FPERIOD_OVERRIDE=FQ","FILING_STATUS=MR","Sort=A","Dates=H","DateFormat=P","Fill=—","Direction=H","UseDPDF=Y")</f>
        <v>55.542200000000001</v>
      </c>
      <c r="AL26" s="21">
        <f>_xll.BDH("AMZN US Equity","TOT_DEBT_TO_TOT_CAP","FQ1 2020","FQ1 2020","Currency=USD","Period=FQ","BEST_FPERIOD_OVERRIDE=FQ","FILING_STATUS=MR","Sort=A","Dates=H","DateFormat=P","Fill=—","Direction=H","UseDPDF=Y")</f>
        <v>54.489899999999999</v>
      </c>
      <c r="AM26" s="21">
        <f>_xll.BDH("AMZN US Equity","TOT_DEBT_TO_TOT_CAP","FQ2 2020","FQ2 2020","Currency=USD","Period=FQ","BEST_FPERIOD_OVERRIDE=FQ","FILING_STATUS=MR","Sort=A","Dates=H","DateFormat=P","Fill=—","Direction=H","UseDPDF=Y")</f>
        <v>55.152999999999999</v>
      </c>
      <c r="AN26" s="21">
        <f>_xll.BDH("AMZN US Equity","TOT_DEBT_TO_TOT_CAP","FQ3 2020","FQ3 2020","Currency=USD","Period=FQ","BEST_FPERIOD_OVERRIDE=FQ","FILING_STATUS=MR","Sort=A","Dates=H","DateFormat=P","Fill=—","Direction=H","UseDPDF=Y")</f>
        <v>53.721800000000002</v>
      </c>
      <c r="AO26" s="21">
        <f>_xll.BDH("AMZN US Equity","TOT_DEBT_TO_TOT_CAP","FQ4 2020","FQ4 2020","Currency=USD","Period=FQ","BEST_FPERIOD_OVERRIDE=FQ","FILING_STATUS=MR","Sort=A","Dates=H","DateFormat=P","Fill=—","Direction=H","UseDPDF=Y")</f>
        <v>51.830799999999996</v>
      </c>
      <c r="AP26" s="21">
        <f>_xll.BDH("AMZN US Equity","TOT_DEBT_TO_TOT_CAP","FQ1 2021","FQ1 2021","Currency=USD","Period=FQ","BEST_FPERIOD_OVERRIDE=FQ","FILING_STATUS=MR","Sort=A","Dates=H","DateFormat=P","Fill=—","Direction=H","UseDPDF=Y")</f>
        <v>49.3812</v>
      </c>
    </row>
    <row r="27" spans="1:42" x14ac:dyDescent="0.25">
      <c r="A27" s="7" t="s">
        <v>87</v>
      </c>
      <c r="B27" s="7" t="s">
        <v>177</v>
      </c>
      <c r="C27" s="23" t="s">
        <v>88</v>
      </c>
      <c r="D27" s="23" t="s">
        <v>88</v>
      </c>
      <c r="E27" s="23">
        <v>145.259997655083</v>
      </c>
      <c r="F27" s="23" t="s">
        <v>88</v>
      </c>
      <c r="G27" s="23" t="s">
        <v>88</v>
      </c>
      <c r="H27" s="23" t="s">
        <v>88</v>
      </c>
      <c r="I27" s="23">
        <v>71.134674813424397</v>
      </c>
      <c r="J27" s="23" t="s">
        <v>88</v>
      </c>
      <c r="K27" s="23" t="s">
        <v>88</v>
      </c>
      <c r="L27" s="23" t="s">
        <v>88</v>
      </c>
      <c r="M27" s="23">
        <v>9.7552933619736901</v>
      </c>
      <c r="N27" s="23">
        <v>-9.4688144580079392</v>
      </c>
      <c r="O27" s="23">
        <v>-8.8711768317940205</v>
      </c>
      <c r="P27" s="23">
        <v>-4.6381868334533403</v>
      </c>
      <c r="Q27" s="23">
        <v>44.802145642141902</v>
      </c>
      <c r="R27" s="23">
        <v>70.408218378382102</v>
      </c>
      <c r="S27" s="23">
        <v>63.771309092350897</v>
      </c>
      <c r="T27" s="23">
        <v>54.988761592229501</v>
      </c>
      <c r="U27" s="23">
        <v>-5.4166200086365004</v>
      </c>
      <c r="V27" s="23">
        <v>15.821265550538699</v>
      </c>
      <c r="W27" s="23">
        <v>16.177975514825</v>
      </c>
      <c r="X27" s="23">
        <v>20.217302172639901</v>
      </c>
      <c r="Y27" s="23">
        <v>-9.3466218134182508</v>
      </c>
      <c r="Z27" s="23">
        <v>-8.2673737931493303</v>
      </c>
      <c r="AA27" s="23">
        <v>-2.8682385371504999</v>
      </c>
      <c r="AB27" s="23">
        <v>23.266748030070701</v>
      </c>
      <c r="AC27" s="23">
        <v>19.489834647277998</v>
      </c>
      <c r="AD27" s="23">
        <v>-0.26768795140361301</v>
      </c>
      <c r="AE27" s="23">
        <v>-5.9288468737361102</v>
      </c>
      <c r="AF27" s="23">
        <v>-16.924930549288</v>
      </c>
      <c r="AG27" s="23">
        <v>-13.5856083826998</v>
      </c>
      <c r="AH27" s="23">
        <v>18.060453884752999</v>
      </c>
      <c r="AI27" s="23">
        <v>21.0744654014449</v>
      </c>
      <c r="AJ27" s="23">
        <v>7.5931943069116103</v>
      </c>
      <c r="AK27" s="23">
        <v>4.6161443790706196</v>
      </c>
      <c r="AL27" s="23">
        <v>-7.2831297045334598</v>
      </c>
      <c r="AM27" s="23">
        <v>-3.9824360997967601</v>
      </c>
      <c r="AN27" s="23">
        <v>-5.5800674260593199</v>
      </c>
      <c r="AO27" s="23">
        <v>-6.6821608362062399</v>
      </c>
      <c r="AP27" s="23">
        <v>-9.3753910130738802</v>
      </c>
    </row>
    <row r="28" spans="1:42" x14ac:dyDescent="0.25">
      <c r="A28" s="8" t="s">
        <v>176</v>
      </c>
      <c r="B28" s="8" t="s">
        <v>175</v>
      </c>
      <c r="C28" s="21">
        <f>_xll.BDH("AMZN US Equity","TOT_DEBT_TO_TOT_ASSET","FQ2 2011","FQ2 2011","Currency=USD","Period=FQ","BEST_FPERIOD_OVERRIDE=FQ","FILING_STATUS=MR","Sort=A","Dates=H","DateFormat=P","Fill=—","Direction=H","UseDPDF=Y")</f>
        <v>0</v>
      </c>
      <c r="D28" s="21">
        <f>_xll.BDH("AMZN US Equity","TOT_DEBT_TO_TOT_ASSET","FQ3 2011","FQ3 2011","Currency=USD","Period=FQ","BEST_FPERIOD_OVERRIDE=FQ","FILING_STATUS=MR","Sort=A","Dates=H","DateFormat=P","Fill=—","Direction=H","UseDPDF=Y")</f>
        <v>0</v>
      </c>
      <c r="E28" s="21">
        <f>_xll.BDH("AMZN US Equity","TOT_DEBT_TO_TOT_ASSET","FQ4 2011","FQ4 2011","Currency=USD","Period=FQ","BEST_FPERIOD_OVERRIDE=FQ","FILING_STATUS=MR","Sort=A","Dates=H","DateFormat=P","Fill=—","Direction=H","UseDPDF=Y")</f>
        <v>8.6795000000000009</v>
      </c>
      <c r="F28" s="21">
        <f>_xll.BDH("AMZN US Equity","TOT_DEBT_TO_TOT_ASSET","FQ1 2012","FQ1 2012","Currency=USD","Period=FQ","BEST_FPERIOD_OVERRIDE=FQ","FILING_STATUS=MR","Sort=A","Dates=H","DateFormat=P","Fill=—","Direction=H","UseDPDF=Y")</f>
        <v>0</v>
      </c>
      <c r="G28" s="21">
        <f>_xll.BDH("AMZN US Equity","TOT_DEBT_TO_TOT_ASSET","FQ2 2012","FQ2 2012","Currency=USD","Period=FQ","BEST_FPERIOD_OVERRIDE=FQ","FILING_STATUS=MR","Sort=A","Dates=H","DateFormat=P","Fill=—","Direction=H","UseDPDF=Y")</f>
        <v>0</v>
      </c>
      <c r="H28" s="21">
        <f>_xll.BDH("AMZN US Equity","TOT_DEBT_TO_TOT_ASSET","FQ3 2012","FQ3 2012","Currency=USD","Period=FQ","BEST_FPERIOD_OVERRIDE=FQ","FILING_STATUS=MR","Sort=A","Dates=H","DateFormat=P","Fill=—","Direction=H","UseDPDF=Y")</f>
        <v>0</v>
      </c>
      <c r="I28" s="21">
        <f>_xll.BDH("AMZN US Equity","TOT_DEBT_TO_TOT_ASSET","FQ4 2012","FQ4 2012","Currency=USD","Period=FQ","BEST_FPERIOD_OVERRIDE=FQ","FILING_STATUS=MR","Sort=A","Dates=H","DateFormat=P","Fill=—","Direction=H","UseDPDF=Y")</f>
        <v>15.247999999999999</v>
      </c>
      <c r="J28" s="21">
        <f>_xll.BDH("AMZN US Equity","TOT_DEBT_TO_TOT_ASSET","FQ1 2013","FQ1 2013","Currency=USD","Period=FQ","BEST_FPERIOD_OVERRIDE=FQ","FILING_STATUS=MR","Sort=A","Dates=H","DateFormat=P","Fill=—","Direction=H","UseDPDF=Y")</f>
        <v>13.0105</v>
      </c>
      <c r="K28" s="21">
        <f>_xll.BDH("AMZN US Equity","TOT_DEBT_TO_TOT_ASSET","FQ2 2013","FQ2 2013","Currency=USD","Period=FQ","BEST_FPERIOD_OVERRIDE=FQ","FILING_STATUS=MR","Sort=A","Dates=H","DateFormat=P","Fill=—","Direction=H","UseDPDF=Y")</f>
        <v>12.601699999999999</v>
      </c>
      <c r="L28" s="21">
        <f>_xll.BDH("AMZN US Equity","TOT_DEBT_TO_TOT_ASSET","FQ3 2013","FQ3 2013","Currency=USD","Period=FQ","BEST_FPERIOD_OVERRIDE=FQ","FILING_STATUS=MR","Sort=A","Dates=H","DateFormat=P","Fill=—","Direction=H","UseDPDF=Y")</f>
        <v>11.6851</v>
      </c>
      <c r="M28" s="21">
        <f>_xll.BDH("AMZN US Equity","TOT_DEBT_TO_TOT_ASSET","FQ4 2013","FQ4 2013","Currency=USD","Period=FQ","BEST_FPERIOD_OVERRIDE=FQ","FILING_STATUS=MR","Sort=A","Dates=H","DateFormat=P","Fill=—","Direction=H","UseDPDF=Y")</f>
        <v>17.154299999999999</v>
      </c>
      <c r="N28" s="21">
        <f>_xll.BDH("AMZN US Equity","TOT_DEBT_TO_TOT_ASSET","FQ1 2014","FQ1 2014","Currency=USD","Period=FQ","BEST_FPERIOD_OVERRIDE=FQ","FILING_STATUS=MR","Sort=A","Dates=H","DateFormat=P","Fill=—","Direction=H","UseDPDF=Y")</f>
        <v>10.8101</v>
      </c>
      <c r="O28" s="21">
        <f>_xll.BDH("AMZN US Equity","TOT_DEBT_TO_TOT_ASSET","FQ2 2014","FQ2 2014","Currency=USD","Period=FQ","BEST_FPERIOD_OVERRIDE=FQ","FILING_STATUS=MR","Sort=A","Dates=H","DateFormat=P","Fill=—","Direction=H","UseDPDF=Y")</f>
        <v>10.4992</v>
      </c>
      <c r="P28" s="21">
        <f>_xll.BDH("AMZN US Equity","TOT_DEBT_TO_TOT_ASSET","FQ3 2014","FQ3 2014","Currency=USD","Period=FQ","BEST_FPERIOD_OVERRIDE=FQ","FILING_STATUS=MR","Sort=A","Dates=H","DateFormat=P","Fill=—","Direction=H","UseDPDF=Y")</f>
        <v>9.8048000000000002</v>
      </c>
      <c r="Q28" s="21">
        <f>_xll.BDH("AMZN US Equity","TOT_DEBT_TO_TOT_ASSET","FQ4 2014","FQ4 2014","Currency=USD","Period=FQ","BEST_FPERIOD_OVERRIDE=FQ","FILING_STATUS=MR","Sort=A","Dates=H","DateFormat=P","Fill=—","Direction=H","UseDPDF=Y")</f>
        <v>29.5184</v>
      </c>
      <c r="R28" s="21">
        <f>_xll.BDH("AMZN US Equity","TOT_DEBT_TO_TOT_ASSET","FQ1 2015","FQ1 2015","Currency=USD","Period=FQ","BEST_FPERIOD_OVERRIDE=FQ","FILING_STATUS=MR","Sort=A","Dates=H","DateFormat=P","Fill=—","Direction=H","UseDPDF=Y")</f>
        <v>19.239100000000001</v>
      </c>
      <c r="S28" s="21">
        <f>_xll.BDH("AMZN US Equity","TOT_DEBT_TO_TOT_ASSET","FQ2 2015","FQ2 2015","Currency=USD","Period=FQ","BEST_FPERIOD_OVERRIDE=FQ","FILING_STATUS=MR","Sort=A","Dates=H","DateFormat=P","Fill=—","Direction=H","UseDPDF=Y")</f>
        <v>18.133099999999999</v>
      </c>
      <c r="T28" s="21">
        <f>_xll.BDH("AMZN US Equity","TOT_DEBT_TO_TOT_ASSET","FQ3 2015","FQ3 2015","Currency=USD","Period=FQ","BEST_FPERIOD_OVERRIDE=FQ","FILING_STATUS=MR","Sort=A","Dates=H","DateFormat=P","Fill=—","Direction=H","UseDPDF=Y")</f>
        <v>16.645900000000001</v>
      </c>
      <c r="U28" s="21">
        <f>_xll.BDH("AMZN US Equity","TOT_DEBT_TO_TOT_ASSET","FQ4 2015","FQ4 2015","Currency=USD","Period=FQ","BEST_FPERIOD_OVERRIDE=FQ","FILING_STATUS=MR","Sort=A","Dates=H","DateFormat=P","Fill=—","Direction=H","UseDPDF=Y")</f>
        <v>27.0885</v>
      </c>
      <c r="V28" s="21">
        <f>_xll.BDH("AMZN US Equity","TOT_DEBT_TO_TOT_ASSET","FQ1 2016","FQ1 2016","Currency=USD","Period=FQ","BEST_FPERIOD_OVERRIDE=FQ","FILING_STATUS=MR","Sort=A","Dates=H","DateFormat=P","Fill=—","Direction=H","UseDPDF=Y")</f>
        <v>28.811699999999998</v>
      </c>
      <c r="W28" s="21">
        <f>_xll.BDH("AMZN US Equity","TOT_DEBT_TO_TOT_ASSET","FQ2 2016","FQ2 2016","Currency=USD","Period=FQ","BEST_FPERIOD_OVERRIDE=FQ","FILING_STATUS=MR","Sort=A","Dates=H","DateFormat=P","Fill=—","Direction=H","UseDPDF=Y")</f>
        <v>27.444800000000001</v>
      </c>
      <c r="X28" s="21">
        <f>_xll.BDH("AMZN US Equity","TOT_DEBT_TO_TOT_ASSET","FQ3 2016","FQ3 2016","Currency=USD","Period=FQ","BEST_FPERIOD_OVERRIDE=FQ","FILING_STATUS=MR","Sort=A","Dates=H","DateFormat=P","Fill=—","Direction=H","UseDPDF=Y")</f>
        <v>26.782499999999999</v>
      </c>
      <c r="Y28" s="21">
        <f>_xll.BDH("AMZN US Equity","TOT_DEBT_TO_TOT_ASSET","FQ4 2016","FQ4 2016","Currency=USD","Period=FQ","BEST_FPERIOD_OVERRIDE=FQ","FILING_STATUS=MR","Sort=A","Dates=H","DateFormat=P","Fill=—","Direction=H","UseDPDF=Y")</f>
        <v>24.471800000000002</v>
      </c>
      <c r="Z28" s="21">
        <f>_xll.BDH("AMZN US Equity","TOT_DEBT_TO_TOT_ASSET","FQ1 2017","FQ1 2017","Currency=USD","Period=FQ","BEST_FPERIOD_OVERRIDE=FQ","FILING_STATUS=MR","Sort=A","Dates=H","DateFormat=P","Fill=—","Direction=H","UseDPDF=Y")</f>
        <v>26.675599999999999</v>
      </c>
      <c r="AA28" s="21">
        <f>_xll.BDH("AMZN US Equity","TOT_DEBT_TO_TOT_ASSET","FQ2 2017","FQ2 2017","Currency=USD","Period=FQ","BEST_FPERIOD_OVERRIDE=FQ","FILING_STATUS=MR","Sort=A","Dates=H","DateFormat=P","Fill=—","Direction=H","UseDPDF=Y")</f>
        <v>26.906700000000001</v>
      </c>
      <c r="AB28" s="21">
        <f>_xll.BDH("AMZN US Equity","TOT_DEBT_TO_TOT_ASSET","FQ3 2017","FQ3 2017","Currency=USD","Period=FQ","BEST_FPERIOD_OVERRIDE=FQ","FILING_STATUS=MR","Sort=A","Dates=H","DateFormat=P","Fill=—","Direction=H","UseDPDF=Y")</f>
        <v>37.466099999999997</v>
      </c>
      <c r="AC28" s="21">
        <f>_xll.BDH("AMZN US Equity","TOT_DEBT_TO_TOT_ASSET","FQ4 2017","FQ4 2017","Currency=USD","Period=FQ","BEST_FPERIOD_OVERRIDE=FQ","FILING_STATUS=MR","Sort=A","Dates=H","DateFormat=P","Fill=—","Direction=H","UseDPDF=Y")</f>
        <v>33.620399999999997</v>
      </c>
      <c r="AD28" s="21">
        <f>_xll.BDH("AMZN US Equity","TOT_DEBT_TO_TOT_ASSET","FQ1 2018","FQ1 2018","Currency=USD","Period=FQ","BEST_FPERIOD_OVERRIDE=FQ","FILING_STATUS=MR","Sort=A","Dates=H","DateFormat=P","Fill=—","Direction=H","UseDPDF=Y")</f>
        <v>24.680700000000002</v>
      </c>
      <c r="AE28" s="21">
        <f>_xll.BDH("AMZN US Equity","TOT_DEBT_TO_TOT_ASSET","FQ2 2018","FQ2 2018","Currency=USD","Period=FQ","BEST_FPERIOD_OVERRIDE=FQ","FILING_STATUS=MR","Sort=A","Dates=H","DateFormat=P","Fill=—","Direction=H","UseDPDF=Y")</f>
        <v>23.5563</v>
      </c>
      <c r="AF28" s="21">
        <f>_xll.BDH("AMZN US Equity","TOT_DEBT_TO_TOT_ASSET","FQ3 2018","FQ3 2018","Currency=USD","Period=FQ","BEST_FPERIOD_OVERRIDE=FQ","FILING_STATUS=MR","Sort=A","Dates=H","DateFormat=P","Fill=—","Direction=H","UseDPDF=Y")</f>
        <v>30.5578</v>
      </c>
      <c r="AG28" s="21">
        <f>_xll.BDH("AMZN US Equity","TOT_DEBT_TO_TOT_ASSET","FQ4 2018","FQ4 2018","Currency=USD","Period=FQ","BEST_FPERIOD_OVERRIDE=FQ","FILING_STATUS=MR","Sort=A","Dates=H","DateFormat=P","Fill=—","Direction=H","UseDPDF=Y")</f>
        <v>30.304099999999998</v>
      </c>
      <c r="AH28" s="21">
        <f>_xll.BDH("AMZN US Equity","TOT_DEBT_TO_TOT_ASSET","FQ1 2019","FQ1 2019","Currency=USD","Period=FQ","BEST_FPERIOD_OVERRIDE=FQ","FILING_STATUS=MR","Sort=A","Dates=H","DateFormat=P","Fill=—","Direction=H","UseDPDF=Y")</f>
        <v>38.744700000000002</v>
      </c>
      <c r="AI28" s="21">
        <f>_xll.BDH("AMZN US Equity","TOT_DEBT_TO_TOT_ASSET","FQ2 2019","FQ2 2019","Currency=USD","Period=FQ","BEST_FPERIOD_OVERRIDE=FQ","FILING_STATUS=MR","Sort=A","Dates=H","DateFormat=P","Fill=—","Direction=H","UseDPDF=Y")</f>
        <v>37.4255</v>
      </c>
      <c r="AJ28" s="21">
        <f>_xll.BDH("AMZN US Equity","TOT_DEBT_TO_TOT_ASSET","FQ3 2019","FQ3 2019","Currency=USD","Period=FQ","BEST_FPERIOD_OVERRIDE=FQ","FILING_STATUS=MR","Sort=A","Dates=H","DateFormat=P","Fill=—","Direction=H","UseDPDF=Y")</f>
        <v>37.464300000000001</v>
      </c>
      <c r="AK28" s="21">
        <f>_xll.BDH("AMZN US Equity","TOT_DEBT_TO_TOT_ASSET","FQ4 2019","FQ4 2019","Currency=USD","Period=FQ","BEST_FPERIOD_OVERRIDE=FQ","FILING_STATUS=MR","Sort=A","Dates=H","DateFormat=P","Fill=—","Direction=H","UseDPDF=Y")</f>
        <v>34.421199999999999</v>
      </c>
      <c r="AL28" s="21">
        <f>_xll.BDH("AMZN US Equity","TOT_DEBT_TO_TOT_ASSET","FQ1 2020","FQ1 2020","Currency=USD","Period=FQ","BEST_FPERIOD_OVERRIDE=FQ","FILING_STATUS=MR","Sort=A","Dates=H","DateFormat=P","Fill=—","Direction=H","UseDPDF=Y")</f>
        <v>35.324399999999997</v>
      </c>
      <c r="AM28" s="21">
        <f>_xll.BDH("AMZN US Equity","TOT_DEBT_TO_TOT_ASSET","FQ2 2020","FQ2 2020","Currency=USD","Period=FQ","BEST_FPERIOD_OVERRIDE=FQ","FILING_STATUS=MR","Sort=A","Dates=H","DateFormat=P","Fill=—","Direction=H","UseDPDF=Y")</f>
        <v>35.101100000000002</v>
      </c>
      <c r="AN28" s="21">
        <f>_xll.BDH("AMZN US Equity","TOT_DEBT_TO_TOT_ASSET","FQ3 2020","FQ3 2020","Currency=USD","Period=FQ","BEST_FPERIOD_OVERRIDE=FQ","FILING_STATUS=MR","Sort=A","Dates=H","DateFormat=P","Fill=—","Direction=H","UseDPDF=Y")</f>
        <v>34.052500000000002</v>
      </c>
      <c r="AO28" s="21">
        <f>_xll.BDH("AMZN US Equity","TOT_DEBT_TO_TOT_ASSET","FQ4 2020","FQ4 2020","Currency=USD","Period=FQ","BEST_FPERIOD_OVERRIDE=FQ","FILING_STATUS=MR","Sort=A","Dates=H","DateFormat=P","Fill=—","Direction=H","UseDPDF=Y")</f>
        <v>31.290600000000001</v>
      </c>
      <c r="AP28" s="21">
        <f>_xll.BDH("AMZN US Equity","TOT_DEBT_TO_TOT_ASSET","FQ1 2021","FQ1 2021","Currency=USD","Period=FQ","BEST_FPERIOD_OVERRIDE=FQ","FILING_STATUS=MR","Sort=A","Dates=H","DateFormat=P","Fill=—","Direction=H","UseDPDF=Y")</f>
        <v>31.1981</v>
      </c>
    </row>
    <row r="29" spans="1:42" x14ac:dyDescent="0.25">
      <c r="A29" s="7" t="s">
        <v>87</v>
      </c>
      <c r="B29" s="7" t="s">
        <v>175</v>
      </c>
      <c r="C29" s="23" t="s">
        <v>88</v>
      </c>
      <c r="D29" s="23" t="s">
        <v>88</v>
      </c>
      <c r="E29" s="23">
        <v>140.63162348116501</v>
      </c>
      <c r="F29" s="23" t="s">
        <v>88</v>
      </c>
      <c r="G29" s="23" t="s">
        <v>88</v>
      </c>
      <c r="H29" s="23" t="s">
        <v>88</v>
      </c>
      <c r="I29" s="23">
        <v>75.679130234009307</v>
      </c>
      <c r="J29" s="23" t="s">
        <v>88</v>
      </c>
      <c r="K29" s="23" t="s">
        <v>88</v>
      </c>
      <c r="L29" s="23" t="s">
        <v>88</v>
      </c>
      <c r="M29" s="23">
        <v>12.5017362885018</v>
      </c>
      <c r="N29" s="23">
        <v>-16.9124072280798</v>
      </c>
      <c r="O29" s="23">
        <v>-16.683946088204799</v>
      </c>
      <c r="P29" s="23">
        <v>-16.091705254164001</v>
      </c>
      <c r="Q29" s="23">
        <v>72.0756448874195</v>
      </c>
      <c r="R29" s="23">
        <v>77.973064553638594</v>
      </c>
      <c r="S29" s="23">
        <v>72.708821166494502</v>
      </c>
      <c r="T29" s="23">
        <v>69.773248701273204</v>
      </c>
      <c r="U29" s="23">
        <v>-8.2317455425164905</v>
      </c>
      <c r="V29" s="23">
        <v>49.755511433696498</v>
      </c>
      <c r="W29" s="23">
        <v>51.352093312204403</v>
      </c>
      <c r="X29" s="23">
        <v>60.895382225517302</v>
      </c>
      <c r="Y29" s="23">
        <v>-9.6597362262101196</v>
      </c>
      <c r="Z29" s="23">
        <v>-7.4137760964531303</v>
      </c>
      <c r="AA29" s="23">
        <v>-1.9606604288442799</v>
      </c>
      <c r="AB29" s="23">
        <v>39.889987926824602</v>
      </c>
      <c r="AC29" s="23">
        <v>37.384221493811197</v>
      </c>
      <c r="AD29" s="23">
        <v>-7.4785906737911096</v>
      </c>
      <c r="AE29" s="23">
        <v>-12.452024091812801</v>
      </c>
      <c r="AF29" s="23">
        <v>-18.438764452848599</v>
      </c>
      <c r="AG29" s="23">
        <v>-9.8640826830344892</v>
      </c>
      <c r="AH29" s="23">
        <v>56.983736144374298</v>
      </c>
      <c r="AI29" s="23">
        <v>58.876658945731698</v>
      </c>
      <c r="AJ29" s="23">
        <v>22.601439718508299</v>
      </c>
      <c r="AK29" s="23">
        <v>13.585884704943499</v>
      </c>
      <c r="AL29" s="23">
        <v>-8.8276699452610998</v>
      </c>
      <c r="AM29" s="23">
        <v>-6.2107045620062298</v>
      </c>
      <c r="AN29" s="23">
        <v>-9.1067498780238196</v>
      </c>
      <c r="AO29" s="23">
        <v>-9.0947574096186408</v>
      </c>
      <c r="AP29" s="23">
        <v>-11.681066816077999</v>
      </c>
    </row>
    <row r="30" spans="1:42" x14ac:dyDescent="0.25">
      <c r="A30" s="8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</row>
    <row r="31" spans="1:42" x14ac:dyDescent="0.25">
      <c r="A31" s="8" t="s">
        <v>174</v>
      </c>
      <c r="B31" s="8" t="s">
        <v>173</v>
      </c>
      <c r="C31" s="21">
        <f>_xll.BDH("AMZN US Equity","CASH_FLOW_TO_TOT_LIAB","FQ2 2011","FQ2 2011","Currency=USD","Period=FQ","BEST_FPERIOD_OVERRIDE=FQ","FILING_STATUS=MR","Sort=A","Dates=H","DateFormat=P","Fill=—","Direction=H","UseDPDF=Y")</f>
        <v>31.171399999999998</v>
      </c>
      <c r="D31" s="21">
        <f>_xll.BDH("AMZN US Equity","CASH_FLOW_TO_TOT_LIAB","FQ3 2011","FQ3 2011","Currency=USD","Period=FQ","BEST_FPERIOD_OVERRIDE=FQ","FILING_STATUS=MR","Sort=A","Dates=H","DateFormat=P","Fill=—","Direction=H","UseDPDF=Y")</f>
        <v>27.5868</v>
      </c>
      <c r="E31" s="21">
        <f>_xll.BDH("AMZN US Equity","CASH_FLOW_TO_TOT_LIAB","FQ4 2011","FQ4 2011","Currency=USD","Period=FQ","BEST_FPERIOD_OVERRIDE=FQ","FILING_STATUS=MR","Sort=A","Dates=H","DateFormat=P","Fill=—","Direction=H","UseDPDF=Y")</f>
        <v>22.2761</v>
      </c>
      <c r="F31" s="21">
        <f>_xll.BDH("AMZN US Equity","CASH_FLOW_TO_TOT_LIAB","FQ1 2012","FQ1 2012","Currency=USD","Period=FQ","BEST_FPERIOD_OVERRIDE=FQ","FILING_STATUS=MR","Sort=A","Dates=H","DateFormat=P","Fill=—","Direction=H","UseDPDF=Y")</f>
        <v>23.347100000000001</v>
      </c>
      <c r="G31" s="21">
        <f>_xll.BDH("AMZN US Equity","CASH_FLOW_TO_TOT_LIAB","FQ2 2012","FQ2 2012","Currency=USD","Period=FQ","BEST_FPERIOD_OVERRIDE=FQ","FILING_STATUS=MR","Sort=A","Dates=H","DateFormat=P","Fill=—","Direction=H","UseDPDF=Y")</f>
        <v>23.8367</v>
      </c>
      <c r="H31" s="21">
        <f>_xll.BDH("AMZN US Equity","CASH_FLOW_TO_TOT_LIAB","FQ3 2012","FQ3 2012","Currency=USD","Period=FQ","BEST_FPERIOD_OVERRIDE=FQ","FILING_STATUS=MR","Sort=A","Dates=H","DateFormat=P","Fill=—","Direction=H","UseDPDF=Y")</f>
        <v>22.040400000000002</v>
      </c>
      <c r="I31" s="21">
        <f>_xll.BDH("AMZN US Equity","CASH_FLOW_TO_TOT_LIAB","FQ4 2012","FQ4 2012","Currency=USD","Period=FQ","BEST_FPERIOD_OVERRIDE=FQ","FILING_STATUS=MR","Sort=A","Dates=H","DateFormat=P","Fill=—","Direction=H","UseDPDF=Y")</f>
        <v>17.1572</v>
      </c>
      <c r="J31" s="21">
        <f>_xll.BDH("AMZN US Equity","CASH_FLOW_TO_TOT_LIAB","FQ1 2013","FQ1 2013","Currency=USD","Period=FQ","BEST_FPERIOD_OVERRIDE=FQ","FILING_STATUS=MR","Sort=A","Dates=H","DateFormat=P","Fill=—","Direction=H","UseDPDF=Y")</f>
        <v>21.288499999999999</v>
      </c>
      <c r="K31" s="21">
        <f>_xll.BDH("AMZN US Equity","CASH_FLOW_TO_TOT_LIAB","FQ2 2013","FQ2 2013","Currency=USD","Period=FQ","BEST_FPERIOD_OVERRIDE=FQ","FILING_STATUS=MR","Sort=A","Dates=H","DateFormat=P","Fill=—","Direction=H","UseDPDF=Y")</f>
        <v>21.694600000000001</v>
      </c>
      <c r="L31" s="21">
        <f>_xll.BDH("AMZN US Equity","CASH_FLOW_TO_TOT_LIAB","FQ3 2013","FQ3 2013","Currency=USD","Period=FQ","BEST_FPERIOD_OVERRIDE=FQ","FILING_STATUS=MR","Sort=A","Dates=H","DateFormat=P","Fill=—","Direction=H","UseDPDF=Y")</f>
        <v>21.853899999999999</v>
      </c>
      <c r="M31" s="21">
        <f>_xll.BDH("AMZN US Equity","CASH_FLOW_TO_TOT_LIAB","FQ4 2013","FQ4 2013","Currency=USD","Period=FQ","BEST_FPERIOD_OVERRIDE=FQ","FILING_STATUS=MR","Sort=A","Dates=H","DateFormat=P","Fill=—","Direction=H","UseDPDF=Y")</f>
        <v>17.998899999999999</v>
      </c>
      <c r="N31" s="21">
        <f>_xll.BDH("AMZN US Equity","CASH_FLOW_TO_TOT_LIAB","FQ1 2014","FQ1 2014","Currency=USD","Period=FQ","BEST_FPERIOD_OVERRIDE=FQ","FILING_STATUS=MR","Sort=A","Dates=H","DateFormat=P","Fill=—","Direction=H","UseDPDF=Y")</f>
        <v>20.525400000000001</v>
      </c>
      <c r="O31" s="21">
        <f>_xll.BDH("AMZN US Equity","CASH_FLOW_TO_TOT_LIAB","FQ2 2014","FQ2 2014","Currency=USD","Period=FQ","BEST_FPERIOD_OVERRIDE=FQ","FILING_STATUS=MR","Sort=A","Dates=H","DateFormat=P","Fill=—","Direction=H","UseDPDF=Y")</f>
        <v>19.512</v>
      </c>
      <c r="P31" s="21">
        <f>_xll.BDH("AMZN US Equity","CASH_FLOW_TO_TOT_LIAB","FQ3 2014","FQ3 2014","Currency=USD","Period=FQ","BEST_FPERIOD_OVERRIDE=FQ","FILING_STATUS=MR","Sort=A","Dates=H","DateFormat=P","Fill=—","Direction=H","UseDPDF=Y")</f>
        <v>18.960899999999999</v>
      </c>
      <c r="Q31" s="21">
        <f>_xll.BDH("AMZN US Equity","CASH_FLOW_TO_TOT_LIAB","FQ4 2014","FQ4 2014","Currency=USD","Period=FQ","BEST_FPERIOD_OVERRIDE=FQ","FILING_STATUS=MR","Sort=A","Dates=H","DateFormat=P","Fill=—","Direction=H","UseDPDF=Y")</f>
        <v>15.631600000000001</v>
      </c>
      <c r="R31" s="21">
        <f>_xll.BDH("AMZN US Equity","CASH_FLOW_TO_TOT_LIAB","FQ1 2015","FQ1 2015","Currency=USD","Period=FQ","BEST_FPERIOD_OVERRIDE=FQ","FILING_STATUS=MR","Sort=A","Dates=H","DateFormat=P","Fill=—","Direction=H","UseDPDF=Y")</f>
        <v>20.0092</v>
      </c>
      <c r="S31" s="21">
        <f>_xll.BDH("AMZN US Equity","CASH_FLOW_TO_TOT_LIAB","FQ2 2015","FQ2 2015","Currency=USD","Period=FQ","BEST_FPERIOD_OVERRIDE=FQ","FILING_STATUS=MR","Sort=A","Dates=H","DateFormat=P","Fill=—","Direction=H","UseDPDF=Y")</f>
        <v>22.076599999999999</v>
      </c>
      <c r="T31" s="21">
        <f>_xll.BDH("AMZN US Equity","CASH_FLOW_TO_TOT_LIAB","FQ3 2015","FQ3 2015","Currency=USD","Period=FQ","BEST_FPERIOD_OVERRIDE=FQ","FILING_STATUS=MR","Sort=A","Dates=H","DateFormat=P","Fill=—","Direction=H","UseDPDF=Y")</f>
        <v>22.4269</v>
      </c>
      <c r="U31" s="21">
        <f>_xll.BDH("AMZN US Equity","CASH_FLOW_TO_TOT_LIAB","FQ4 2015","FQ4 2015","Currency=USD","Period=FQ","BEST_FPERIOD_OVERRIDE=FQ","FILING_STATUS=MR","Sort=A","Dates=H","DateFormat=P","Fill=—","Direction=H","UseDPDF=Y")</f>
        <v>23.2074</v>
      </c>
      <c r="V31" s="21">
        <f>_xll.BDH("AMZN US Equity","CASH_FLOW_TO_TOT_LIAB","FQ1 2016","FQ1 2016","Currency=USD","Period=FQ","BEST_FPERIOD_OVERRIDE=FQ","FILING_STATUS=MR","Sort=A","Dates=H","DateFormat=P","Fill=—","Direction=H","UseDPDF=Y")</f>
        <v>24.726099999999999</v>
      </c>
      <c r="W31" s="21">
        <f>_xll.BDH("AMZN US Equity","CASH_FLOW_TO_TOT_LIAB","FQ2 2016","FQ2 2016","Currency=USD","Period=FQ","BEST_FPERIOD_OVERRIDE=FQ","FILING_STATUS=MR","Sort=A","Dates=H","DateFormat=P","Fill=—","Direction=H","UseDPDF=Y")</f>
        <v>26.88</v>
      </c>
      <c r="X31" s="21">
        <f>_xll.BDH("AMZN US Equity","CASH_FLOW_TO_TOT_LIAB","FQ3 2016","FQ3 2016","Currency=USD","Period=FQ","BEST_FPERIOD_OVERRIDE=FQ","FILING_STATUS=MR","Sort=A","Dates=H","DateFormat=P","Fill=—","Direction=H","UseDPDF=Y")</f>
        <v>28.421299999999999</v>
      </c>
      <c r="Y31" s="21">
        <f>_xll.BDH("AMZN US Equity","CASH_FLOW_TO_TOT_LIAB","FQ4 2016","FQ4 2016","Currency=USD","Period=FQ","BEST_FPERIOD_OVERRIDE=FQ","FILING_STATUS=MR","Sort=A","Dates=H","DateFormat=P","Fill=—","Direction=H","UseDPDF=Y")</f>
        <v>26.8306</v>
      </c>
      <c r="Z31" s="21">
        <f>_xll.BDH("AMZN US Equity","CASH_FLOW_TO_TOT_LIAB","FQ1 2017","FQ1 2017","Currency=USD","Period=FQ","BEST_FPERIOD_OVERRIDE=FQ","FILING_STATUS=MR","Sort=A","Dates=H","DateFormat=P","Fill=—","Direction=H","UseDPDF=Y")</f>
        <v>29.575800000000001</v>
      </c>
      <c r="AA31" s="21">
        <f>_xll.BDH("AMZN US Equity","CASH_FLOW_TO_TOT_LIAB","FQ2 2017","FQ2 2017","Currency=USD","Period=FQ","BEST_FPERIOD_OVERRIDE=FQ","FILING_STATUS=MR","Sort=A","Dates=H","DateFormat=P","Fill=—","Direction=H","UseDPDF=Y")</f>
        <v>27.5822</v>
      </c>
      <c r="AB31" s="21">
        <f>_xll.BDH("AMZN US Equity","CASH_FLOW_TO_TOT_LIAB","FQ3 2017","FQ3 2017","Currency=USD","Period=FQ","BEST_FPERIOD_OVERRIDE=FQ","FILING_STATUS=MR","Sort=A","Dates=H","DateFormat=P","Fill=—","Direction=H","UseDPDF=Y")</f>
        <v>18.6814</v>
      </c>
      <c r="AC31" s="21">
        <f>_xll.BDH("AMZN US Equity","CASH_FLOW_TO_TOT_LIAB","FQ4 2017","FQ4 2017","Currency=USD","Period=FQ","BEST_FPERIOD_OVERRIDE=FQ","FILING_STATUS=MR","Sort=A","Dates=H","DateFormat=P","Fill=—","Direction=H","UseDPDF=Y")</f>
        <v>17.726700000000001</v>
      </c>
      <c r="AD31" s="21">
        <f>_xll.BDH("AMZN US Equity","CASH_FLOW_TO_TOT_LIAB","FQ1 2018","FQ1 2018","Currency=USD","Period=FQ","BEST_FPERIOD_OVERRIDE=FQ","FILING_STATUS=MR","Sort=A","Dates=H","DateFormat=P","Fill=—","Direction=H","UseDPDF=Y")</f>
        <v>19.1709</v>
      </c>
      <c r="AE31" s="21">
        <f>_xll.BDH("AMZN US Equity","CASH_FLOW_TO_TOT_LIAB","FQ2 2018","FQ2 2018","Currency=USD","Period=FQ","BEST_FPERIOD_OVERRIDE=FQ","FILING_STATUS=MR","Sort=A","Dates=H","DateFormat=P","Fill=—","Direction=H","UseDPDF=Y")</f>
        <v>21.988800000000001</v>
      </c>
      <c r="AF31" s="21">
        <f>_xll.BDH("AMZN US Equity","CASH_FLOW_TO_TOT_LIAB","FQ3 2018","FQ3 2018","Currency=USD","Period=FQ","BEST_FPERIOD_OVERRIDE=FQ","FILING_STATUS=MR","Sort=A","Dates=H","DateFormat=P","Fill=—","Direction=H","UseDPDF=Y")</f>
        <v>25.4404</v>
      </c>
      <c r="AG31" s="21">
        <f>_xll.BDH("AMZN US Equity","CASH_FLOW_TO_TOT_LIAB","FQ4 2018","FQ4 2018","Currency=USD","Period=FQ","BEST_FPERIOD_OVERRIDE=FQ","FILING_STATUS=MR","Sort=A","Dates=H","DateFormat=P","Fill=—","Direction=H","UseDPDF=Y")</f>
        <v>25.797000000000001</v>
      </c>
      <c r="AH31" s="21">
        <f>_xll.BDH("AMZN US Equity","CASH_FLOW_TO_TOT_LIAB","FQ1 2019","FQ1 2019","Currency=USD","Period=FQ","BEST_FPERIOD_OVERRIDE=FQ","FILING_STATUS=MR","Sort=A","Dates=H","DateFormat=P","Fill=—","Direction=H","UseDPDF=Y")</f>
        <v>26.494299999999999</v>
      </c>
      <c r="AI31" s="21">
        <f>_xll.BDH("AMZN US Equity","CASH_FLOW_TO_TOT_LIAB","FQ2 2019","FQ2 2019","Currency=USD","Period=FQ","BEST_FPERIOD_OVERRIDE=FQ","FILING_STATUS=MR","Sort=A","Dates=H","DateFormat=P","Fill=—","Direction=H","UseDPDF=Y")</f>
        <v>26.053899999999999</v>
      </c>
      <c r="AJ31" s="21">
        <f>_xll.BDH("AMZN US Equity","CASH_FLOW_TO_TOT_LIAB","FQ3 2019","FQ3 2019","Currency=USD","Period=FQ","BEST_FPERIOD_OVERRIDE=FQ","FILING_STATUS=MR","Sort=A","Dates=H","DateFormat=P","Fill=—","Direction=H","UseDPDF=Y")</f>
        <v>24.78</v>
      </c>
      <c r="AK31" s="21">
        <f>_xll.BDH("AMZN US Equity","CASH_FLOW_TO_TOT_LIAB","FQ4 2019","FQ4 2019","Currency=USD","Period=FQ","BEST_FPERIOD_OVERRIDE=FQ","FILING_STATUS=MR","Sort=A","Dates=H","DateFormat=P","Fill=—","Direction=H","UseDPDF=Y")</f>
        <v>23.601600000000001</v>
      </c>
      <c r="AL31" s="21">
        <f>_xll.BDH("AMZN US Equity","CASH_FLOW_TO_TOT_LIAB","FQ1 2020","FQ1 2020","Currency=USD","Period=FQ","BEST_FPERIOD_OVERRIDE=FQ","FILING_STATUS=MR","Sort=A","Dates=H","DateFormat=P","Fill=—","Direction=H","UseDPDF=Y")</f>
        <v>25.4754</v>
      </c>
      <c r="AM31" s="21">
        <f>_xll.BDH("AMZN US Equity","CASH_FLOW_TO_TOT_LIAB","FQ2 2020","FQ2 2020","Currency=USD","Period=FQ","BEST_FPERIOD_OVERRIDE=FQ","FILING_STATUS=MR","Sort=A","Dates=H","DateFormat=P","Fill=—","Direction=H","UseDPDF=Y")</f>
        <v>27.749099999999999</v>
      </c>
      <c r="AN31" s="21">
        <f>_xll.BDH("AMZN US Equity","CASH_FLOW_TO_TOT_LIAB","FQ3 2020","FQ3 2020","Currency=USD","Period=FQ","BEST_FPERIOD_OVERRIDE=FQ","FILING_STATUS=MR","Sort=A","Dates=H","DateFormat=P","Fill=—","Direction=H","UseDPDF=Y")</f>
        <v>27.729099999999999</v>
      </c>
      <c r="AO31" s="21">
        <f>_xll.BDH("AMZN US Equity","CASH_FLOW_TO_TOT_LIAB","FQ4 2020","FQ4 2020","Currency=USD","Period=FQ","BEST_FPERIOD_OVERRIDE=FQ","FILING_STATUS=MR","Sort=A","Dates=H","DateFormat=P","Fill=—","Direction=H","UseDPDF=Y")</f>
        <v>29.001999999999999</v>
      </c>
      <c r="AP31" s="21">
        <f>_xll.BDH("AMZN US Equity","CASH_FLOW_TO_TOT_LIAB","FQ1 2021","FQ1 2021","Currency=USD","Period=FQ","BEST_FPERIOD_OVERRIDE=FQ","FILING_STATUS=MR","Sort=A","Dates=H","DateFormat=P","Fill=—","Direction=H","UseDPDF=Y")</f>
        <v>30.585100000000001</v>
      </c>
    </row>
    <row r="32" spans="1:42" x14ac:dyDescent="0.25">
      <c r="A32" s="7" t="s">
        <v>87</v>
      </c>
      <c r="B32" s="7" t="s">
        <v>173</v>
      </c>
      <c r="C32" s="23">
        <v>-20.397948661689</v>
      </c>
      <c r="D32" s="23">
        <v>-18.146104900017701</v>
      </c>
      <c r="E32" s="23">
        <v>-23.767993052509599</v>
      </c>
      <c r="F32" s="23">
        <v>-25.770367756909199</v>
      </c>
      <c r="G32" s="23">
        <v>-23.530344369695001</v>
      </c>
      <c r="H32" s="23">
        <v>-20.105167620274301</v>
      </c>
      <c r="I32" s="23">
        <v>-22.979583613416501</v>
      </c>
      <c r="J32" s="23">
        <v>-8.8172123424114197</v>
      </c>
      <c r="K32" s="23">
        <v>-8.9864095835614499</v>
      </c>
      <c r="L32" s="23">
        <v>-0.84650752466761003</v>
      </c>
      <c r="M32" s="23">
        <v>4.9059212288277196</v>
      </c>
      <c r="N32" s="23">
        <v>-3.58463705101848</v>
      </c>
      <c r="O32" s="23">
        <v>-10.0604570051586</v>
      </c>
      <c r="P32" s="23">
        <v>-13.2378991215651</v>
      </c>
      <c r="Q32" s="23">
        <v>-13.152555808744101</v>
      </c>
      <c r="R32" s="23">
        <v>-2.5151390280523298</v>
      </c>
      <c r="S32" s="23">
        <v>13.143680283985001</v>
      </c>
      <c r="T32" s="23">
        <v>18.2800951960287</v>
      </c>
      <c r="U32" s="23">
        <v>48.464731851293998</v>
      </c>
      <c r="V32" s="23">
        <v>23.573901043335901</v>
      </c>
      <c r="W32" s="23">
        <v>21.757671795034899</v>
      </c>
      <c r="X32" s="23">
        <v>26.7286073477431</v>
      </c>
      <c r="Y32" s="23">
        <v>15.6125897435931</v>
      </c>
      <c r="Z32" s="23">
        <v>19.613754324979599</v>
      </c>
      <c r="AA32" s="23">
        <v>2.6124694335596401</v>
      </c>
      <c r="AB32" s="23">
        <v>-34.269951990317097</v>
      </c>
      <c r="AC32" s="23">
        <v>-33.931265443632</v>
      </c>
      <c r="AD32" s="23">
        <v>-35.180534118207902</v>
      </c>
      <c r="AE32" s="23">
        <v>-20.2790234180369</v>
      </c>
      <c r="AF32" s="23">
        <v>36.180478655550203</v>
      </c>
      <c r="AG32" s="23">
        <v>45.526690500067602</v>
      </c>
      <c r="AH32" s="23">
        <v>38.200600618395299</v>
      </c>
      <c r="AI32" s="23">
        <v>18.4873435567198</v>
      </c>
      <c r="AJ32" s="23">
        <v>-2.5959129926347302</v>
      </c>
      <c r="AK32" s="23">
        <v>-8.5103337105602694</v>
      </c>
      <c r="AL32" s="23">
        <v>-3.8456785626800598</v>
      </c>
      <c r="AM32" s="23">
        <v>6.5064234993971199</v>
      </c>
      <c r="AN32" s="23">
        <v>11.901421168270399</v>
      </c>
      <c r="AO32" s="23">
        <v>22.881533562981499</v>
      </c>
      <c r="AP32" s="23">
        <v>20.057456158531501</v>
      </c>
    </row>
    <row r="33" spans="1:42" x14ac:dyDescent="0.25">
      <c r="A33" s="8" t="s">
        <v>172</v>
      </c>
      <c r="B33" s="8" t="s">
        <v>171</v>
      </c>
      <c r="C33" s="21">
        <f>_xll.BDH("AMZN US Equity","CAP_EXPEND_RATIO","FQ2 2011","FQ2 2011","Currency=USD","Period=FQ","BEST_FPERIOD_OVERRIDE=FQ","FILING_STATUS=MR","Sort=A","Dates=H","DateFormat=P","Fill=—","Direction=H","UseDPDF=Y")</f>
        <v>0.97689999999999999</v>
      </c>
      <c r="D33" s="21">
        <f>_xll.BDH("AMZN US Equity","CAP_EXPEND_RATIO","FQ3 2011","FQ3 2011","Currency=USD","Period=FQ","BEST_FPERIOD_OVERRIDE=FQ","FILING_STATUS=MR","Sort=A","Dates=H","DateFormat=P","Fill=—","Direction=H","UseDPDF=Y")</f>
        <v>1.5066000000000002</v>
      </c>
      <c r="E33" s="21">
        <f>_xll.BDH("AMZN US Equity","CAP_EXPEND_RATIO","FQ4 2011","FQ4 2011","Currency=USD","Period=FQ","BEST_FPERIOD_OVERRIDE=FQ","FILING_STATUS=MR","Sort=A","Dates=H","DateFormat=P","Fill=—","Direction=H","UseDPDF=Y")</f>
        <v>7.7618</v>
      </c>
      <c r="F33" s="21">
        <f>_xll.BDH("AMZN US Equity","CAP_EXPEND_RATIO","FQ1 2012","FQ1 2012","Currency=USD","Period=FQ","BEST_FPERIOD_OVERRIDE=FQ","FILING_STATUS=MR","Sort=A","Dates=H","DateFormat=P","Fill=—","Direction=H","UseDPDF=Y")</f>
        <v>-6.3160999999999996</v>
      </c>
      <c r="G33" s="21">
        <f>_xll.BDH("AMZN US Equity","CAP_EXPEND_RATIO","FQ2 2012","FQ2 2012","Currency=USD","Period=FQ","BEST_FPERIOD_OVERRIDE=FQ","FILING_STATUS=MR","Sort=A","Dates=H","DateFormat=P","Fill=—","Direction=H","UseDPDF=Y")</f>
        <v>0.90410000000000001</v>
      </c>
      <c r="H33" s="21">
        <f>_xll.BDH("AMZN US Equity","CAP_EXPEND_RATIO","FQ3 2012","FQ3 2012","Currency=USD","Period=FQ","BEST_FPERIOD_OVERRIDE=FQ","FILING_STATUS=MR","Sort=A","Dates=H","DateFormat=P","Fill=—","Direction=H","UseDPDF=Y")</f>
        <v>1.3169999999999999</v>
      </c>
      <c r="I33" s="21">
        <f>_xll.BDH("AMZN US Equity","CAP_EXPEND_RATIO","FQ4 2012","FQ4 2012","Currency=USD","Period=FQ","BEST_FPERIOD_OVERRIDE=FQ","FILING_STATUS=MR","Sort=A","Dates=H","DateFormat=P","Fill=—","Direction=H","UseDPDF=Y")</f>
        <v>2.5091000000000001</v>
      </c>
      <c r="J33" s="21">
        <f>_xll.BDH("AMZN US Equity","CAP_EXPEND_RATIO","FQ1 2013","FQ1 2013","Currency=USD","Period=FQ","BEST_FPERIOD_OVERRIDE=FQ","FILING_STATUS=MR","Sort=A","Dates=H","DateFormat=P","Fill=—","Direction=H","UseDPDF=Y")</f>
        <v>-3.5403000000000002</v>
      </c>
      <c r="K33" s="21">
        <f>_xll.BDH("AMZN US Equity","CAP_EXPEND_RATIO","FQ2 2013","FQ2 2013","Currency=USD","Period=FQ","BEST_FPERIOD_OVERRIDE=FQ","FILING_STATUS=MR","Sort=A","Dates=H","DateFormat=P","Fill=—","Direction=H","UseDPDF=Y")</f>
        <v>1.0291999999999999</v>
      </c>
      <c r="L33" s="21">
        <f>_xll.BDH("AMZN US Equity","CAP_EXPEND_RATIO","FQ3 2013","FQ3 2013","Currency=USD","Period=FQ","BEST_FPERIOD_OVERRIDE=FQ","FILING_STATUS=MR","Sort=A","Dates=H","DateFormat=P","Fill=—","Direction=H","UseDPDF=Y")</f>
        <v>1.3371999999999999</v>
      </c>
      <c r="M33" s="21">
        <f>_xll.BDH("AMZN US Equity","CAP_EXPEND_RATIO","FQ4 2013","FQ4 2013","Currency=USD","Period=FQ","BEST_FPERIOD_OVERRIDE=FQ","FILING_STATUS=MR","Sort=A","Dates=H","DateFormat=P","Fill=—","Direction=H","UseDPDF=Y")</f>
        <v>6.3385999999999996</v>
      </c>
      <c r="N33" s="21">
        <f>_xll.BDH("AMZN US Equity","CAP_EXPEND_RATIO","FQ1 2014","FQ1 2014","Currency=USD","Period=FQ","BEST_FPERIOD_OVERRIDE=FQ","FILING_STATUS=MR","Sort=A","Dates=H","DateFormat=P","Fill=—","Direction=H","UseDPDF=Y")</f>
        <v>-2.3167</v>
      </c>
      <c r="O33" s="21">
        <f>_xll.BDH("AMZN US Equity","CAP_EXPEND_RATIO","FQ2 2014","FQ2 2014","Currency=USD","Period=FQ","BEST_FPERIOD_OVERRIDE=FQ","FILING_STATUS=MR","Sort=A","Dates=H","DateFormat=P","Fill=—","Direction=H","UseDPDF=Y")</f>
        <v>0.66820000000000002</v>
      </c>
      <c r="P33" s="21">
        <f>_xll.BDH("AMZN US Equity","CAP_EXPEND_RATIO","FQ3 2014","FQ3 2014","Currency=USD","Period=FQ","BEST_FPERIOD_OVERRIDE=FQ","FILING_STATUS=MR","Sort=A","Dates=H","DateFormat=P","Fill=—","Direction=H","UseDPDF=Y")</f>
        <v>1.2816000000000001</v>
      </c>
      <c r="Q33" s="21">
        <f>_xll.BDH("AMZN US Equity","CAP_EXPEND_RATIO","FQ4 2014","FQ4 2014","Currency=USD","Period=FQ","BEST_FPERIOD_OVERRIDE=FQ","FILING_STATUS=MR","Sort=A","Dates=H","DateFormat=P","Fill=—","Direction=H","UseDPDF=Y")</f>
        <v>5.8697999999999997</v>
      </c>
      <c r="R33" s="21">
        <f>_xll.BDH("AMZN US Equity","CAP_EXPEND_RATIO","FQ1 2015","FQ1 2015","Currency=USD","Period=FQ","BEST_FPERIOD_OVERRIDE=FQ","FILING_STATUS=MR","Sort=A","Dates=H","DateFormat=P","Fill=—","Direction=H","UseDPDF=Y")</f>
        <v>-1.7210000000000001</v>
      </c>
      <c r="S33" s="21">
        <f>_xll.BDH("AMZN US Equity","CAP_EXPEND_RATIO","FQ2 2015","FQ2 2015","Currency=USD","Period=FQ","BEST_FPERIOD_OVERRIDE=FQ","FILING_STATUS=MR","Sort=A","Dates=H","DateFormat=P","Fill=—","Direction=H","UseDPDF=Y")</f>
        <v>1.6463000000000001</v>
      </c>
      <c r="T33" s="21">
        <f>_xll.BDH("AMZN US Equity","CAP_EXPEND_RATIO","FQ3 2015","FQ3 2015","Currency=USD","Period=FQ","BEST_FPERIOD_OVERRIDE=FQ","FILING_STATUS=MR","Sort=A","Dates=H","DateFormat=P","Fill=—","Direction=H","UseDPDF=Y")</f>
        <v>2.1840999999999999</v>
      </c>
      <c r="U33" s="21">
        <f>_xll.BDH("AMZN US Equity","CAP_EXPEND_RATIO","FQ4 2015","FQ4 2015","Currency=USD","Period=FQ","BEST_FPERIOD_OVERRIDE=FQ","FILING_STATUS=MR","Sort=A","Dates=H","DateFormat=P","Fill=—","Direction=H","UseDPDF=Y")</f>
        <v>6.7318999999999996</v>
      </c>
      <c r="V33" s="21">
        <f>_xll.BDH("AMZN US Equity","CAP_EXPEND_RATIO","FQ1 2016","FQ1 2016","Currency=USD","Period=FQ","BEST_FPERIOD_OVERRIDE=FQ","FILING_STATUS=MR","Sort=A","Dates=H","DateFormat=P","Fill=—","Direction=H","UseDPDF=Y")</f>
        <v>-1.6564999999999999</v>
      </c>
      <c r="W33" s="21">
        <f>_xll.BDH("AMZN US Equity","CAP_EXPEND_RATIO","FQ2 2016","FQ2 2016","Currency=USD","Period=FQ","BEST_FPERIOD_OVERRIDE=FQ","FILING_STATUS=MR","Sort=A","Dates=H","DateFormat=P","Fill=—","Direction=H","UseDPDF=Y")</f>
        <v>2.0912000000000002</v>
      </c>
      <c r="X33" s="21">
        <f>_xll.BDH("AMZN US Equity","CAP_EXPEND_RATIO","FQ3 2016","FQ3 2016","Currency=USD","Period=FQ","BEST_FPERIOD_OVERRIDE=FQ","FILING_STATUS=MR","Sort=A","Dates=H","DateFormat=P","Fill=—","Direction=H","UseDPDF=Y")</f>
        <v>2.5306999999999999</v>
      </c>
      <c r="Y33" s="21">
        <f>_xll.BDH("AMZN US Equity","CAP_EXPEND_RATIO","FQ4 2016","FQ4 2016","Currency=USD","Period=FQ","BEST_FPERIOD_OVERRIDE=FQ","FILING_STATUS=MR","Sort=A","Dates=H","DateFormat=P","Fill=—","Direction=H","UseDPDF=Y")</f>
        <v>3.5531999999999999</v>
      </c>
      <c r="Z33" s="21">
        <f>_xll.BDH("AMZN US Equity","CAP_EXPEND_RATIO","FQ1 2017","FQ1 2017","Currency=USD","Period=FQ","BEST_FPERIOD_OVERRIDE=FQ","FILING_STATUS=MR","Sort=A","Dates=H","DateFormat=P","Fill=—","Direction=H","UseDPDF=Y")</f>
        <v>-0.75370000000000004</v>
      </c>
      <c r="AA33" s="21">
        <f>_xll.BDH("AMZN US Equity","CAP_EXPEND_RATIO","FQ2 2017","FQ2 2017","Currency=USD","Period=FQ","BEST_FPERIOD_OVERRIDE=FQ","FILING_STATUS=MR","Sort=A","Dates=H","DateFormat=P","Fill=—","Direction=H","UseDPDF=Y")</f>
        <v>1.2366999999999999</v>
      </c>
      <c r="AB33" s="21">
        <f>_xll.BDH("AMZN US Equity","CAP_EXPEND_RATIO","FQ3 2017","FQ3 2017","Currency=USD","Period=FQ","BEST_FPERIOD_OVERRIDE=FQ","FILING_STATUS=MR","Sort=A","Dates=H","DateFormat=P","Fill=—","Direction=H","UseDPDF=Y")</f>
        <v>1.2286999999999999</v>
      </c>
      <c r="AC33" s="21">
        <f>_xll.BDH("AMZN US Equity","CAP_EXPEND_RATIO","FQ4 2017","FQ4 2017","Currency=USD","Period=FQ","BEST_FPERIOD_OVERRIDE=FQ","FILING_STATUS=MR","Sort=A","Dates=H","DateFormat=P","Fill=—","Direction=H","UseDPDF=Y")</f>
        <v>3.4135</v>
      </c>
      <c r="AD33" s="21">
        <f>_xll.BDH("AMZN US Equity","CAP_EXPEND_RATIO","FQ1 2018","FQ1 2018","Currency=USD","Period=FQ","BEST_FPERIOD_OVERRIDE=FQ","FILING_STATUS=MR","Sort=A","Dates=H","DateFormat=P","Fill=—","Direction=H","UseDPDF=Y")</f>
        <v>-0.57809999999999995</v>
      </c>
      <c r="AE33" s="21">
        <f>_xll.BDH("AMZN US Equity","CAP_EXPEND_RATIO","FQ2 2018","FQ2 2018","Currency=USD","Period=FQ","BEST_FPERIOD_OVERRIDE=FQ","FILING_STATUS=MR","Sort=A","Dates=H","DateFormat=P","Fill=—","Direction=H","UseDPDF=Y")</f>
        <v>2.2968999999999999</v>
      </c>
      <c r="AF33" s="21">
        <f>_xll.BDH("AMZN US Equity","CAP_EXPEND_RATIO","FQ3 2018","FQ3 2018","Currency=USD","Period=FQ","BEST_FPERIOD_OVERRIDE=FQ","FILING_STATUS=MR","Sort=A","Dates=H","DateFormat=P","Fill=—","Direction=H","UseDPDF=Y")</f>
        <v>2.5621</v>
      </c>
      <c r="AG33" s="21">
        <f>_xll.BDH("AMZN US Equity","CAP_EXPEND_RATIO","FQ4 2018","FQ4 2018","Currency=USD","Period=FQ","BEST_FPERIOD_OVERRIDE=FQ","FILING_STATUS=MR","Sort=A","Dates=H","DateFormat=P","Fill=—","Direction=H","UseDPDF=Y")</f>
        <v>4.4141000000000004</v>
      </c>
      <c r="AH33" s="21">
        <f>_xll.BDH("AMZN US Equity","CAP_EXPEND_RATIO","FQ1 2019","FQ1 2019","Currency=USD","Period=FQ","BEST_FPERIOD_OVERRIDE=FQ","FILING_STATUS=MR","Sort=A","Dates=H","DateFormat=P","Fill=—","Direction=H","UseDPDF=Y")</f>
        <v>0.56110000000000004</v>
      </c>
      <c r="AI33" s="21">
        <f>_xll.BDH("AMZN US Equity","CAP_EXPEND_RATIO","FQ2 2019","FQ2 2019","Currency=USD","Period=FQ","BEST_FPERIOD_OVERRIDE=FQ","FILING_STATUS=MR","Sort=A","Dates=H","DateFormat=P","Fill=—","Direction=H","UseDPDF=Y")</f>
        <v>2.5598000000000001</v>
      </c>
      <c r="AJ33" s="21">
        <f>_xll.BDH("AMZN US Equity","CAP_EXPEND_RATIO","FQ3 2019","FQ3 2019","Currency=USD","Period=FQ","BEST_FPERIOD_OVERRIDE=FQ","FILING_STATUS=MR","Sort=A","Dates=H","DateFormat=P","Fill=—","Direction=H","UseDPDF=Y")</f>
        <v>1.6802000000000001</v>
      </c>
      <c r="AK33" s="21">
        <f>_xll.BDH("AMZN US Equity","CAP_EXPEND_RATIO","FQ4 2019","FQ4 2019","Currency=USD","Period=FQ","BEST_FPERIOD_OVERRIDE=FQ","FILING_STATUS=MR","Sort=A","Dates=H","DateFormat=P","Fill=—","Direction=H","UseDPDF=Y")</f>
        <v>3.7008999999999999</v>
      </c>
      <c r="AL33" s="21">
        <f>_xll.BDH("AMZN US Equity","CAP_EXPEND_RATIO","FQ1 2020","FQ1 2020","Currency=USD","Period=FQ","BEST_FPERIOD_OVERRIDE=FQ","FILING_STATUS=MR","Sort=A","Dates=H","DateFormat=P","Fill=—","Direction=H","UseDPDF=Y")</f>
        <v>0.45090000000000002</v>
      </c>
      <c r="AM33" s="21">
        <f>_xll.BDH("AMZN US Equity","CAP_EXPEND_RATIO","FQ2 2020","FQ2 2020","Currency=USD","Period=FQ","BEST_FPERIOD_OVERRIDE=FQ","FILING_STATUS=MR","Sort=A","Dates=H","DateFormat=P","Fill=—","Direction=H","UseDPDF=Y")</f>
        <v>2.7625999999999999</v>
      </c>
      <c r="AN33" s="21">
        <f>_xll.BDH("AMZN US Equity","CAP_EXPEND_RATIO","FQ3 2020","FQ3 2020","Currency=USD","Period=FQ","BEST_FPERIOD_OVERRIDE=FQ","FILING_STATUS=MR","Sort=A","Dates=H","DateFormat=P","Fill=—","Direction=H","UseDPDF=Y")</f>
        <v>1.0813999999999999</v>
      </c>
      <c r="AO33" s="21">
        <f>_xll.BDH("AMZN US Equity","CAP_EXPEND_RATIO","FQ4 2020","FQ4 2020","Currency=USD","Period=FQ","BEST_FPERIOD_OVERRIDE=FQ","FILING_STATUS=MR","Sort=A","Dates=H","DateFormat=P","Fill=—","Direction=H","UseDPDF=Y")</f>
        <v>2.0528</v>
      </c>
      <c r="AP33" s="21">
        <f>_xll.BDH("AMZN US Equity","CAP_EXPEND_RATIO","FQ1 2021","FQ1 2021","Currency=USD","Period=FQ","BEST_FPERIOD_OVERRIDE=FQ","FILING_STATUS=MR","Sort=A","Dates=H","DateFormat=P","Fill=—","Direction=H","UseDPDF=Y")</f>
        <v>0.34870000000000001</v>
      </c>
    </row>
    <row r="34" spans="1:42" x14ac:dyDescent="0.25">
      <c r="A34" s="7" t="s">
        <v>87</v>
      </c>
      <c r="B34" s="7" t="s">
        <v>171</v>
      </c>
      <c r="C34" s="23">
        <v>-23.4106357457017</v>
      </c>
      <c r="D34" s="23">
        <v>-44.493100579673602</v>
      </c>
      <c r="E34" s="23">
        <v>-26.842634269817299</v>
      </c>
      <c r="F34" s="23">
        <v>-18.675053756490801</v>
      </c>
      <c r="G34" s="23">
        <v>-7.4515945767500504</v>
      </c>
      <c r="H34" s="23">
        <v>-12.5829673918238</v>
      </c>
      <c r="I34" s="23">
        <v>-67.6733466309053</v>
      </c>
      <c r="J34" s="23">
        <v>43.947684490747498</v>
      </c>
      <c r="K34" s="23">
        <v>13.840130072668099</v>
      </c>
      <c r="L34" s="23">
        <v>1.5297952452432899</v>
      </c>
      <c r="M34" s="23">
        <v>152.622257223204</v>
      </c>
      <c r="N34" s="23">
        <v>34.562956405659499</v>
      </c>
      <c r="O34" s="23">
        <v>-35.076658505304898</v>
      </c>
      <c r="P34" s="23">
        <v>-4.1594780685124801</v>
      </c>
      <c r="Q34" s="23">
        <v>-7.3971908151848504</v>
      </c>
      <c r="R34" s="23">
        <v>25.7118092500994</v>
      </c>
      <c r="S34" s="23">
        <v>146.376700981867</v>
      </c>
      <c r="T34" s="23">
        <v>70.424176028252901</v>
      </c>
      <c r="U34" s="23">
        <v>14.6871717814457</v>
      </c>
      <c r="V34" s="23">
        <v>3.7490194711245</v>
      </c>
      <c r="W34" s="23">
        <v>27.020325803255801</v>
      </c>
      <c r="X34" s="23">
        <v>15.8687789020649</v>
      </c>
      <c r="Y34" s="23">
        <v>-47.218048039054899</v>
      </c>
      <c r="Z34" s="23">
        <v>54.498701772242399</v>
      </c>
      <c r="AA34" s="23">
        <v>-40.8586560187454</v>
      </c>
      <c r="AB34" s="23">
        <v>-51.448340175999398</v>
      </c>
      <c r="AC34" s="23">
        <v>-3.9307892452025701</v>
      </c>
      <c r="AD34" s="23">
        <v>23.2988467927252</v>
      </c>
      <c r="AE34" s="23">
        <v>85.724589225461202</v>
      </c>
      <c r="AF34" s="23">
        <v>108.518733742875</v>
      </c>
      <c r="AG34" s="23">
        <v>29.312947043769299</v>
      </c>
      <c r="AH34" s="23" t="s">
        <v>88</v>
      </c>
      <c r="AI34" s="23">
        <v>11.443494342708</v>
      </c>
      <c r="AJ34" s="23">
        <v>-34.418960107382603</v>
      </c>
      <c r="AK34" s="23">
        <v>-16.1589200533558</v>
      </c>
      <c r="AL34" s="23">
        <v>-19.635569084680998</v>
      </c>
      <c r="AM34" s="23">
        <v>7.9213672328832301</v>
      </c>
      <c r="AN34" s="23">
        <v>-35.636859675007003</v>
      </c>
      <c r="AO34" s="23">
        <v>-44.533198445985299</v>
      </c>
      <c r="AP34" s="23">
        <v>-22.668987847068198</v>
      </c>
    </row>
    <row r="35" spans="1:42" x14ac:dyDescent="0.25">
      <c r="A35" s="8" t="s">
        <v>170</v>
      </c>
      <c r="B35" s="8" t="s">
        <v>169</v>
      </c>
      <c r="C35" s="21">
        <f>_xll.BDH("AMZN US Equity","ALTMAN_Z_SCORE","FQ2 2011","FQ2 2011","Currency=USD","Period=FQ","BEST_FPERIOD_OVERRIDE=FQ","FILING_STATUS=MR","Sort=A","Dates=H","DateFormat=P","Fill=—","Direction=H","UseDPDF=Y")</f>
        <v>8.6149000000000004</v>
      </c>
      <c r="D35" s="21">
        <f>_xll.BDH("AMZN US Equity","ALTMAN_Z_SCORE","FQ3 2011","FQ3 2011","Currency=USD","Period=FQ","BEST_FPERIOD_OVERRIDE=FQ","FILING_STATUS=MR","Sort=A","Dates=H","DateFormat=P","Fill=—","Direction=H","UseDPDF=Y")</f>
        <v>8.3216000000000001</v>
      </c>
      <c r="E35" s="21">
        <f>_xll.BDH("AMZN US Equity","ALTMAN_Z_SCORE","FQ4 2011","FQ4 2011","Currency=USD","Period=FQ","BEST_FPERIOD_OVERRIDE=FQ","FILING_STATUS=MR","Sort=A","Dates=H","DateFormat=P","Fill=—","Direction=H","UseDPDF=Y")</f>
        <v>5.1993</v>
      </c>
      <c r="F35" s="21">
        <f>_xll.BDH("AMZN US Equity","ALTMAN_Z_SCORE","FQ1 2012","FQ1 2012","Currency=USD","Period=FQ","BEST_FPERIOD_OVERRIDE=FQ","FILING_STATUS=MR","Sort=A","Dates=H","DateFormat=P","Fill=—","Direction=H","UseDPDF=Y")</f>
        <v>7.4288999999999996</v>
      </c>
      <c r="G35" s="21">
        <f>_xll.BDH("AMZN US Equity","ALTMAN_Z_SCORE","FQ2 2012","FQ2 2012","Currency=USD","Period=FQ","BEST_FPERIOD_OVERRIDE=FQ","FILING_STATUS=MR","Sort=A","Dates=H","DateFormat=P","Fill=—","Direction=H","UseDPDF=Y")</f>
        <v>7.8288000000000002</v>
      </c>
      <c r="H35" s="21">
        <f>_xll.BDH("AMZN US Equity","ALTMAN_Z_SCORE","FQ3 2012","FQ3 2012","Currency=USD","Period=FQ","BEST_FPERIOD_OVERRIDE=FQ","FILING_STATUS=MR","Sort=A","Dates=H","DateFormat=P","Fill=—","Direction=H","UseDPDF=Y")</f>
        <v>7.5776000000000003</v>
      </c>
      <c r="I35" s="21">
        <f>_xll.BDH("AMZN US Equity","ALTMAN_Z_SCORE","FQ4 2012","FQ4 2012","Currency=USD","Period=FQ","BEST_FPERIOD_OVERRIDE=FQ","FILING_STATUS=MR","Sort=A","Dates=H","DateFormat=P","Fill=—","Direction=H","UseDPDF=Y")</f>
        <v>5.1470000000000002</v>
      </c>
      <c r="J35" s="21">
        <f>_xll.BDH("AMZN US Equity","ALTMAN_Z_SCORE","FQ1 2013","FQ1 2013","Currency=USD","Period=FQ","BEST_FPERIOD_OVERRIDE=FQ","FILING_STATUS=MR","Sort=A","Dates=H","DateFormat=P","Fill=—","Direction=H","UseDPDF=Y")</f>
        <v>6.4048999999999996</v>
      </c>
      <c r="K35" s="21">
        <f>_xll.BDH("AMZN US Equity","ALTMAN_Z_SCORE","FQ2 2013","FQ2 2013","Currency=USD","Period=FQ","BEST_FPERIOD_OVERRIDE=FQ","FILING_STATUS=MR","Sort=A","Dates=H","DateFormat=P","Fill=—","Direction=H","UseDPDF=Y")</f>
        <v>6.3558000000000003</v>
      </c>
      <c r="L35" s="21">
        <f>_xll.BDH("AMZN US Equity","ALTMAN_Z_SCORE","FQ3 2013","FQ3 2013","Currency=USD","Period=FQ","BEST_FPERIOD_OVERRIDE=FQ","FILING_STATUS=MR","Sort=A","Dates=H","DateFormat=P","Fill=—","Direction=H","UseDPDF=Y")</f>
        <v>6.3779000000000003</v>
      </c>
      <c r="M35" s="21">
        <f>_xll.BDH("AMZN US Equity","ALTMAN_Z_SCORE","FQ4 2013","FQ4 2013","Currency=USD","Period=FQ","BEST_FPERIOD_OVERRIDE=FQ","FILING_STATUS=MR","Sort=A","Dates=H","DateFormat=P","Fill=—","Direction=H","UseDPDF=Y")</f>
        <v>5.8246000000000002</v>
      </c>
      <c r="N35" s="21">
        <f>_xll.BDH("AMZN US Equity","ALTMAN_Z_SCORE","FQ1 2014","FQ1 2014","Currency=USD","Period=FQ","BEST_FPERIOD_OVERRIDE=FQ","FILING_STATUS=MR","Sort=A","Dates=H","DateFormat=P","Fill=—","Direction=H","UseDPDF=Y")</f>
        <v>6.0769000000000002</v>
      </c>
      <c r="O35" s="21">
        <f>_xll.BDH("AMZN US Equity","ALTMAN_Z_SCORE","FQ2 2014","FQ2 2014","Currency=USD","Period=FQ","BEST_FPERIOD_OVERRIDE=FQ","FILING_STATUS=MR","Sort=A","Dates=H","DateFormat=P","Fill=—","Direction=H","UseDPDF=Y")</f>
        <v>5.7507000000000001</v>
      </c>
      <c r="P35" s="21">
        <f>_xll.BDH("AMZN US Equity","ALTMAN_Z_SCORE","FQ3 2014","FQ3 2014","Currency=USD","Period=FQ","BEST_FPERIOD_OVERRIDE=FQ","FILING_STATUS=MR","Sort=A","Dates=H","DateFormat=P","Fill=—","Direction=H","UseDPDF=Y")</f>
        <v>5.2706</v>
      </c>
      <c r="Q35" s="21">
        <f>_xll.BDH("AMZN US Equity","ALTMAN_Z_SCORE","FQ4 2014","FQ4 2014","Currency=USD","Period=FQ","BEST_FPERIOD_OVERRIDE=FQ","FILING_STATUS=MR","Sort=A","Dates=H","DateFormat=P","Fill=—","Direction=H","UseDPDF=Y")</f>
        <v>3.8776999999999999</v>
      </c>
      <c r="R35" s="21">
        <f>_xll.BDH("AMZN US Equity","ALTMAN_Z_SCORE","FQ1 2015","FQ1 2015","Currency=USD","Period=FQ","BEST_FPERIOD_OVERRIDE=FQ","FILING_STATUS=MR","Sort=A","Dates=H","DateFormat=P","Fill=—","Direction=H","UseDPDF=Y")</f>
        <v>4.7667999999999999</v>
      </c>
      <c r="S35" s="21">
        <f>_xll.BDH("AMZN US Equity","ALTMAN_Z_SCORE","FQ2 2015","FQ2 2015","Currency=USD","Period=FQ","BEST_FPERIOD_OVERRIDE=FQ","FILING_STATUS=MR","Sort=A","Dates=H","DateFormat=P","Fill=—","Direction=H","UseDPDF=Y")</f>
        <v>5.1100000000000003</v>
      </c>
      <c r="T35" s="21">
        <f>_xll.BDH("AMZN US Equity","ALTMAN_Z_SCORE","FQ3 2015","FQ3 2015","Currency=USD","Period=FQ","BEST_FPERIOD_OVERRIDE=FQ","FILING_STATUS=MR","Sort=A","Dates=H","DateFormat=P","Fill=—","Direction=H","UseDPDF=Y")</f>
        <v>5.4005000000000001</v>
      </c>
      <c r="U35" s="21">
        <f>_xll.BDH("AMZN US Equity","ALTMAN_Z_SCORE","FQ4 2015","FQ4 2015","Currency=USD","Period=FQ","BEST_FPERIOD_OVERRIDE=FQ","FILING_STATUS=MR","Sort=A","Dates=H","DateFormat=P","Fill=—","Direction=H","UseDPDF=Y")</f>
        <v>5.7031999999999998</v>
      </c>
      <c r="V35" s="21">
        <f>_xll.BDH("AMZN US Equity","ALTMAN_Z_SCORE","FQ1 2016","FQ1 2016","Currency=USD","Period=FQ","BEST_FPERIOD_OVERRIDE=FQ","FILING_STATUS=MR","Sort=A","Dates=H","DateFormat=P","Fill=—","Direction=H","UseDPDF=Y")</f>
        <v>5.8932000000000002</v>
      </c>
      <c r="W35" s="21">
        <f>_xll.BDH("AMZN US Equity","ALTMAN_Z_SCORE","FQ2 2016","FQ2 2016","Currency=USD","Period=FQ","BEST_FPERIOD_OVERRIDE=FQ","FILING_STATUS=MR","Sort=A","Dates=H","DateFormat=P","Fill=—","Direction=H","UseDPDF=Y")</f>
        <v>6.4909999999999997</v>
      </c>
      <c r="X35" s="21">
        <f>_xll.BDH("AMZN US Equity","ALTMAN_Z_SCORE","FQ3 2016","FQ3 2016","Currency=USD","Period=FQ","BEST_FPERIOD_OVERRIDE=FQ","FILING_STATUS=MR","Sort=A","Dates=H","DateFormat=P","Fill=—","Direction=H","UseDPDF=Y")</f>
        <v>6.7153999999999998</v>
      </c>
      <c r="Y35" s="21">
        <f>_xll.BDH("AMZN US Equity","ALTMAN_Z_SCORE","FQ4 2016","FQ4 2016","Currency=USD","Period=FQ","BEST_FPERIOD_OVERRIDE=FQ","FILING_STATUS=MR","Sort=A","Dates=H","DateFormat=P","Fill=—","Direction=H","UseDPDF=Y")</f>
        <v>5.3536000000000001</v>
      </c>
      <c r="Z35" s="21">
        <f>_xll.BDH("AMZN US Equity","ALTMAN_Z_SCORE","FQ1 2017","FQ1 2017","Currency=USD","Period=FQ","BEST_FPERIOD_OVERRIDE=FQ","FILING_STATUS=MR","Sort=A","Dates=H","DateFormat=P","Fill=—","Direction=H","UseDPDF=Y")</f>
        <v>6.4518000000000004</v>
      </c>
      <c r="AA35" s="21">
        <f>_xll.BDH("AMZN US Equity","ALTMAN_Z_SCORE","FQ2 2017","FQ2 2017","Currency=USD","Period=FQ","BEST_FPERIOD_OVERRIDE=FQ","FILING_STATUS=MR","Sort=A","Dates=H","DateFormat=P","Fill=—","Direction=H","UseDPDF=Y")</f>
        <v>6.35</v>
      </c>
      <c r="AB35" s="21">
        <f>_xll.BDH("AMZN US Equity","ALTMAN_Z_SCORE","FQ3 2017","FQ3 2017","Currency=USD","Period=FQ","BEST_FPERIOD_OVERRIDE=FQ","FILING_STATUS=MR","Sort=A","Dates=H","DateFormat=P","Fill=—","Direction=H","UseDPDF=Y")</f>
        <v>4.8535000000000004</v>
      </c>
      <c r="AC35" s="21">
        <f>_xll.BDH("AMZN US Equity","ALTMAN_Z_SCORE","FQ4 2017","FQ4 2017","Currency=USD","Period=FQ","BEST_FPERIOD_OVERRIDE=FQ","FILING_STATUS=MR","Sort=A","Dates=H","DateFormat=P","Fill=—","Direction=H","UseDPDF=Y")</f>
        <v>5.0639000000000003</v>
      </c>
      <c r="AD35" s="21">
        <f>_xll.BDH("AMZN US Equity","ALTMAN_Z_SCORE","FQ1 2018","FQ1 2018","Currency=USD","Period=FQ","BEST_FPERIOD_OVERRIDE=FQ","FILING_STATUS=MR","Sort=A","Dates=H","DateFormat=P","Fill=—","Direction=H","UseDPDF=Y")</f>
        <v>6.4553000000000003</v>
      </c>
      <c r="AE35" s="21">
        <f>_xll.BDH("AMZN US Equity","ALTMAN_Z_SCORE","FQ2 2018","FQ2 2018","Currency=USD","Period=FQ","BEST_FPERIOD_OVERRIDE=FQ","FILING_STATUS=MR","Sort=A","Dates=H","DateFormat=P","Fill=—","Direction=H","UseDPDF=Y")</f>
        <v>7.1250999999999998</v>
      </c>
      <c r="AF35" s="21">
        <f>_xll.BDH("AMZN US Equity","ALTMAN_Z_SCORE","FQ3 2018","FQ3 2018","Currency=USD","Period=FQ","BEST_FPERIOD_OVERRIDE=FQ","FILING_STATUS=MR","Sort=A","Dates=H","DateFormat=P","Fill=—","Direction=H","UseDPDF=Y")</f>
        <v>7.8140000000000001</v>
      </c>
      <c r="AG35" s="21">
        <f>_xll.BDH("AMZN US Equity","ALTMAN_Z_SCORE","FQ4 2018","FQ4 2018","Currency=USD","Period=FQ","BEST_FPERIOD_OVERRIDE=FQ","FILING_STATUS=MR","Sort=A","Dates=H","DateFormat=P","Fill=—","Direction=H","UseDPDF=Y")</f>
        <v>5.8486000000000002</v>
      </c>
      <c r="AH35" s="21">
        <f>_xll.BDH("AMZN US Equity","ALTMAN_Z_SCORE","FQ1 2019","FQ1 2019","Currency=USD","Period=FQ","BEST_FPERIOD_OVERRIDE=FQ","FILING_STATUS=MR","Sort=A","Dates=H","DateFormat=P","Fill=—","Direction=H","UseDPDF=Y")</f>
        <v>6.0670000000000002</v>
      </c>
      <c r="AI35" s="21">
        <f>_xll.BDH("AMZN US Equity","ALTMAN_Z_SCORE","FQ2 2019","FQ2 2019","Currency=USD","Period=FQ","BEST_FPERIOD_OVERRIDE=FQ","FILING_STATUS=MR","Sort=A","Dates=H","DateFormat=P","Fill=—","Direction=H","UseDPDF=Y")</f>
        <v>6.0056000000000003</v>
      </c>
      <c r="AJ35" s="21">
        <f>_xll.BDH("AMZN US Equity","ALTMAN_Z_SCORE","FQ3 2019","FQ3 2019","Currency=USD","Period=FQ","BEST_FPERIOD_OVERRIDE=FQ","FILING_STATUS=MR","Sort=A","Dates=H","DateFormat=P","Fill=—","Direction=H","UseDPDF=Y")</f>
        <v>5.569</v>
      </c>
      <c r="AK35" s="21">
        <f>_xll.BDH("AMZN US Equity","ALTMAN_Z_SCORE","FQ4 2019","FQ4 2019","Currency=USD","Period=FQ","BEST_FPERIOD_OVERRIDE=FQ","FILING_STATUS=MR","Sort=A","Dates=H","DateFormat=P","Fill=—","Direction=H","UseDPDF=Y")</f>
        <v>5.2206999999999999</v>
      </c>
      <c r="AL35" s="21">
        <f>_xll.BDH("AMZN US Equity","ALTMAN_Z_SCORE","FQ1 2020","FQ1 2020","Currency=USD","Period=FQ","BEST_FPERIOD_OVERRIDE=FQ","FILING_STATUS=MR","Sort=A","Dates=H","DateFormat=P","Fill=—","Direction=H","UseDPDF=Y")</f>
        <v>5.6593999999999998</v>
      </c>
      <c r="AM35" s="21">
        <f>_xll.BDH("AMZN US Equity","ALTMAN_Z_SCORE","FQ2 2020","FQ2 2020","Currency=USD","Period=FQ","BEST_FPERIOD_OVERRIDE=FQ","FILING_STATUS=MR","Sort=A","Dates=H","DateFormat=P","Fill=—","Direction=H","UseDPDF=Y")</f>
        <v>6.3304999999999998</v>
      </c>
      <c r="AN35" s="21">
        <f>_xll.BDH("AMZN US Equity","ALTMAN_Z_SCORE","FQ3 2020","FQ3 2020","Currency=USD","Period=FQ","BEST_FPERIOD_OVERRIDE=FQ","FILING_STATUS=MR","Sort=A","Dates=H","DateFormat=P","Fill=—","Direction=H","UseDPDF=Y")</f>
        <v>6.5807000000000002</v>
      </c>
      <c r="AO35" s="21">
        <f>_xll.BDH("AMZN US Equity","ALTMAN_Z_SCORE","FQ4 2020","FQ4 2020","Currency=USD","Period=FQ","BEST_FPERIOD_OVERRIDE=FQ","FILING_STATUS=MR","Sort=A","Dates=H","DateFormat=P","Fill=—","Direction=H","UseDPDF=Y")</f>
        <v>6.0998000000000001</v>
      </c>
      <c r="AP35" s="21">
        <f>_xll.BDH("AMZN US Equity","ALTMAN_Z_SCORE","FQ1 2021","FQ1 2021","Currency=USD","Period=FQ","BEST_FPERIOD_OVERRIDE=FQ","FILING_STATUS=MR","Sort=A","Dates=H","DateFormat=P","Fill=—","Direction=H","UseDPDF=Y")</f>
        <v>6.2123999999999997</v>
      </c>
    </row>
    <row r="36" spans="1:42" x14ac:dyDescent="0.25">
      <c r="A36" s="7" t="s">
        <v>87</v>
      </c>
      <c r="B36" s="7" t="s">
        <v>169</v>
      </c>
      <c r="C36" s="23">
        <v>9.9091032843227307</v>
      </c>
      <c r="D36" s="23">
        <v>-3.00209497279964</v>
      </c>
      <c r="E36" s="23">
        <v>-21.542285621761401</v>
      </c>
      <c r="F36" s="23">
        <v>-9.6036957087822294</v>
      </c>
      <c r="G36" s="23">
        <v>-9.1248153207406304</v>
      </c>
      <c r="H36" s="23">
        <v>-8.9397824156924504</v>
      </c>
      <c r="I36" s="23">
        <v>-1.0050474519724799</v>
      </c>
      <c r="J36" s="23">
        <v>-13.7842308671328</v>
      </c>
      <c r="K36" s="23">
        <v>-18.815037580923601</v>
      </c>
      <c r="L36" s="23">
        <v>-15.833043774786001</v>
      </c>
      <c r="M36" s="23">
        <v>13.1642459047034</v>
      </c>
      <c r="N36" s="23">
        <v>-5.12068085265836</v>
      </c>
      <c r="O36" s="23">
        <v>-9.5210861192226304</v>
      </c>
      <c r="P36" s="23">
        <v>-17.360922742400302</v>
      </c>
      <c r="Q36" s="23">
        <v>-33.424704947973801</v>
      </c>
      <c r="R36" s="23">
        <v>-21.559503269328999</v>
      </c>
      <c r="S36" s="23">
        <v>-11.1414185589742</v>
      </c>
      <c r="T36" s="23">
        <v>2.46446184620621</v>
      </c>
      <c r="U36" s="23">
        <v>47.076350496502798</v>
      </c>
      <c r="V36" s="23">
        <v>23.6313501488846</v>
      </c>
      <c r="W36" s="23">
        <v>27.026394984252399</v>
      </c>
      <c r="X36" s="23">
        <v>24.348490277280099</v>
      </c>
      <c r="Y36" s="23">
        <v>-6.1309311314396204</v>
      </c>
      <c r="Z36" s="23">
        <v>9.4783473652487995</v>
      </c>
      <c r="AA36" s="23">
        <v>-2.1725516331689101</v>
      </c>
      <c r="AB36" s="23">
        <v>-27.726249710741001</v>
      </c>
      <c r="AC36" s="23">
        <v>-5.4107627982319002</v>
      </c>
      <c r="AD36" s="23">
        <v>5.4124321334181498E-2</v>
      </c>
      <c r="AE36" s="23">
        <v>12.2062012500768</v>
      </c>
      <c r="AF36" s="23">
        <v>60.996403417248104</v>
      </c>
      <c r="AG36" s="23">
        <v>15.4971954333867</v>
      </c>
      <c r="AH36" s="23">
        <v>-6.0145415282469301</v>
      </c>
      <c r="AI36" s="23">
        <v>-15.712793004453999</v>
      </c>
      <c r="AJ36" s="23">
        <v>-28.730563297403599</v>
      </c>
      <c r="AK36" s="23">
        <v>-10.736215095328101</v>
      </c>
      <c r="AL36" s="23">
        <v>-6.7193303893425496</v>
      </c>
      <c r="AM36" s="23">
        <v>5.41051014128261</v>
      </c>
      <c r="AN36" s="23">
        <v>18.1673924453771</v>
      </c>
      <c r="AO36" s="23">
        <v>16.8379616531893</v>
      </c>
      <c r="AP36" s="23">
        <v>9.7716835916565401</v>
      </c>
    </row>
    <row r="37" spans="1:42" x14ac:dyDescent="0.25">
      <c r="A37" s="8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</row>
    <row r="38" spans="1:42" x14ac:dyDescent="0.25">
      <c r="A38" s="8" t="s">
        <v>168</v>
      </c>
      <c r="B38" s="8" t="s">
        <v>167</v>
      </c>
      <c r="C38" s="1" t="str">
        <f>_xll.BDH("AMZN US Equity","BS_TOTAL_LINE_OF_CREDIT","FQ2 2011","FQ2 2011","Currency=USD","Period=FQ","BEST_FPERIOD_OVERRIDE=FQ","FILING_STATUS=MR","SCALING_FORMAT=MLN","Sort=A","Dates=H","DateFormat=P","Fill=—","Direction=H","UseDPDF=Y")</f>
        <v>—</v>
      </c>
      <c r="D38" s="1" t="str">
        <f>_xll.BDH("AMZN US Equity","BS_TOTAL_LINE_OF_CREDIT","FQ3 2011","FQ3 2011","Currency=USD","Period=FQ","BEST_FPERIOD_OVERRIDE=FQ","FILING_STATUS=MR","SCALING_FORMAT=MLN","Sort=A","Dates=H","DateFormat=P","Fill=—","Direction=H","UseDPDF=Y")</f>
        <v>—</v>
      </c>
      <c r="E38" s="1" t="str">
        <f>_xll.BDH("AMZN US Equity","BS_TOTAL_LINE_OF_CREDIT","FQ4 2011","FQ4 2011","Currency=USD","Period=FQ","BEST_FPERIOD_OVERRIDE=FQ","FILING_STATUS=MR","SCALING_FORMAT=MLN","Sort=A","Dates=H","DateFormat=P","Fill=—","Direction=H","UseDPDF=Y")</f>
        <v>—</v>
      </c>
      <c r="F38" s="1" t="str">
        <f>_xll.BDH("AMZN US Equity","BS_TOTAL_LINE_OF_CREDIT","FQ1 2012","FQ1 2012","Currency=USD","Period=FQ","BEST_FPERIOD_OVERRIDE=FQ","FILING_STATUS=MR","SCALING_FORMAT=MLN","Sort=A","Dates=H","DateFormat=P","Fill=—","Direction=H","UseDPDF=Y")</f>
        <v>—</v>
      </c>
      <c r="G38" s="1" t="str">
        <f>_xll.BDH("AMZN US Equity","BS_TOTAL_LINE_OF_CREDIT","FQ2 2012","FQ2 2012","Currency=USD","Period=FQ","BEST_FPERIOD_OVERRIDE=FQ","FILING_STATUS=MR","SCALING_FORMAT=MLN","Sort=A","Dates=H","DateFormat=P","Fill=—","Direction=H","UseDPDF=Y")</f>
        <v>—</v>
      </c>
      <c r="H38" s="1" t="str">
        <f>_xll.BDH("AMZN US Equity","BS_TOTAL_LINE_OF_CREDIT","FQ3 2012","FQ3 2012","Currency=USD","Period=FQ","BEST_FPERIOD_OVERRIDE=FQ","FILING_STATUS=MR","SCALING_FORMAT=MLN","Sort=A","Dates=H","DateFormat=P","Fill=—","Direction=H","UseDPDF=Y")</f>
        <v>—</v>
      </c>
      <c r="I38" s="1" t="str">
        <f>_xll.BDH("AMZN US Equity","BS_TOTAL_LINE_OF_CREDIT","FQ4 2012","FQ4 2012","Currency=USD","Period=FQ","BEST_FPERIOD_OVERRIDE=FQ","FILING_STATUS=MR","SCALING_FORMAT=MLN","Sort=A","Dates=H","DateFormat=P","Fill=—","Direction=H","UseDPDF=Y")</f>
        <v>—</v>
      </c>
      <c r="J38" s="1" t="str">
        <f>_xll.BDH("AMZN US Equity","BS_TOTAL_LINE_OF_CREDIT","FQ1 2013","FQ1 2013","Currency=USD","Period=FQ","BEST_FPERIOD_OVERRIDE=FQ","FILING_STATUS=MR","SCALING_FORMAT=MLN","Sort=A","Dates=H","DateFormat=P","Fill=—","Direction=H","UseDPDF=Y")</f>
        <v>—</v>
      </c>
      <c r="K38" s="1" t="str">
        <f>_xll.BDH("AMZN US Equity","BS_TOTAL_LINE_OF_CREDIT","FQ2 2013","FQ2 2013","Currency=USD","Period=FQ","BEST_FPERIOD_OVERRIDE=FQ","FILING_STATUS=MR","SCALING_FORMAT=MLN","Sort=A","Dates=H","DateFormat=P","Fill=—","Direction=H","UseDPDF=Y")</f>
        <v>—</v>
      </c>
      <c r="L38" s="1" t="str">
        <f>_xll.BDH("AMZN US Equity","BS_TOTAL_LINE_OF_CREDIT","FQ3 2013","FQ3 2013","Currency=USD","Period=FQ","BEST_FPERIOD_OVERRIDE=FQ","FILING_STATUS=MR","SCALING_FORMAT=MLN","Sort=A","Dates=H","DateFormat=P","Fill=—","Direction=H","UseDPDF=Y")</f>
        <v>—</v>
      </c>
      <c r="M38" s="1" t="str">
        <f>_xll.BDH("AMZN US Equity","BS_TOTAL_LINE_OF_CREDIT","FQ4 2013","FQ4 2013","Currency=USD","Period=FQ","BEST_FPERIOD_OVERRIDE=FQ","FILING_STATUS=MR","SCALING_FORMAT=MLN","Sort=A","Dates=H","DateFormat=P","Fill=—","Direction=H","UseDPDF=Y")</f>
        <v>—</v>
      </c>
      <c r="N38" s="1" t="str">
        <f>_xll.BDH("AMZN US Equity","BS_TOTAL_LINE_OF_CREDIT","FQ1 2014","FQ1 2014","Currency=USD","Period=FQ","BEST_FPERIOD_OVERRIDE=FQ","FILING_STATUS=MR","SCALING_FORMAT=MLN","Sort=A","Dates=H","DateFormat=P","Fill=—","Direction=H","UseDPDF=Y")</f>
        <v>—</v>
      </c>
      <c r="O38" s="1" t="str">
        <f>_xll.BDH("AMZN US Equity","BS_TOTAL_LINE_OF_CREDIT","FQ2 2014","FQ2 2014","Currency=USD","Period=FQ","BEST_FPERIOD_OVERRIDE=FQ","FILING_STATUS=MR","SCALING_FORMAT=MLN","Sort=A","Dates=H","DateFormat=P","Fill=—","Direction=H","UseDPDF=Y")</f>
        <v>—</v>
      </c>
      <c r="P38" s="1">
        <f>_xll.BDH("AMZN US Equity","BS_TOTAL_LINE_OF_CREDIT","FQ3 2014","FQ3 2014","Currency=USD","Period=FQ","BEST_FPERIOD_OVERRIDE=FQ","FILING_STATUS=MR","SCALING_FORMAT=MLN","Sort=A","Dates=H","DateFormat=P","Fill=—","Direction=H","UseDPDF=Y")</f>
        <v>2000</v>
      </c>
      <c r="Q38" s="1">
        <f>_xll.BDH("AMZN US Equity","BS_TOTAL_LINE_OF_CREDIT","FQ4 2014","FQ4 2014","Currency=USD","Period=FQ","BEST_FPERIOD_OVERRIDE=FQ","FILING_STATUS=MR","SCALING_FORMAT=MLN","Sort=A","Dates=H","DateFormat=P","Fill=—","Direction=H","UseDPDF=Y")</f>
        <v>2000</v>
      </c>
      <c r="R38" s="1">
        <f>_xll.BDH("AMZN US Equity","BS_TOTAL_LINE_OF_CREDIT","FQ1 2015","FQ1 2015","Currency=USD","Period=FQ","BEST_FPERIOD_OVERRIDE=FQ","FILING_STATUS=MR","SCALING_FORMAT=MLN","Sort=A","Dates=H","DateFormat=P","Fill=—","Direction=H","UseDPDF=Y")</f>
        <v>2000</v>
      </c>
      <c r="S38" s="1">
        <f>_xll.BDH("AMZN US Equity","BS_TOTAL_LINE_OF_CREDIT","FQ2 2015","FQ2 2015","Currency=USD","Period=FQ","BEST_FPERIOD_OVERRIDE=FQ","FILING_STATUS=MR","SCALING_FORMAT=MLN","Sort=A","Dates=H","DateFormat=P","Fill=—","Direction=H","UseDPDF=Y")</f>
        <v>2000</v>
      </c>
      <c r="T38" s="1">
        <f>_xll.BDH("AMZN US Equity","BS_TOTAL_LINE_OF_CREDIT","FQ3 2015","FQ3 2015","Currency=USD","Period=FQ","BEST_FPERIOD_OVERRIDE=FQ","FILING_STATUS=MR","SCALING_FORMAT=MLN","Sort=A","Dates=H","DateFormat=P","Fill=—","Direction=H","UseDPDF=Y")</f>
        <v>2000</v>
      </c>
      <c r="U38" s="1">
        <f>_xll.BDH("AMZN US Equity","BS_TOTAL_LINE_OF_CREDIT","FQ4 2015","FQ4 2015","Currency=USD","Period=FQ","BEST_FPERIOD_OVERRIDE=FQ","FILING_STATUS=MR","SCALING_FORMAT=MLN","Sort=A","Dates=H","DateFormat=P","Fill=—","Direction=H","UseDPDF=Y")</f>
        <v>2000</v>
      </c>
      <c r="V38" s="1">
        <f>_xll.BDH("AMZN US Equity","BS_TOTAL_LINE_OF_CREDIT","FQ1 2016","FQ1 2016","Currency=USD","Period=FQ","BEST_FPERIOD_OVERRIDE=FQ","FILING_STATUS=MR","SCALING_FORMAT=MLN","Sort=A","Dates=H","DateFormat=P","Fill=—","Direction=H","UseDPDF=Y")</f>
        <v>2000</v>
      </c>
      <c r="W38" s="1">
        <f>_xll.BDH("AMZN US Equity","BS_TOTAL_LINE_OF_CREDIT","FQ2 2016","FQ2 2016","Currency=USD","Period=FQ","BEST_FPERIOD_OVERRIDE=FQ","FILING_STATUS=MR","SCALING_FORMAT=MLN","Sort=A","Dates=H","DateFormat=P","Fill=—","Direction=H","UseDPDF=Y")</f>
        <v>3000</v>
      </c>
      <c r="X38" s="1">
        <f>_xll.BDH("AMZN US Equity","BS_TOTAL_LINE_OF_CREDIT","FQ3 2016","FQ3 2016","Currency=USD","Period=FQ","BEST_FPERIOD_OVERRIDE=FQ","FILING_STATUS=MR","SCALING_FORMAT=MLN","Sort=A","Dates=H","DateFormat=P","Fill=—","Direction=H","UseDPDF=Y")</f>
        <v>3000</v>
      </c>
      <c r="Y38" s="1">
        <f>_xll.BDH("AMZN US Equity","BS_TOTAL_LINE_OF_CREDIT","FQ4 2016","FQ4 2016","Currency=USD","Period=FQ","BEST_FPERIOD_OVERRIDE=FQ","FILING_STATUS=MR","SCALING_FORMAT=MLN","Sort=A","Dates=H","DateFormat=P","Fill=—","Direction=H","UseDPDF=Y")</f>
        <v>3000</v>
      </c>
      <c r="Z38" s="1">
        <f>_xll.BDH("AMZN US Equity","BS_TOTAL_LINE_OF_CREDIT","FQ1 2017","FQ1 2017","Currency=USD","Period=FQ","BEST_FPERIOD_OVERRIDE=FQ","FILING_STATUS=MR","SCALING_FORMAT=MLN","Sort=A","Dates=H","DateFormat=P","Fill=—","Direction=H","UseDPDF=Y")</f>
        <v>3000</v>
      </c>
      <c r="AA38" s="1">
        <f>_xll.BDH("AMZN US Equity","BS_TOTAL_LINE_OF_CREDIT","FQ2 2017","FQ2 2017","Currency=USD","Period=FQ","BEST_FPERIOD_OVERRIDE=FQ","FILING_STATUS=MR","SCALING_FORMAT=MLN","Sort=A","Dates=H","DateFormat=P","Fill=—","Direction=H","UseDPDF=Y")</f>
        <v>3000</v>
      </c>
      <c r="AB38" s="1">
        <f>_xll.BDH("AMZN US Equity","BS_TOTAL_LINE_OF_CREDIT","FQ3 2017","FQ3 2017","Currency=USD","Period=FQ","BEST_FPERIOD_OVERRIDE=FQ","FILING_STATUS=MR","SCALING_FORMAT=MLN","Sort=A","Dates=H","DateFormat=P","Fill=—","Direction=H","UseDPDF=Y")</f>
        <v>3000</v>
      </c>
      <c r="AC38" s="1">
        <f>_xll.BDH("AMZN US Equity","BS_TOTAL_LINE_OF_CREDIT","FQ4 2017","FQ4 2017","Currency=USD","Period=FQ","BEST_FPERIOD_OVERRIDE=FQ","FILING_STATUS=MR","SCALING_FORMAT=MLN","Sort=A","Dates=H","DateFormat=P","Fill=—","Direction=H","UseDPDF=Y")</f>
        <v>3000</v>
      </c>
      <c r="AD38" s="1">
        <f>_xll.BDH("AMZN US Equity","BS_TOTAL_LINE_OF_CREDIT","FQ1 2018","FQ1 2018","Currency=USD","Period=FQ","BEST_FPERIOD_OVERRIDE=FQ","FILING_STATUS=MR","SCALING_FORMAT=MLN","Sort=A","Dates=H","DateFormat=P","Fill=—","Direction=H","UseDPDF=Y")</f>
        <v>3000</v>
      </c>
      <c r="AE38" s="1">
        <f>_xll.BDH("AMZN US Equity","BS_TOTAL_LINE_OF_CREDIT","FQ2 2018","FQ2 2018","Currency=USD","Period=FQ","BEST_FPERIOD_OVERRIDE=FQ","FILING_STATUS=MR","SCALING_FORMAT=MLN","Sort=A","Dates=H","DateFormat=P","Fill=—","Direction=H","UseDPDF=Y")</f>
        <v>7000</v>
      </c>
      <c r="AF38" s="1">
        <f>_xll.BDH("AMZN US Equity","BS_TOTAL_LINE_OF_CREDIT","FQ3 2018","FQ3 2018","Currency=USD","Period=FQ","BEST_FPERIOD_OVERRIDE=FQ","FILING_STATUS=MR","SCALING_FORMAT=MLN","Sort=A","Dates=H","DateFormat=P","Fill=—","Direction=H","UseDPDF=Y")</f>
        <v>7000</v>
      </c>
      <c r="AG38" s="1">
        <f>_xll.BDH("AMZN US Equity","BS_TOTAL_LINE_OF_CREDIT","FQ4 2018","FQ4 2018","Currency=USD","Period=FQ","BEST_FPERIOD_OVERRIDE=FQ","FILING_STATUS=MR","SCALING_FORMAT=MLN","Sort=A","Dates=H","DateFormat=P","Fill=—","Direction=H","UseDPDF=Y")</f>
        <v>7000</v>
      </c>
      <c r="AH38" s="1">
        <f>_xll.BDH("AMZN US Equity","BS_TOTAL_LINE_OF_CREDIT","FQ1 2019","FQ1 2019","Currency=USD","Period=FQ","BEST_FPERIOD_OVERRIDE=FQ","FILING_STATUS=MR","SCALING_FORMAT=MLN","Sort=A","Dates=H","DateFormat=P","Fill=—","Direction=H","UseDPDF=Y")</f>
        <v>7000</v>
      </c>
      <c r="AI38" s="1">
        <f>_xll.BDH("AMZN US Equity","BS_TOTAL_LINE_OF_CREDIT","FQ2 2019","FQ2 2019","Currency=USD","Period=FQ","BEST_FPERIOD_OVERRIDE=FQ","FILING_STATUS=MR","SCALING_FORMAT=MLN","Sort=A","Dates=H","DateFormat=P","Fill=—","Direction=H","UseDPDF=Y")</f>
        <v>7000</v>
      </c>
      <c r="AJ38" s="1">
        <f>_xll.BDH("AMZN US Equity","BS_TOTAL_LINE_OF_CREDIT","FQ3 2019","FQ3 2019","Currency=USD","Period=FQ","BEST_FPERIOD_OVERRIDE=FQ","FILING_STATUS=MR","SCALING_FORMAT=MLN","Sort=A","Dates=H","DateFormat=P","Fill=—","Direction=H","UseDPDF=Y")</f>
        <v>7000</v>
      </c>
      <c r="AK38" s="1">
        <f>_xll.BDH("AMZN US Equity","BS_TOTAL_LINE_OF_CREDIT","FQ4 2019","FQ4 2019","Currency=USD","Period=FQ","BEST_FPERIOD_OVERRIDE=FQ","FILING_STATUS=MR","SCALING_FORMAT=MLN","Sort=A","Dates=H","DateFormat=P","Fill=—","Direction=H","UseDPDF=Y")</f>
        <v>7000</v>
      </c>
      <c r="AL38" s="1">
        <f>_xll.BDH("AMZN US Equity","BS_TOTAL_LINE_OF_CREDIT","FQ1 2020","FQ1 2020","Currency=USD","Period=FQ","BEST_FPERIOD_OVERRIDE=FQ","FILING_STATUS=MR","SCALING_FORMAT=MLN","Sort=A","Dates=H","DateFormat=P","Fill=—","Direction=H","UseDPDF=Y")</f>
        <v>7000</v>
      </c>
      <c r="AM38" s="1">
        <f>_xll.BDH("AMZN US Equity","BS_TOTAL_LINE_OF_CREDIT","FQ2 2020","FQ2 2020","Currency=USD","Period=FQ","BEST_FPERIOD_OVERRIDE=FQ","FILING_STATUS=MR","SCALING_FORMAT=MLN","Sort=A","Dates=H","DateFormat=P","Fill=—","Direction=H","UseDPDF=Y")</f>
        <v>7000</v>
      </c>
      <c r="AN38" s="1">
        <f>_xll.BDH("AMZN US Equity","BS_TOTAL_LINE_OF_CREDIT","FQ3 2020","FQ3 2020","Currency=USD","Period=FQ","BEST_FPERIOD_OVERRIDE=FQ","FILING_STATUS=MR","SCALING_FORMAT=MLN","Sort=A","Dates=H","DateFormat=P","Fill=—","Direction=H","UseDPDF=Y")</f>
        <v>7000</v>
      </c>
      <c r="AO38" s="1">
        <f>_xll.BDH("AMZN US Equity","BS_TOTAL_LINE_OF_CREDIT","FQ4 2020","FQ4 2020","Currency=USD","Period=FQ","BEST_FPERIOD_OVERRIDE=FQ","FILING_STATUS=MR","SCALING_FORMAT=MLN","Sort=A","Dates=H","DateFormat=P","Fill=—","Direction=H","UseDPDF=Y")</f>
        <v>7000</v>
      </c>
      <c r="AP38" s="1">
        <f>_xll.BDH("AMZN US Equity","BS_TOTAL_LINE_OF_CREDIT","FQ1 2021","FQ1 2021","Currency=USD","Period=FQ","BEST_FPERIOD_OVERRIDE=FQ","FILING_STATUS=MR","SCALING_FORMAT=MLN","Sort=A","Dates=H","DateFormat=P","Fill=—","Direction=H","UseDPDF=Y")</f>
        <v>7000</v>
      </c>
    </row>
    <row r="39" spans="1:42" x14ac:dyDescent="0.25">
      <c r="A39" s="7" t="s">
        <v>87</v>
      </c>
      <c r="B39" s="7" t="s">
        <v>167</v>
      </c>
      <c r="C39" s="23" t="s">
        <v>88</v>
      </c>
      <c r="D39" s="23" t="s">
        <v>88</v>
      </c>
      <c r="E39" s="23" t="s">
        <v>88</v>
      </c>
      <c r="F39" s="23" t="s">
        <v>88</v>
      </c>
      <c r="G39" s="23" t="s">
        <v>88</v>
      </c>
      <c r="H39" s="23" t="s">
        <v>88</v>
      </c>
      <c r="I39" s="23" t="s">
        <v>88</v>
      </c>
      <c r="J39" s="23" t="s">
        <v>88</v>
      </c>
      <c r="K39" s="23" t="s">
        <v>88</v>
      </c>
      <c r="L39" s="23" t="s">
        <v>88</v>
      </c>
      <c r="M39" s="23" t="s">
        <v>88</v>
      </c>
      <c r="N39" s="23" t="s">
        <v>88</v>
      </c>
      <c r="O39" s="23" t="s">
        <v>88</v>
      </c>
      <c r="P39" s="23" t="s">
        <v>88</v>
      </c>
      <c r="Q39" s="23" t="s">
        <v>88</v>
      </c>
      <c r="R39" s="23" t="s">
        <v>88</v>
      </c>
      <c r="S39" s="23" t="s">
        <v>88</v>
      </c>
      <c r="T39" s="23">
        <v>0</v>
      </c>
      <c r="U39" s="23">
        <v>0</v>
      </c>
      <c r="V39" s="23">
        <v>0</v>
      </c>
      <c r="W39" s="23">
        <v>50</v>
      </c>
      <c r="X39" s="23">
        <v>50</v>
      </c>
      <c r="Y39" s="23">
        <v>50</v>
      </c>
      <c r="Z39" s="23">
        <v>50</v>
      </c>
      <c r="AA39" s="23">
        <v>0</v>
      </c>
      <c r="AB39" s="23">
        <v>0</v>
      </c>
      <c r="AC39" s="23">
        <v>0</v>
      </c>
      <c r="AD39" s="23">
        <v>0</v>
      </c>
      <c r="AE39" s="23">
        <v>133.333333333333</v>
      </c>
      <c r="AF39" s="23">
        <v>133.333333333333</v>
      </c>
      <c r="AG39" s="23">
        <v>133.333333333333</v>
      </c>
      <c r="AH39" s="23">
        <v>133.333333333333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</row>
    <row r="40" spans="1:42" x14ac:dyDescent="0.25">
      <c r="A40" s="8" t="s">
        <v>166</v>
      </c>
      <c r="B40" s="8" t="s">
        <v>165</v>
      </c>
      <c r="C40" s="1" t="str">
        <f>_xll.BDH("AMZN US Equity","BS_TOTAL_AVAIL_LINE_OF_CREDIT","FQ2 2011","FQ2 2011","Currency=USD","Period=FQ","BEST_FPERIOD_OVERRIDE=FQ","FILING_STATUS=MR","SCALING_FORMAT=MLN","Sort=A","Dates=H","DateFormat=P","Fill=—","Direction=H","UseDPDF=Y")</f>
        <v>—</v>
      </c>
      <c r="D40" s="1" t="str">
        <f>_xll.BDH("AMZN US Equity","BS_TOTAL_AVAIL_LINE_OF_CREDIT","FQ3 2011","FQ3 2011","Currency=USD","Period=FQ","BEST_FPERIOD_OVERRIDE=FQ","FILING_STATUS=MR","SCALING_FORMAT=MLN","Sort=A","Dates=H","DateFormat=P","Fill=—","Direction=H","UseDPDF=Y")</f>
        <v>—</v>
      </c>
      <c r="E40" s="1" t="str">
        <f>_xll.BDH("AMZN US Equity","BS_TOTAL_AVAIL_LINE_OF_CREDIT","FQ4 2011","FQ4 2011","Currency=USD","Period=FQ","BEST_FPERIOD_OVERRIDE=FQ","FILING_STATUS=MR","SCALING_FORMAT=MLN","Sort=A","Dates=H","DateFormat=P","Fill=—","Direction=H","UseDPDF=Y")</f>
        <v>—</v>
      </c>
      <c r="F40" s="1" t="str">
        <f>_xll.BDH("AMZN US Equity","BS_TOTAL_AVAIL_LINE_OF_CREDIT","FQ1 2012","FQ1 2012","Currency=USD","Period=FQ","BEST_FPERIOD_OVERRIDE=FQ","FILING_STATUS=MR","SCALING_FORMAT=MLN","Sort=A","Dates=H","DateFormat=P","Fill=—","Direction=H","UseDPDF=Y")</f>
        <v>—</v>
      </c>
      <c r="G40" s="1" t="str">
        <f>_xll.BDH("AMZN US Equity","BS_TOTAL_AVAIL_LINE_OF_CREDIT","FQ2 2012","FQ2 2012","Currency=USD","Period=FQ","BEST_FPERIOD_OVERRIDE=FQ","FILING_STATUS=MR","SCALING_FORMAT=MLN","Sort=A","Dates=H","DateFormat=P","Fill=—","Direction=H","UseDPDF=Y")</f>
        <v>—</v>
      </c>
      <c r="H40" s="1" t="str">
        <f>_xll.BDH("AMZN US Equity","BS_TOTAL_AVAIL_LINE_OF_CREDIT","FQ3 2012","FQ3 2012","Currency=USD","Period=FQ","BEST_FPERIOD_OVERRIDE=FQ","FILING_STATUS=MR","SCALING_FORMAT=MLN","Sort=A","Dates=H","DateFormat=P","Fill=—","Direction=H","UseDPDF=Y")</f>
        <v>—</v>
      </c>
      <c r="I40" s="1" t="str">
        <f>_xll.BDH("AMZN US Equity","BS_TOTAL_AVAIL_LINE_OF_CREDIT","FQ4 2012","FQ4 2012","Currency=USD","Period=FQ","BEST_FPERIOD_OVERRIDE=FQ","FILING_STATUS=MR","SCALING_FORMAT=MLN","Sort=A","Dates=H","DateFormat=P","Fill=—","Direction=H","UseDPDF=Y")</f>
        <v>—</v>
      </c>
      <c r="J40" s="1" t="str">
        <f>_xll.BDH("AMZN US Equity","BS_TOTAL_AVAIL_LINE_OF_CREDIT","FQ1 2013","FQ1 2013","Currency=USD","Period=FQ","BEST_FPERIOD_OVERRIDE=FQ","FILING_STATUS=MR","SCALING_FORMAT=MLN","Sort=A","Dates=H","DateFormat=P","Fill=—","Direction=H","UseDPDF=Y")</f>
        <v>—</v>
      </c>
      <c r="K40" s="1" t="str">
        <f>_xll.BDH("AMZN US Equity","BS_TOTAL_AVAIL_LINE_OF_CREDIT","FQ2 2013","FQ2 2013","Currency=USD","Period=FQ","BEST_FPERIOD_OVERRIDE=FQ","FILING_STATUS=MR","SCALING_FORMAT=MLN","Sort=A","Dates=H","DateFormat=P","Fill=—","Direction=H","UseDPDF=Y")</f>
        <v>—</v>
      </c>
      <c r="L40" s="1" t="str">
        <f>_xll.BDH("AMZN US Equity","BS_TOTAL_AVAIL_LINE_OF_CREDIT","FQ3 2013","FQ3 2013","Currency=USD","Period=FQ","BEST_FPERIOD_OVERRIDE=FQ","FILING_STATUS=MR","SCALING_FORMAT=MLN","Sort=A","Dates=H","DateFormat=P","Fill=—","Direction=H","UseDPDF=Y")</f>
        <v>—</v>
      </c>
      <c r="M40" s="1" t="str">
        <f>_xll.BDH("AMZN US Equity","BS_TOTAL_AVAIL_LINE_OF_CREDIT","FQ4 2013","FQ4 2013","Currency=USD","Period=FQ","BEST_FPERIOD_OVERRIDE=FQ","FILING_STATUS=MR","SCALING_FORMAT=MLN","Sort=A","Dates=H","DateFormat=P","Fill=—","Direction=H","UseDPDF=Y")</f>
        <v>—</v>
      </c>
      <c r="N40" s="1" t="str">
        <f>_xll.BDH("AMZN US Equity","BS_TOTAL_AVAIL_LINE_OF_CREDIT","FQ1 2014","FQ1 2014","Currency=USD","Period=FQ","BEST_FPERIOD_OVERRIDE=FQ","FILING_STATUS=MR","SCALING_FORMAT=MLN","Sort=A","Dates=H","DateFormat=P","Fill=—","Direction=H","UseDPDF=Y")</f>
        <v>—</v>
      </c>
      <c r="O40" s="1" t="str">
        <f>_xll.BDH("AMZN US Equity","BS_TOTAL_AVAIL_LINE_OF_CREDIT","FQ2 2014","FQ2 2014","Currency=USD","Period=FQ","BEST_FPERIOD_OVERRIDE=FQ","FILING_STATUS=MR","SCALING_FORMAT=MLN","Sort=A","Dates=H","DateFormat=P","Fill=—","Direction=H","UseDPDF=Y")</f>
        <v>—</v>
      </c>
      <c r="P40" s="1">
        <f>_xll.BDH("AMZN US Equity","BS_TOTAL_AVAIL_LINE_OF_CREDIT","FQ3 2014","FQ3 2014","Currency=USD","Period=FQ","BEST_FPERIOD_OVERRIDE=FQ","FILING_STATUS=MR","SCALING_FORMAT=MLN","Sort=A","Dates=H","DateFormat=P","Fill=—","Direction=H","UseDPDF=Y")</f>
        <v>2000</v>
      </c>
      <c r="Q40" s="1">
        <f>_xll.BDH("AMZN US Equity","BS_TOTAL_AVAIL_LINE_OF_CREDIT","FQ4 2014","FQ4 2014","Currency=USD","Period=FQ","BEST_FPERIOD_OVERRIDE=FQ","FILING_STATUS=MR","SCALING_FORMAT=MLN","Sort=A","Dates=H","DateFormat=P","Fill=—","Direction=H","UseDPDF=Y")</f>
        <v>2000</v>
      </c>
      <c r="R40" s="1">
        <f>_xll.BDH("AMZN US Equity","BS_TOTAL_AVAIL_LINE_OF_CREDIT","FQ1 2015","FQ1 2015","Currency=USD","Period=FQ","BEST_FPERIOD_OVERRIDE=FQ","FILING_STATUS=MR","SCALING_FORMAT=MLN","Sort=A","Dates=H","DateFormat=P","Fill=—","Direction=H","UseDPDF=Y")</f>
        <v>2000</v>
      </c>
      <c r="S40" s="1">
        <f>_xll.BDH("AMZN US Equity","BS_TOTAL_AVAIL_LINE_OF_CREDIT","FQ2 2015","FQ2 2015","Currency=USD","Period=FQ","BEST_FPERIOD_OVERRIDE=FQ","FILING_STATUS=MR","SCALING_FORMAT=MLN","Sort=A","Dates=H","DateFormat=P","Fill=—","Direction=H","UseDPDF=Y")</f>
        <v>2000</v>
      </c>
      <c r="T40" s="1">
        <f>_xll.BDH("AMZN US Equity","BS_TOTAL_AVAIL_LINE_OF_CREDIT","FQ3 2015","FQ3 2015","Currency=USD","Period=FQ","BEST_FPERIOD_OVERRIDE=FQ","FILING_STATUS=MR","SCALING_FORMAT=MLN","Sort=A","Dates=H","DateFormat=P","Fill=—","Direction=H","UseDPDF=Y")</f>
        <v>2000</v>
      </c>
      <c r="U40" s="1">
        <f>_xll.BDH("AMZN US Equity","BS_TOTAL_AVAIL_LINE_OF_CREDIT","FQ4 2015","FQ4 2015","Currency=USD","Period=FQ","BEST_FPERIOD_OVERRIDE=FQ","FILING_STATUS=MR","SCALING_FORMAT=MLN","Sort=A","Dates=H","DateFormat=P","Fill=—","Direction=H","UseDPDF=Y")</f>
        <v>2000</v>
      </c>
      <c r="V40" s="1">
        <f>_xll.BDH("AMZN US Equity","BS_TOTAL_AVAIL_LINE_OF_CREDIT","FQ1 2016","FQ1 2016","Currency=USD","Period=FQ","BEST_FPERIOD_OVERRIDE=FQ","FILING_STATUS=MR","SCALING_FORMAT=MLN","Sort=A","Dates=H","DateFormat=P","Fill=—","Direction=H","UseDPDF=Y")</f>
        <v>2000</v>
      </c>
      <c r="W40" s="1">
        <f>_xll.BDH("AMZN US Equity","BS_TOTAL_AVAIL_LINE_OF_CREDIT","FQ2 2016","FQ2 2016","Currency=USD","Period=FQ","BEST_FPERIOD_OVERRIDE=FQ","FILING_STATUS=MR","SCALING_FORMAT=MLN","Sort=A","Dates=H","DateFormat=P","Fill=—","Direction=H","UseDPDF=Y")</f>
        <v>3000</v>
      </c>
      <c r="X40" s="1">
        <f>_xll.BDH("AMZN US Equity","BS_TOTAL_AVAIL_LINE_OF_CREDIT","FQ3 2016","FQ3 2016","Currency=USD","Period=FQ","BEST_FPERIOD_OVERRIDE=FQ","FILING_STATUS=MR","SCALING_FORMAT=MLN","Sort=A","Dates=H","DateFormat=P","Fill=—","Direction=H","UseDPDF=Y")</f>
        <v>3000</v>
      </c>
      <c r="Y40" s="1">
        <f>_xll.BDH("AMZN US Equity","BS_TOTAL_AVAIL_LINE_OF_CREDIT","FQ4 2016","FQ4 2016","Currency=USD","Period=FQ","BEST_FPERIOD_OVERRIDE=FQ","FILING_STATUS=MR","SCALING_FORMAT=MLN","Sort=A","Dates=H","DateFormat=P","Fill=—","Direction=H","UseDPDF=Y")</f>
        <v>3000</v>
      </c>
      <c r="Z40" s="1">
        <f>_xll.BDH("AMZN US Equity","BS_TOTAL_AVAIL_LINE_OF_CREDIT","FQ1 2017","FQ1 2017","Currency=USD","Period=FQ","BEST_FPERIOD_OVERRIDE=FQ","FILING_STATUS=MR","SCALING_FORMAT=MLN","Sort=A","Dates=H","DateFormat=P","Fill=—","Direction=H","UseDPDF=Y")</f>
        <v>3000</v>
      </c>
      <c r="AA40" s="1">
        <f>_xll.BDH("AMZN US Equity","BS_TOTAL_AVAIL_LINE_OF_CREDIT","FQ2 2017","FQ2 2017","Currency=USD","Period=FQ","BEST_FPERIOD_OVERRIDE=FQ","FILING_STATUS=MR","SCALING_FORMAT=MLN","Sort=A","Dates=H","DateFormat=P","Fill=—","Direction=H","UseDPDF=Y")</f>
        <v>3000</v>
      </c>
      <c r="AB40" s="1">
        <f>_xll.BDH("AMZN US Equity","BS_TOTAL_AVAIL_LINE_OF_CREDIT","FQ3 2017","FQ3 2017","Currency=USD","Period=FQ","BEST_FPERIOD_OVERRIDE=FQ","FILING_STATUS=MR","SCALING_FORMAT=MLN","Sort=A","Dates=H","DateFormat=P","Fill=—","Direction=H","UseDPDF=Y")</f>
        <v>3000</v>
      </c>
      <c r="AC40" s="1">
        <f>_xll.BDH("AMZN US Equity","BS_TOTAL_AVAIL_LINE_OF_CREDIT","FQ4 2017","FQ4 2017","Currency=USD","Period=FQ","BEST_FPERIOD_OVERRIDE=FQ","FILING_STATUS=MR","SCALING_FORMAT=MLN","Sort=A","Dates=H","DateFormat=P","Fill=—","Direction=H","UseDPDF=Y")</f>
        <v>3000</v>
      </c>
      <c r="AD40" s="1">
        <f>_xll.BDH("AMZN US Equity","BS_TOTAL_AVAIL_LINE_OF_CREDIT","FQ1 2018","FQ1 2018","Currency=USD","Period=FQ","BEST_FPERIOD_OVERRIDE=FQ","FILING_STATUS=MR","SCALING_FORMAT=MLN","Sort=A","Dates=H","DateFormat=P","Fill=—","Direction=H","UseDPDF=Y")</f>
        <v>3000</v>
      </c>
      <c r="AE40" s="1">
        <f>_xll.BDH("AMZN US Equity","BS_TOTAL_AVAIL_LINE_OF_CREDIT","FQ2 2018","FQ2 2018","Currency=USD","Period=FQ","BEST_FPERIOD_OVERRIDE=FQ","FILING_STATUS=MR","SCALING_FORMAT=MLN","Sort=A","Dates=H","DateFormat=P","Fill=—","Direction=H","UseDPDF=Y")</f>
        <v>7000</v>
      </c>
      <c r="AF40" s="1">
        <f>_xll.BDH("AMZN US Equity","BS_TOTAL_AVAIL_LINE_OF_CREDIT","FQ3 2018","FQ3 2018","Currency=USD","Period=FQ","BEST_FPERIOD_OVERRIDE=FQ","FILING_STATUS=MR","SCALING_FORMAT=MLN","Sort=A","Dates=H","DateFormat=P","Fill=—","Direction=H","UseDPDF=Y")</f>
        <v>7000</v>
      </c>
      <c r="AG40" s="1">
        <f>_xll.BDH("AMZN US Equity","BS_TOTAL_AVAIL_LINE_OF_CREDIT","FQ4 2018","FQ4 2018","Currency=USD","Period=FQ","BEST_FPERIOD_OVERRIDE=FQ","FILING_STATUS=MR","SCALING_FORMAT=MLN","Sort=A","Dates=H","DateFormat=P","Fill=—","Direction=H","UseDPDF=Y")</f>
        <v>7000</v>
      </c>
      <c r="AH40" s="1">
        <f>_xll.BDH("AMZN US Equity","BS_TOTAL_AVAIL_LINE_OF_CREDIT","FQ1 2019","FQ1 2019","Currency=USD","Period=FQ","BEST_FPERIOD_OVERRIDE=FQ","FILING_STATUS=MR","SCALING_FORMAT=MLN","Sort=A","Dates=H","DateFormat=P","Fill=—","Direction=H","UseDPDF=Y")</f>
        <v>7000</v>
      </c>
      <c r="AI40" s="1">
        <f>_xll.BDH("AMZN US Equity","BS_TOTAL_AVAIL_LINE_OF_CREDIT","FQ2 2019","FQ2 2019","Currency=USD","Period=FQ","BEST_FPERIOD_OVERRIDE=FQ","FILING_STATUS=MR","SCALING_FORMAT=MLN","Sort=A","Dates=H","DateFormat=P","Fill=—","Direction=H","UseDPDF=Y")</f>
        <v>7000</v>
      </c>
      <c r="AJ40" s="1">
        <f>_xll.BDH("AMZN US Equity","BS_TOTAL_AVAIL_LINE_OF_CREDIT","FQ3 2019","FQ3 2019","Currency=USD","Period=FQ","BEST_FPERIOD_OVERRIDE=FQ","FILING_STATUS=MR","SCALING_FORMAT=MLN","Sort=A","Dates=H","DateFormat=P","Fill=—","Direction=H","UseDPDF=Y")</f>
        <v>7000</v>
      </c>
      <c r="AK40" s="1">
        <f>_xll.BDH("AMZN US Equity","BS_TOTAL_AVAIL_LINE_OF_CREDIT","FQ4 2019","FQ4 2019","Currency=USD","Period=FQ","BEST_FPERIOD_OVERRIDE=FQ","FILING_STATUS=MR","SCALING_FORMAT=MLN","Sort=A","Dates=H","DateFormat=P","Fill=—","Direction=H","UseDPDF=Y")</f>
        <v>7000</v>
      </c>
      <c r="AL40" s="1">
        <f>_xll.BDH("AMZN US Equity","BS_TOTAL_AVAIL_LINE_OF_CREDIT","FQ1 2020","FQ1 2020","Currency=USD","Period=FQ","BEST_FPERIOD_OVERRIDE=FQ","FILING_STATUS=MR","SCALING_FORMAT=MLN","Sort=A","Dates=H","DateFormat=P","Fill=—","Direction=H","UseDPDF=Y")</f>
        <v>7000</v>
      </c>
      <c r="AM40" s="1">
        <f>_xll.BDH("AMZN US Equity","BS_TOTAL_AVAIL_LINE_OF_CREDIT","FQ2 2020","FQ2 2020","Currency=USD","Period=FQ","BEST_FPERIOD_OVERRIDE=FQ","FILING_STATUS=MR","SCALING_FORMAT=MLN","Sort=A","Dates=H","DateFormat=P","Fill=—","Direction=H","UseDPDF=Y")</f>
        <v>7000</v>
      </c>
      <c r="AN40" s="1">
        <f>_xll.BDH("AMZN US Equity","BS_TOTAL_AVAIL_LINE_OF_CREDIT","FQ3 2020","FQ3 2020","Currency=USD","Period=FQ","BEST_FPERIOD_OVERRIDE=FQ","FILING_STATUS=MR","SCALING_FORMAT=MLN","Sort=A","Dates=H","DateFormat=P","Fill=—","Direction=H","UseDPDF=Y")</f>
        <v>7000</v>
      </c>
      <c r="AO40" s="1">
        <f>_xll.BDH("AMZN US Equity","BS_TOTAL_AVAIL_LINE_OF_CREDIT","FQ4 2020","FQ4 2020","Currency=USD","Period=FQ","BEST_FPERIOD_OVERRIDE=FQ","FILING_STATUS=MR","SCALING_FORMAT=MLN","Sort=A","Dates=H","DateFormat=P","Fill=—","Direction=H","UseDPDF=Y")</f>
        <v>7000</v>
      </c>
      <c r="AP40" s="1">
        <f>_xll.BDH("AMZN US Equity","BS_TOTAL_AVAIL_LINE_OF_CREDIT","FQ1 2021","FQ1 2021","Currency=USD","Period=FQ","BEST_FPERIOD_OVERRIDE=FQ","FILING_STATUS=MR","SCALING_FORMAT=MLN","Sort=A","Dates=H","DateFormat=P","Fill=—","Direction=H","UseDPDF=Y")</f>
        <v>7000</v>
      </c>
    </row>
    <row r="41" spans="1:42" x14ac:dyDescent="0.25">
      <c r="A41" s="7" t="s">
        <v>87</v>
      </c>
      <c r="B41" s="7" t="s">
        <v>165</v>
      </c>
      <c r="C41" s="23" t="s">
        <v>88</v>
      </c>
      <c r="D41" s="23" t="s">
        <v>88</v>
      </c>
      <c r="E41" s="23" t="s">
        <v>88</v>
      </c>
      <c r="F41" s="23" t="s">
        <v>88</v>
      </c>
      <c r="G41" s="23" t="s">
        <v>88</v>
      </c>
      <c r="H41" s="23" t="s">
        <v>88</v>
      </c>
      <c r="I41" s="23" t="s">
        <v>88</v>
      </c>
      <c r="J41" s="23" t="s">
        <v>88</v>
      </c>
      <c r="K41" s="23" t="s">
        <v>88</v>
      </c>
      <c r="L41" s="23" t="s">
        <v>88</v>
      </c>
      <c r="M41" s="23" t="s">
        <v>88</v>
      </c>
      <c r="N41" s="23" t="s">
        <v>88</v>
      </c>
      <c r="O41" s="23" t="s">
        <v>88</v>
      </c>
      <c r="P41" s="23" t="s">
        <v>88</v>
      </c>
      <c r="Q41" s="23" t="s">
        <v>88</v>
      </c>
      <c r="R41" s="23" t="s">
        <v>88</v>
      </c>
      <c r="S41" s="23" t="s">
        <v>88</v>
      </c>
      <c r="T41" s="23">
        <v>0</v>
      </c>
      <c r="U41" s="23">
        <v>0</v>
      </c>
      <c r="V41" s="23">
        <v>0</v>
      </c>
      <c r="W41" s="23">
        <v>50</v>
      </c>
      <c r="X41" s="23">
        <v>50</v>
      </c>
      <c r="Y41" s="23">
        <v>50</v>
      </c>
      <c r="Z41" s="23">
        <v>50</v>
      </c>
      <c r="AA41" s="23">
        <v>0</v>
      </c>
      <c r="AB41" s="23">
        <v>0</v>
      </c>
      <c r="AC41" s="23">
        <v>0</v>
      </c>
      <c r="AD41" s="23">
        <v>0</v>
      </c>
      <c r="AE41" s="23">
        <v>133.333333333333</v>
      </c>
      <c r="AF41" s="23">
        <v>133.333333333333</v>
      </c>
      <c r="AG41" s="23">
        <v>133.333333333333</v>
      </c>
      <c r="AH41" s="23">
        <v>133.333333333333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</row>
    <row r="42" spans="1:42" x14ac:dyDescent="0.25">
      <c r="A42" s="8" t="s">
        <v>164</v>
      </c>
      <c r="B42" s="8" t="s">
        <v>163</v>
      </c>
      <c r="C42" s="1" t="str">
        <f>_xll.BDH("AMZN US Equity","LINE_OF_CREDIT_UTILIZED_AMOUNT","FQ2 2011","FQ2 2011","Currency=USD","Period=FQ","BEST_FPERIOD_OVERRIDE=FQ","FILING_STATUS=MR","SCALING_FORMAT=MLN","Sort=A","Dates=H","DateFormat=P","Fill=—","Direction=H","UseDPDF=Y")</f>
        <v>—</v>
      </c>
      <c r="D42" s="1" t="str">
        <f>_xll.BDH("AMZN US Equity","LINE_OF_CREDIT_UTILIZED_AMOUNT","FQ3 2011","FQ3 2011","Currency=USD","Period=FQ","BEST_FPERIOD_OVERRIDE=FQ","FILING_STATUS=MR","SCALING_FORMAT=MLN","Sort=A","Dates=H","DateFormat=P","Fill=—","Direction=H","UseDPDF=Y")</f>
        <v>—</v>
      </c>
      <c r="E42" s="1" t="str">
        <f>_xll.BDH("AMZN US Equity","LINE_OF_CREDIT_UTILIZED_AMOUNT","FQ4 2011","FQ4 2011","Currency=USD","Period=FQ","BEST_FPERIOD_OVERRIDE=FQ","FILING_STATUS=MR","SCALING_FORMAT=MLN","Sort=A","Dates=H","DateFormat=P","Fill=—","Direction=H","UseDPDF=Y")</f>
        <v>—</v>
      </c>
      <c r="F42" s="1" t="str">
        <f>_xll.BDH("AMZN US Equity","LINE_OF_CREDIT_UTILIZED_AMOUNT","FQ1 2012","FQ1 2012","Currency=USD","Period=FQ","BEST_FPERIOD_OVERRIDE=FQ","FILING_STATUS=MR","SCALING_FORMAT=MLN","Sort=A","Dates=H","DateFormat=P","Fill=—","Direction=H","UseDPDF=Y")</f>
        <v>—</v>
      </c>
      <c r="G42" s="1" t="str">
        <f>_xll.BDH("AMZN US Equity","LINE_OF_CREDIT_UTILIZED_AMOUNT","FQ2 2012","FQ2 2012","Currency=USD","Period=FQ","BEST_FPERIOD_OVERRIDE=FQ","FILING_STATUS=MR","SCALING_FORMAT=MLN","Sort=A","Dates=H","DateFormat=P","Fill=—","Direction=H","UseDPDF=Y")</f>
        <v>—</v>
      </c>
      <c r="H42" s="1" t="str">
        <f>_xll.BDH("AMZN US Equity","LINE_OF_CREDIT_UTILIZED_AMOUNT","FQ3 2012","FQ3 2012","Currency=USD","Period=FQ","BEST_FPERIOD_OVERRIDE=FQ","FILING_STATUS=MR","SCALING_FORMAT=MLN","Sort=A","Dates=H","DateFormat=P","Fill=—","Direction=H","UseDPDF=Y")</f>
        <v>—</v>
      </c>
      <c r="I42" s="1" t="str">
        <f>_xll.BDH("AMZN US Equity","LINE_OF_CREDIT_UTILIZED_AMOUNT","FQ4 2012","FQ4 2012","Currency=USD","Period=FQ","BEST_FPERIOD_OVERRIDE=FQ","FILING_STATUS=MR","SCALING_FORMAT=MLN","Sort=A","Dates=H","DateFormat=P","Fill=—","Direction=H","UseDPDF=Y")</f>
        <v>—</v>
      </c>
      <c r="J42" s="1" t="str">
        <f>_xll.BDH("AMZN US Equity","LINE_OF_CREDIT_UTILIZED_AMOUNT","FQ1 2013","FQ1 2013","Currency=USD","Period=FQ","BEST_FPERIOD_OVERRIDE=FQ","FILING_STATUS=MR","SCALING_FORMAT=MLN","Sort=A","Dates=H","DateFormat=P","Fill=—","Direction=H","UseDPDF=Y")</f>
        <v>—</v>
      </c>
      <c r="K42" s="1" t="str">
        <f>_xll.BDH("AMZN US Equity","LINE_OF_CREDIT_UTILIZED_AMOUNT","FQ2 2013","FQ2 2013","Currency=USD","Period=FQ","BEST_FPERIOD_OVERRIDE=FQ","FILING_STATUS=MR","SCALING_FORMAT=MLN","Sort=A","Dates=H","DateFormat=P","Fill=—","Direction=H","UseDPDF=Y")</f>
        <v>—</v>
      </c>
      <c r="L42" s="1" t="str">
        <f>_xll.BDH("AMZN US Equity","LINE_OF_CREDIT_UTILIZED_AMOUNT","FQ3 2013","FQ3 2013","Currency=USD","Period=FQ","BEST_FPERIOD_OVERRIDE=FQ","FILING_STATUS=MR","SCALING_FORMAT=MLN","Sort=A","Dates=H","DateFormat=P","Fill=—","Direction=H","UseDPDF=Y")</f>
        <v>—</v>
      </c>
      <c r="M42" s="1" t="str">
        <f>_xll.BDH("AMZN US Equity","LINE_OF_CREDIT_UTILIZED_AMOUNT","FQ4 2013","FQ4 2013","Currency=USD","Period=FQ","BEST_FPERIOD_OVERRIDE=FQ","FILING_STATUS=MR","SCALING_FORMAT=MLN","Sort=A","Dates=H","DateFormat=P","Fill=—","Direction=H","UseDPDF=Y")</f>
        <v>—</v>
      </c>
      <c r="N42" s="1" t="str">
        <f>_xll.BDH("AMZN US Equity","LINE_OF_CREDIT_UTILIZED_AMOUNT","FQ1 2014","FQ1 2014","Currency=USD","Period=FQ","BEST_FPERIOD_OVERRIDE=FQ","FILING_STATUS=MR","SCALING_FORMAT=MLN","Sort=A","Dates=H","DateFormat=P","Fill=—","Direction=H","UseDPDF=Y")</f>
        <v>—</v>
      </c>
      <c r="O42" s="1" t="str">
        <f>_xll.BDH("AMZN US Equity","LINE_OF_CREDIT_UTILIZED_AMOUNT","FQ2 2014","FQ2 2014","Currency=USD","Period=FQ","BEST_FPERIOD_OVERRIDE=FQ","FILING_STATUS=MR","SCALING_FORMAT=MLN","Sort=A","Dates=H","DateFormat=P","Fill=—","Direction=H","UseDPDF=Y")</f>
        <v>—</v>
      </c>
      <c r="P42" s="1">
        <f>_xll.BDH("AMZN US Equity","LINE_OF_CREDIT_UTILIZED_AMOUNT","FQ3 2014","FQ3 2014","Currency=USD","Period=FQ","BEST_FPERIOD_OVERRIDE=FQ","FILING_STATUS=MR","SCALING_FORMAT=MLN","Sort=A","Dates=H","DateFormat=P","Fill=—","Direction=H","UseDPDF=Y")</f>
        <v>0</v>
      </c>
      <c r="Q42" s="1">
        <f>_xll.BDH("AMZN US Equity","LINE_OF_CREDIT_UTILIZED_AMOUNT","FQ4 2014","FQ4 2014","Currency=USD","Period=FQ","BEST_FPERIOD_OVERRIDE=FQ","FILING_STATUS=MR","SCALING_FORMAT=MLN","Sort=A","Dates=H","DateFormat=P","Fill=—","Direction=H","UseDPDF=Y")</f>
        <v>0</v>
      </c>
      <c r="R42" s="1">
        <f>_xll.BDH("AMZN US Equity","LINE_OF_CREDIT_UTILIZED_AMOUNT","FQ1 2015","FQ1 2015","Currency=USD","Period=FQ","BEST_FPERIOD_OVERRIDE=FQ","FILING_STATUS=MR","SCALING_FORMAT=MLN","Sort=A","Dates=H","DateFormat=P","Fill=—","Direction=H","UseDPDF=Y")</f>
        <v>0</v>
      </c>
      <c r="S42" s="1">
        <f>_xll.BDH("AMZN US Equity","LINE_OF_CREDIT_UTILIZED_AMOUNT","FQ2 2015","FQ2 2015","Currency=USD","Period=FQ","BEST_FPERIOD_OVERRIDE=FQ","FILING_STATUS=MR","SCALING_FORMAT=MLN","Sort=A","Dates=H","DateFormat=P","Fill=—","Direction=H","UseDPDF=Y")</f>
        <v>0</v>
      </c>
      <c r="T42" s="1">
        <f>_xll.BDH("AMZN US Equity","LINE_OF_CREDIT_UTILIZED_AMOUNT","FQ3 2015","FQ3 2015","Currency=USD","Period=FQ","BEST_FPERIOD_OVERRIDE=FQ","FILING_STATUS=MR","SCALING_FORMAT=MLN","Sort=A","Dates=H","DateFormat=P","Fill=—","Direction=H","UseDPDF=Y")</f>
        <v>0</v>
      </c>
      <c r="U42" s="1">
        <f>_xll.BDH("AMZN US Equity","LINE_OF_CREDIT_UTILIZED_AMOUNT","FQ4 2015","FQ4 2015","Currency=USD","Period=FQ","BEST_FPERIOD_OVERRIDE=FQ","FILING_STATUS=MR","SCALING_FORMAT=MLN","Sort=A","Dates=H","DateFormat=P","Fill=—","Direction=H","UseDPDF=Y")</f>
        <v>0</v>
      </c>
      <c r="V42" s="1">
        <f>_xll.BDH("AMZN US Equity","LINE_OF_CREDIT_UTILIZED_AMOUNT","FQ1 2016","FQ1 2016","Currency=USD","Period=FQ","BEST_FPERIOD_OVERRIDE=FQ","FILING_STATUS=MR","SCALING_FORMAT=MLN","Sort=A","Dates=H","DateFormat=P","Fill=—","Direction=H","UseDPDF=Y")</f>
        <v>0</v>
      </c>
      <c r="W42" s="1">
        <f>_xll.BDH("AMZN US Equity","LINE_OF_CREDIT_UTILIZED_AMOUNT","FQ2 2016","FQ2 2016","Currency=USD","Period=FQ","BEST_FPERIOD_OVERRIDE=FQ","FILING_STATUS=MR","SCALING_FORMAT=MLN","Sort=A","Dates=H","DateFormat=P","Fill=—","Direction=H","UseDPDF=Y")</f>
        <v>0</v>
      </c>
      <c r="X42" s="1">
        <f>_xll.BDH("AMZN US Equity","LINE_OF_CREDIT_UTILIZED_AMOUNT","FQ3 2016","FQ3 2016","Currency=USD","Period=FQ","BEST_FPERIOD_OVERRIDE=FQ","FILING_STATUS=MR","SCALING_FORMAT=MLN","Sort=A","Dates=H","DateFormat=P","Fill=—","Direction=H","UseDPDF=Y")</f>
        <v>0</v>
      </c>
      <c r="Y42" s="1">
        <f>_xll.BDH("AMZN US Equity","LINE_OF_CREDIT_UTILIZED_AMOUNT","FQ4 2016","FQ4 2016","Currency=USD","Period=FQ","BEST_FPERIOD_OVERRIDE=FQ","FILING_STATUS=MR","SCALING_FORMAT=MLN","Sort=A","Dates=H","DateFormat=P","Fill=—","Direction=H","UseDPDF=Y")</f>
        <v>0</v>
      </c>
      <c r="Z42" s="1">
        <f>_xll.BDH("AMZN US Equity","LINE_OF_CREDIT_UTILIZED_AMOUNT","FQ1 2017","FQ1 2017","Currency=USD","Period=FQ","BEST_FPERIOD_OVERRIDE=FQ","FILING_STATUS=MR","SCALING_FORMAT=MLN","Sort=A","Dates=H","DateFormat=P","Fill=—","Direction=H","UseDPDF=Y")</f>
        <v>0</v>
      </c>
      <c r="AA42" s="1">
        <f>_xll.BDH("AMZN US Equity","LINE_OF_CREDIT_UTILIZED_AMOUNT","FQ2 2017","FQ2 2017","Currency=USD","Period=FQ","BEST_FPERIOD_OVERRIDE=FQ","FILING_STATUS=MR","SCALING_FORMAT=MLN","Sort=A","Dates=H","DateFormat=P","Fill=—","Direction=H","UseDPDF=Y")</f>
        <v>0</v>
      </c>
      <c r="AB42" s="1">
        <f>_xll.BDH("AMZN US Equity","LINE_OF_CREDIT_UTILIZED_AMOUNT","FQ3 2017","FQ3 2017","Currency=USD","Period=FQ","BEST_FPERIOD_OVERRIDE=FQ","FILING_STATUS=MR","SCALING_FORMAT=MLN","Sort=A","Dates=H","DateFormat=P","Fill=—","Direction=H","UseDPDF=Y")</f>
        <v>0</v>
      </c>
      <c r="AC42" s="1">
        <f>_xll.BDH("AMZN US Equity","LINE_OF_CREDIT_UTILIZED_AMOUNT","FQ4 2017","FQ4 2017","Currency=USD","Period=FQ","BEST_FPERIOD_OVERRIDE=FQ","FILING_STATUS=MR","SCALING_FORMAT=MLN","Sort=A","Dates=H","DateFormat=P","Fill=—","Direction=H","UseDPDF=Y")</f>
        <v>0</v>
      </c>
      <c r="AD42" s="1">
        <f>_xll.BDH("AMZN US Equity","LINE_OF_CREDIT_UTILIZED_AMOUNT","FQ1 2018","FQ1 2018","Currency=USD","Period=FQ","BEST_FPERIOD_OVERRIDE=FQ","FILING_STATUS=MR","SCALING_FORMAT=MLN","Sort=A","Dates=H","DateFormat=P","Fill=—","Direction=H","UseDPDF=Y")</f>
        <v>0</v>
      </c>
      <c r="AE42" s="1">
        <f>_xll.BDH("AMZN US Equity","LINE_OF_CREDIT_UTILIZED_AMOUNT","FQ2 2018","FQ2 2018","Currency=USD","Period=FQ","BEST_FPERIOD_OVERRIDE=FQ","FILING_STATUS=MR","SCALING_FORMAT=MLN","Sort=A","Dates=H","DateFormat=P","Fill=—","Direction=H","UseDPDF=Y")</f>
        <v>0</v>
      </c>
      <c r="AF42" s="1">
        <f>_xll.BDH("AMZN US Equity","LINE_OF_CREDIT_UTILIZED_AMOUNT","FQ3 2018","FQ3 2018","Currency=USD","Period=FQ","BEST_FPERIOD_OVERRIDE=FQ","FILING_STATUS=MR","SCALING_FORMAT=MLN","Sort=A","Dates=H","DateFormat=P","Fill=—","Direction=H","UseDPDF=Y")</f>
        <v>0</v>
      </c>
      <c r="AG42" s="1">
        <f>_xll.BDH("AMZN US Equity","LINE_OF_CREDIT_UTILIZED_AMOUNT","FQ4 2018","FQ4 2018","Currency=USD","Period=FQ","BEST_FPERIOD_OVERRIDE=FQ","FILING_STATUS=MR","SCALING_FORMAT=MLN","Sort=A","Dates=H","DateFormat=P","Fill=—","Direction=H","UseDPDF=Y")</f>
        <v>0</v>
      </c>
      <c r="AH42" s="1">
        <f>_xll.BDH("AMZN US Equity","LINE_OF_CREDIT_UTILIZED_AMOUNT","FQ1 2019","FQ1 2019","Currency=USD","Period=FQ","BEST_FPERIOD_OVERRIDE=FQ","FILING_STATUS=MR","SCALING_FORMAT=MLN","Sort=A","Dates=H","DateFormat=P","Fill=—","Direction=H","UseDPDF=Y")</f>
        <v>0</v>
      </c>
      <c r="AI42" s="1">
        <f>_xll.BDH("AMZN US Equity","LINE_OF_CREDIT_UTILIZED_AMOUNT","FQ2 2019","FQ2 2019","Currency=USD","Period=FQ","BEST_FPERIOD_OVERRIDE=FQ","FILING_STATUS=MR","SCALING_FORMAT=MLN","Sort=A","Dates=H","DateFormat=P","Fill=—","Direction=H","UseDPDF=Y")</f>
        <v>0</v>
      </c>
      <c r="AJ42" s="1">
        <f>_xll.BDH("AMZN US Equity","LINE_OF_CREDIT_UTILIZED_AMOUNT","FQ3 2019","FQ3 2019","Currency=USD","Period=FQ","BEST_FPERIOD_OVERRIDE=FQ","FILING_STATUS=MR","SCALING_FORMAT=MLN","Sort=A","Dates=H","DateFormat=P","Fill=—","Direction=H","UseDPDF=Y")</f>
        <v>0</v>
      </c>
      <c r="AK42" s="1">
        <f>_xll.BDH("AMZN US Equity","LINE_OF_CREDIT_UTILIZED_AMOUNT","FQ4 2019","FQ4 2019","Currency=USD","Period=FQ","BEST_FPERIOD_OVERRIDE=FQ","FILING_STATUS=MR","SCALING_FORMAT=MLN","Sort=A","Dates=H","DateFormat=P","Fill=—","Direction=H","UseDPDF=Y")</f>
        <v>0</v>
      </c>
      <c r="AL42" s="1">
        <f>_xll.BDH("AMZN US Equity","LINE_OF_CREDIT_UTILIZED_AMOUNT","FQ1 2020","FQ1 2020","Currency=USD","Period=FQ","BEST_FPERIOD_OVERRIDE=FQ","FILING_STATUS=MR","SCALING_FORMAT=MLN","Sort=A","Dates=H","DateFormat=P","Fill=—","Direction=H","UseDPDF=Y")</f>
        <v>0</v>
      </c>
      <c r="AM42" s="1">
        <f>_xll.BDH("AMZN US Equity","LINE_OF_CREDIT_UTILIZED_AMOUNT","FQ2 2020","FQ2 2020","Currency=USD","Period=FQ","BEST_FPERIOD_OVERRIDE=FQ","FILING_STATUS=MR","SCALING_FORMAT=MLN","Sort=A","Dates=H","DateFormat=P","Fill=—","Direction=H","UseDPDF=Y")</f>
        <v>0</v>
      </c>
      <c r="AN42" s="1">
        <f>_xll.BDH("AMZN US Equity","LINE_OF_CREDIT_UTILIZED_AMOUNT","FQ3 2020","FQ3 2020","Currency=USD","Period=FQ","BEST_FPERIOD_OVERRIDE=FQ","FILING_STATUS=MR","SCALING_FORMAT=MLN","Sort=A","Dates=H","DateFormat=P","Fill=—","Direction=H","UseDPDF=Y")</f>
        <v>0</v>
      </c>
      <c r="AO42" s="1">
        <f>_xll.BDH("AMZN US Equity","LINE_OF_CREDIT_UTILIZED_AMOUNT","FQ4 2020","FQ4 2020","Currency=USD","Period=FQ","BEST_FPERIOD_OVERRIDE=FQ","FILING_STATUS=MR","SCALING_FORMAT=MLN","Sort=A","Dates=H","DateFormat=P","Fill=—","Direction=H","UseDPDF=Y")</f>
        <v>0</v>
      </c>
      <c r="AP42" s="1">
        <f>_xll.BDH("AMZN US Equity","LINE_OF_CREDIT_UTILIZED_AMOUNT","FQ1 2021","FQ1 2021","Currency=USD","Period=FQ","BEST_FPERIOD_OVERRIDE=FQ","FILING_STATUS=MR","SCALING_FORMAT=MLN","Sort=A","Dates=H","DateFormat=P","Fill=—","Direction=H","UseDPDF=Y")</f>
        <v>0</v>
      </c>
    </row>
    <row r="43" spans="1:42" x14ac:dyDescent="0.25">
      <c r="A43" s="8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</row>
    <row r="44" spans="1:42" x14ac:dyDescent="0.25">
      <c r="A44" s="8" t="s">
        <v>162</v>
      </c>
      <c r="B44" s="8" t="s">
        <v>161</v>
      </c>
      <c r="C44" s="1" t="str">
        <f>_xll.BDH("AMZN US Equity","BS_TOT_COM_PAPER_ISSUED","FQ2 2011","FQ2 2011","Currency=USD","Period=FQ","BEST_FPERIOD_OVERRIDE=FQ","FILING_STATUS=MR","SCALING_FORMAT=MLN","Sort=A","Dates=H","DateFormat=P","Fill=—","Direction=H","UseDPDF=Y")</f>
        <v>—</v>
      </c>
      <c r="D44" s="1" t="str">
        <f>_xll.BDH("AMZN US Equity","BS_TOT_COM_PAPER_ISSUED","FQ3 2011","FQ3 2011","Currency=USD","Period=FQ","BEST_FPERIOD_OVERRIDE=FQ","FILING_STATUS=MR","SCALING_FORMAT=MLN","Sort=A","Dates=H","DateFormat=P","Fill=—","Direction=H","UseDPDF=Y")</f>
        <v>—</v>
      </c>
      <c r="E44" s="1" t="str">
        <f>_xll.BDH("AMZN US Equity","BS_TOT_COM_PAPER_ISSUED","FQ4 2011","FQ4 2011","Currency=USD","Period=FQ","BEST_FPERIOD_OVERRIDE=FQ","FILING_STATUS=MR","SCALING_FORMAT=MLN","Sort=A","Dates=H","DateFormat=P","Fill=—","Direction=H","UseDPDF=Y")</f>
        <v>—</v>
      </c>
      <c r="F44" s="1" t="str">
        <f>_xll.BDH("AMZN US Equity","BS_TOT_COM_PAPER_ISSUED","FQ1 2012","FQ1 2012","Currency=USD","Period=FQ","BEST_FPERIOD_OVERRIDE=FQ","FILING_STATUS=MR","SCALING_FORMAT=MLN","Sort=A","Dates=H","DateFormat=P","Fill=—","Direction=H","UseDPDF=Y")</f>
        <v>—</v>
      </c>
      <c r="G44" s="1" t="str">
        <f>_xll.BDH("AMZN US Equity","BS_TOT_COM_PAPER_ISSUED","FQ2 2012","FQ2 2012","Currency=USD","Period=FQ","BEST_FPERIOD_OVERRIDE=FQ","FILING_STATUS=MR","SCALING_FORMAT=MLN","Sort=A","Dates=H","DateFormat=P","Fill=—","Direction=H","UseDPDF=Y")</f>
        <v>—</v>
      </c>
      <c r="H44" s="1" t="str">
        <f>_xll.BDH("AMZN US Equity","BS_TOT_COM_PAPER_ISSUED","FQ3 2012","FQ3 2012","Currency=USD","Period=FQ","BEST_FPERIOD_OVERRIDE=FQ","FILING_STATUS=MR","SCALING_FORMAT=MLN","Sort=A","Dates=H","DateFormat=P","Fill=—","Direction=H","UseDPDF=Y")</f>
        <v>—</v>
      </c>
      <c r="I44" s="1" t="str">
        <f>_xll.BDH("AMZN US Equity","BS_TOT_COM_PAPER_ISSUED","FQ4 2012","FQ4 2012","Currency=USD","Period=FQ","BEST_FPERIOD_OVERRIDE=FQ","FILING_STATUS=MR","SCALING_FORMAT=MLN","Sort=A","Dates=H","DateFormat=P","Fill=—","Direction=H","UseDPDF=Y")</f>
        <v>—</v>
      </c>
      <c r="J44" s="1" t="str">
        <f>_xll.BDH("AMZN US Equity","BS_TOT_COM_PAPER_ISSUED","FQ1 2013","FQ1 2013","Currency=USD","Period=FQ","BEST_FPERIOD_OVERRIDE=FQ","FILING_STATUS=MR","SCALING_FORMAT=MLN","Sort=A","Dates=H","DateFormat=P","Fill=—","Direction=H","UseDPDF=Y")</f>
        <v>—</v>
      </c>
      <c r="K44" s="1" t="str">
        <f>_xll.BDH("AMZN US Equity","BS_TOT_COM_PAPER_ISSUED","FQ2 2013","FQ2 2013","Currency=USD","Period=FQ","BEST_FPERIOD_OVERRIDE=FQ","FILING_STATUS=MR","SCALING_FORMAT=MLN","Sort=A","Dates=H","DateFormat=P","Fill=—","Direction=H","UseDPDF=Y")</f>
        <v>—</v>
      </c>
      <c r="L44" s="1" t="str">
        <f>_xll.BDH("AMZN US Equity","BS_TOT_COM_PAPER_ISSUED","FQ3 2013","FQ3 2013","Currency=USD","Period=FQ","BEST_FPERIOD_OVERRIDE=FQ","FILING_STATUS=MR","SCALING_FORMAT=MLN","Sort=A","Dates=H","DateFormat=P","Fill=—","Direction=H","UseDPDF=Y")</f>
        <v>—</v>
      </c>
      <c r="M44" s="1" t="str">
        <f>_xll.BDH("AMZN US Equity","BS_TOT_COM_PAPER_ISSUED","FQ4 2013","FQ4 2013","Currency=USD","Period=FQ","BEST_FPERIOD_OVERRIDE=FQ","FILING_STATUS=MR","SCALING_FORMAT=MLN","Sort=A","Dates=H","DateFormat=P","Fill=—","Direction=H","UseDPDF=Y")</f>
        <v>—</v>
      </c>
      <c r="N44" s="1" t="str">
        <f>_xll.BDH("AMZN US Equity","BS_TOT_COM_PAPER_ISSUED","FQ1 2014","FQ1 2014","Currency=USD","Period=FQ","BEST_FPERIOD_OVERRIDE=FQ","FILING_STATUS=MR","SCALING_FORMAT=MLN","Sort=A","Dates=H","DateFormat=P","Fill=—","Direction=H","UseDPDF=Y")</f>
        <v>—</v>
      </c>
      <c r="O44" s="1" t="str">
        <f>_xll.BDH("AMZN US Equity","BS_TOT_COM_PAPER_ISSUED","FQ2 2014","FQ2 2014","Currency=USD","Period=FQ","BEST_FPERIOD_OVERRIDE=FQ","FILING_STATUS=MR","SCALING_FORMAT=MLN","Sort=A","Dates=H","DateFormat=P","Fill=—","Direction=H","UseDPDF=Y")</f>
        <v>—</v>
      </c>
      <c r="P44" s="1" t="str">
        <f>_xll.BDH("AMZN US Equity","BS_TOT_COM_PAPER_ISSUED","FQ3 2014","FQ3 2014","Currency=USD","Period=FQ","BEST_FPERIOD_OVERRIDE=FQ","FILING_STATUS=MR","SCALING_FORMAT=MLN","Sort=A","Dates=H","DateFormat=P","Fill=—","Direction=H","UseDPDF=Y")</f>
        <v>—</v>
      </c>
      <c r="Q44" s="1" t="str">
        <f>_xll.BDH("AMZN US Equity","BS_TOT_COM_PAPER_ISSUED","FQ4 2014","FQ4 2014","Currency=USD","Period=FQ","BEST_FPERIOD_OVERRIDE=FQ","FILING_STATUS=MR","SCALING_FORMAT=MLN","Sort=A","Dates=H","DateFormat=P","Fill=—","Direction=H","UseDPDF=Y")</f>
        <v>—</v>
      </c>
      <c r="R44" s="1" t="str">
        <f>_xll.BDH("AMZN US Equity","BS_TOT_COM_PAPER_ISSUED","FQ1 2015","FQ1 2015","Currency=USD","Period=FQ","BEST_FPERIOD_OVERRIDE=FQ","FILING_STATUS=MR","SCALING_FORMAT=MLN","Sort=A","Dates=H","DateFormat=P","Fill=—","Direction=H","UseDPDF=Y")</f>
        <v>—</v>
      </c>
      <c r="S44" s="1" t="str">
        <f>_xll.BDH("AMZN US Equity","BS_TOT_COM_PAPER_ISSUED","FQ2 2015","FQ2 2015","Currency=USD","Period=FQ","BEST_FPERIOD_OVERRIDE=FQ","FILING_STATUS=MR","SCALING_FORMAT=MLN","Sort=A","Dates=H","DateFormat=P","Fill=—","Direction=H","UseDPDF=Y")</f>
        <v>—</v>
      </c>
      <c r="T44" s="1" t="str">
        <f>_xll.BDH("AMZN US Equity","BS_TOT_COM_PAPER_ISSUED","FQ3 2015","FQ3 2015","Currency=USD","Period=FQ","BEST_FPERIOD_OVERRIDE=FQ","FILING_STATUS=MR","SCALING_FORMAT=MLN","Sort=A","Dates=H","DateFormat=P","Fill=—","Direction=H","UseDPDF=Y")</f>
        <v>—</v>
      </c>
      <c r="U44" s="1" t="str">
        <f>_xll.BDH("AMZN US Equity","BS_TOT_COM_PAPER_ISSUED","FQ4 2015","FQ4 2015","Currency=USD","Period=FQ","BEST_FPERIOD_OVERRIDE=FQ","FILING_STATUS=MR","SCALING_FORMAT=MLN","Sort=A","Dates=H","DateFormat=P","Fill=—","Direction=H","UseDPDF=Y")</f>
        <v>—</v>
      </c>
      <c r="V44" s="1" t="str">
        <f>_xll.BDH("AMZN US Equity","BS_TOT_COM_PAPER_ISSUED","FQ1 2016","FQ1 2016","Currency=USD","Period=FQ","BEST_FPERIOD_OVERRIDE=FQ","FILING_STATUS=MR","SCALING_FORMAT=MLN","Sort=A","Dates=H","DateFormat=P","Fill=—","Direction=H","UseDPDF=Y")</f>
        <v>—</v>
      </c>
      <c r="W44" s="1" t="str">
        <f>_xll.BDH("AMZN US Equity","BS_TOT_COM_PAPER_ISSUED","FQ2 2016","FQ2 2016","Currency=USD","Period=FQ","BEST_FPERIOD_OVERRIDE=FQ","FILING_STATUS=MR","SCALING_FORMAT=MLN","Sort=A","Dates=H","DateFormat=P","Fill=—","Direction=H","UseDPDF=Y")</f>
        <v>—</v>
      </c>
      <c r="X44" s="1" t="str">
        <f>_xll.BDH("AMZN US Equity","BS_TOT_COM_PAPER_ISSUED","FQ3 2016","FQ3 2016","Currency=USD","Period=FQ","BEST_FPERIOD_OVERRIDE=FQ","FILING_STATUS=MR","SCALING_FORMAT=MLN","Sort=A","Dates=H","DateFormat=P","Fill=—","Direction=H","UseDPDF=Y")</f>
        <v>—</v>
      </c>
      <c r="Y44" s="1" t="str">
        <f>_xll.BDH("AMZN US Equity","BS_TOT_COM_PAPER_ISSUED","FQ4 2016","FQ4 2016","Currency=USD","Period=FQ","BEST_FPERIOD_OVERRIDE=FQ","FILING_STATUS=MR","SCALING_FORMAT=MLN","Sort=A","Dates=H","DateFormat=P","Fill=—","Direction=H","UseDPDF=Y")</f>
        <v>—</v>
      </c>
      <c r="Z44" s="1" t="str">
        <f>_xll.BDH("AMZN US Equity","BS_TOT_COM_PAPER_ISSUED","FQ1 2017","FQ1 2017","Currency=USD","Period=FQ","BEST_FPERIOD_OVERRIDE=FQ","FILING_STATUS=MR","SCALING_FORMAT=MLN","Sort=A","Dates=H","DateFormat=P","Fill=—","Direction=H","UseDPDF=Y")</f>
        <v>—</v>
      </c>
      <c r="AA44" s="1" t="str">
        <f>_xll.BDH("AMZN US Equity","BS_TOT_COM_PAPER_ISSUED","FQ2 2017","FQ2 2017","Currency=USD","Period=FQ","BEST_FPERIOD_OVERRIDE=FQ","FILING_STATUS=MR","SCALING_FORMAT=MLN","Sort=A","Dates=H","DateFormat=P","Fill=—","Direction=H","UseDPDF=Y")</f>
        <v>—</v>
      </c>
      <c r="AB44" s="1" t="str">
        <f>_xll.BDH("AMZN US Equity","BS_TOT_COM_PAPER_ISSUED","FQ3 2017","FQ3 2017","Currency=USD","Period=FQ","BEST_FPERIOD_OVERRIDE=FQ","FILING_STATUS=MR","SCALING_FORMAT=MLN","Sort=A","Dates=H","DateFormat=P","Fill=—","Direction=H","UseDPDF=Y")</f>
        <v>—</v>
      </c>
      <c r="AC44" s="1" t="str">
        <f>_xll.BDH("AMZN US Equity","BS_TOT_COM_PAPER_ISSUED","FQ4 2017","FQ4 2017","Currency=USD","Period=FQ","BEST_FPERIOD_OVERRIDE=FQ","FILING_STATUS=MR","SCALING_FORMAT=MLN","Sort=A","Dates=H","DateFormat=P","Fill=—","Direction=H","UseDPDF=Y")</f>
        <v>—</v>
      </c>
      <c r="AD44" s="1" t="str">
        <f>_xll.BDH("AMZN US Equity","BS_TOT_COM_PAPER_ISSUED","FQ1 2018","FQ1 2018","Currency=USD","Period=FQ","BEST_FPERIOD_OVERRIDE=FQ","FILING_STATUS=MR","SCALING_FORMAT=MLN","Sort=A","Dates=H","DateFormat=P","Fill=—","Direction=H","UseDPDF=Y")</f>
        <v>—</v>
      </c>
      <c r="AE44" s="1">
        <f>_xll.BDH("AMZN US Equity","BS_TOT_COM_PAPER_ISSUED","FQ2 2018","FQ2 2018","Currency=USD","Period=FQ","BEST_FPERIOD_OVERRIDE=FQ","FILING_STATUS=MR","SCALING_FORMAT=MLN","Sort=A","Dates=H","DateFormat=P","Fill=—","Direction=H","UseDPDF=Y")</f>
        <v>0</v>
      </c>
      <c r="AF44" s="1">
        <f>_xll.BDH("AMZN US Equity","BS_TOT_COM_PAPER_ISSUED","FQ3 2018","FQ3 2018","Currency=USD","Period=FQ","BEST_FPERIOD_OVERRIDE=FQ","FILING_STATUS=MR","SCALING_FORMAT=MLN","Sort=A","Dates=H","DateFormat=P","Fill=—","Direction=H","UseDPDF=Y")</f>
        <v>0</v>
      </c>
      <c r="AG44" s="1" t="str">
        <f>_xll.BDH("AMZN US Equity","BS_TOT_COM_PAPER_ISSUED","FQ4 2018","FQ4 2018","Currency=USD","Period=FQ","BEST_FPERIOD_OVERRIDE=FQ","FILING_STATUS=MR","SCALING_FORMAT=MLN","Sort=A","Dates=H","DateFormat=P","Fill=—","Direction=H","UseDPDF=Y")</f>
        <v>—</v>
      </c>
      <c r="AH44" s="1">
        <f>_xll.BDH("AMZN US Equity","BS_TOT_COM_PAPER_ISSUED","FQ1 2019","FQ1 2019","Currency=USD","Period=FQ","BEST_FPERIOD_OVERRIDE=FQ","FILING_STATUS=MR","SCALING_FORMAT=MLN","Sort=A","Dates=H","DateFormat=P","Fill=—","Direction=H","UseDPDF=Y")</f>
        <v>0</v>
      </c>
      <c r="AI44" s="1">
        <f>_xll.BDH("AMZN US Equity","BS_TOT_COM_PAPER_ISSUED","FQ2 2019","FQ2 2019","Currency=USD","Period=FQ","BEST_FPERIOD_OVERRIDE=FQ","FILING_STATUS=MR","SCALING_FORMAT=MLN","Sort=A","Dates=H","DateFormat=P","Fill=—","Direction=H","UseDPDF=Y")</f>
        <v>0</v>
      </c>
      <c r="AJ44" s="1">
        <f>_xll.BDH("AMZN US Equity","BS_TOT_COM_PAPER_ISSUED","FQ3 2019","FQ3 2019","Currency=USD","Period=FQ","BEST_FPERIOD_OVERRIDE=FQ","FILING_STATUS=MR","SCALING_FORMAT=MLN","Sort=A","Dates=H","DateFormat=P","Fill=—","Direction=H","UseDPDF=Y")</f>
        <v>0</v>
      </c>
      <c r="AK44" s="1">
        <f>_xll.BDH("AMZN US Equity","BS_TOT_COM_PAPER_ISSUED","FQ4 2019","FQ4 2019","Currency=USD","Period=FQ","BEST_FPERIOD_OVERRIDE=FQ","FILING_STATUS=MR","SCALING_FORMAT=MLN","Sort=A","Dates=H","DateFormat=P","Fill=—","Direction=H","UseDPDF=Y")</f>
        <v>0</v>
      </c>
      <c r="AL44" s="1">
        <f>_xll.BDH("AMZN US Equity","BS_TOT_COM_PAPER_ISSUED","FQ1 2020","FQ1 2020","Currency=USD","Period=FQ","BEST_FPERIOD_OVERRIDE=FQ","FILING_STATUS=MR","SCALING_FORMAT=MLN","Sort=A","Dates=H","DateFormat=P","Fill=—","Direction=H","UseDPDF=Y")</f>
        <v>0</v>
      </c>
      <c r="AM44" s="1">
        <f>_xll.BDH("AMZN US Equity","BS_TOT_COM_PAPER_ISSUED","FQ2 2020","FQ2 2020","Currency=USD","Period=FQ","BEST_FPERIOD_OVERRIDE=FQ","FILING_STATUS=MR","SCALING_FORMAT=MLN","Sort=A","Dates=H","DateFormat=P","Fill=—","Direction=H","UseDPDF=Y")</f>
        <v>730</v>
      </c>
      <c r="AN44" s="1">
        <f>_xll.BDH("AMZN US Equity","BS_TOT_COM_PAPER_ISSUED","FQ3 2020","FQ3 2020","Currency=USD","Period=FQ","BEST_FPERIOD_OVERRIDE=FQ","FILING_STATUS=MR","SCALING_FORMAT=MLN","Sort=A","Dates=H","DateFormat=P","Fill=—","Direction=H","UseDPDF=Y")</f>
        <v>725</v>
      </c>
      <c r="AO44" s="1">
        <f>_xll.BDH("AMZN US Equity","BS_TOT_COM_PAPER_ISSUED","FQ4 2020","FQ4 2020","Currency=USD","Period=FQ","BEST_FPERIOD_OVERRIDE=FQ","FILING_STATUS=MR","SCALING_FORMAT=MLN","Sort=A","Dates=H","DateFormat=P","Fill=—","Direction=H","UseDPDF=Y")</f>
        <v>0</v>
      </c>
      <c r="AP44" s="1">
        <f>_xll.BDH("AMZN US Equity","BS_TOT_COM_PAPER_ISSUED","FQ1 2021","FQ1 2021","Currency=USD","Period=FQ","BEST_FPERIOD_OVERRIDE=FQ","FILING_STATUS=MR","SCALING_FORMAT=MLN","Sort=A","Dates=H","DateFormat=P","Fill=—","Direction=H","UseDPDF=Y")</f>
        <v>725</v>
      </c>
    </row>
    <row r="45" spans="1:42" x14ac:dyDescent="0.25">
      <c r="A45" s="15" t="s">
        <v>119</v>
      </c>
      <c r="B45" s="15"/>
      <c r="C45" s="15" t="s">
        <v>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Profitability (2)</vt:lpstr>
      <vt:lpstr>Liquidity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SUHARDJO, Johanes</cp:lastModifiedBy>
  <dcterms:created xsi:type="dcterms:W3CDTF">2013-04-03T15:49:21Z</dcterms:created>
  <dcterms:modified xsi:type="dcterms:W3CDTF">2021-06-20T10:39:31Z</dcterms:modified>
</cp:coreProperties>
</file>