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kahn/Library/Mobile Documents/com~apple~CloudDocs/0. 사업/1. 결산/"/>
    </mc:Choice>
  </mc:AlternateContent>
  <xr:revisionPtr revIDLastSave="0" documentId="13_ncr:1_{5E06DBA4-9BBA-B14C-B609-A3AD7FEEED09}" xr6:coauthVersionLast="47" xr6:coauthVersionMax="47" xr10:uidLastSave="{00000000-0000-0000-0000-000000000000}"/>
  <bookViews>
    <workbookView xWindow="0" yWindow="760" windowWidth="29040" windowHeight="15840" activeTab="2" xr2:uid="{22CEC514-C066-E441-9C92-ED07EE8853CA}"/>
  </bookViews>
  <sheets>
    <sheet name="Sheet1" sheetId="8" r:id="rId1"/>
    <sheet name="Sheet2" sheetId="7" r:id="rId2"/>
    <sheet name="월별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8" i="8" l="1"/>
  <c r="BH41" i="8" l="1"/>
  <c r="BD41" i="8"/>
  <c r="AB41" i="8"/>
  <c r="BN41" i="8" l="1"/>
  <c r="BR41" i="8"/>
  <c r="BF41" i="8"/>
  <c r="BP41" i="8"/>
  <c r="AM41" i="8"/>
  <c r="AO41" i="8"/>
  <c r="AY41" i="8"/>
  <c r="P41" i="8" s="1"/>
  <c r="AV41" i="8"/>
  <c r="AL41" i="8"/>
  <c r="AP41" i="8"/>
  <c r="AQ41" i="8"/>
  <c r="AH41" i="8"/>
  <c r="AU41" i="8"/>
  <c r="AR41" i="8"/>
  <c r="AD41" i="8"/>
  <c r="O2" i="8"/>
  <c r="M2" i="8"/>
  <c r="M3" i="8"/>
  <c r="M4" i="8"/>
  <c r="M5" i="8"/>
  <c r="M6" i="8"/>
  <c r="M7" i="8"/>
  <c r="M8" i="8"/>
  <c r="M9" i="8"/>
  <c r="M10" i="8"/>
  <c r="M12" i="8"/>
  <c r="M15" i="8"/>
  <c r="M18" i="8"/>
  <c r="M19" i="8"/>
  <c r="M22" i="8"/>
  <c r="M25" i="8"/>
  <c r="M28" i="8"/>
  <c r="M29" i="8"/>
  <c r="M35" i="8"/>
  <c r="L3" i="8"/>
  <c r="P4" i="8"/>
  <c r="P5" i="8"/>
  <c r="P2" i="8"/>
  <c r="L6" i="8"/>
  <c r="L5" i="8"/>
  <c r="L4" i="8"/>
  <c r="L2" i="8"/>
  <c r="AY12" i="8"/>
  <c r="AY6" i="8"/>
  <c r="AY4" i="8"/>
  <c r="AY3" i="8"/>
  <c r="IJ15" i="6"/>
  <c r="II45" i="6"/>
  <c r="IL40" i="6"/>
  <c r="BR17" i="8" l="1"/>
  <c r="BC17" i="8"/>
  <c r="BO17" i="7"/>
  <c r="AZ17" i="7"/>
  <c r="IX61" i="6" l="1"/>
  <c r="IX59" i="6"/>
  <c r="IU58" i="6"/>
  <c r="IX58" i="6" s="1"/>
  <c r="IX57" i="6"/>
  <c r="IX56" i="6"/>
  <c r="IX55" i="6"/>
  <c r="IX54" i="6"/>
  <c r="IX53" i="6"/>
  <c r="IX52" i="6"/>
  <c r="IX51" i="6"/>
  <c r="IX50" i="6"/>
  <c r="IX49" i="6"/>
  <c r="IU48" i="6"/>
  <c r="IX48" i="6" s="1"/>
  <c r="IU47" i="6"/>
  <c r="IX47" i="6" s="1"/>
  <c r="IU46" i="6"/>
  <c r="IX45" i="6"/>
  <c r="IU45" i="6"/>
  <c r="IW44" i="6"/>
  <c r="IW43" i="6"/>
  <c r="IX43" i="6" s="1"/>
  <c r="IX42" i="6"/>
  <c r="IX41" i="6"/>
  <c r="IW40" i="6"/>
  <c r="IX40" i="6" s="1"/>
  <c r="IW39" i="6"/>
  <c r="IX39" i="6" s="1"/>
  <c r="IX38" i="6"/>
  <c r="IW38" i="6"/>
  <c r="IX37" i="6"/>
  <c r="IX36" i="6"/>
  <c r="IW36" i="6"/>
  <c r="IW35" i="6"/>
  <c r="IX35" i="6" s="1"/>
  <c r="IW34" i="6"/>
  <c r="IX34" i="6" s="1"/>
  <c r="IW33" i="6"/>
  <c r="IX33" i="6" s="1"/>
  <c r="IW32" i="6"/>
  <c r="IV32" i="6"/>
  <c r="IX32" i="6" s="1"/>
  <c r="IX31" i="6"/>
  <c r="IX30" i="6"/>
  <c r="IW30" i="6"/>
  <c r="JC26" i="6"/>
  <c r="JC25" i="6"/>
  <c r="IZ25" i="6"/>
  <c r="IZ24" i="6"/>
  <c r="JC24" i="6" s="1"/>
  <c r="IZ23" i="6"/>
  <c r="JC23" i="6" s="1"/>
  <c r="JC22" i="6"/>
  <c r="IZ22" i="6"/>
  <c r="JC21" i="6"/>
  <c r="IZ21" i="6"/>
  <c r="JC20" i="6"/>
  <c r="IZ20" i="6"/>
  <c r="IZ19" i="6"/>
  <c r="JC19" i="6" s="1"/>
  <c r="IZ18" i="6"/>
  <c r="JC18" i="6" s="1"/>
  <c r="JC17" i="6"/>
  <c r="IY17" i="6"/>
  <c r="JC16" i="6"/>
  <c r="JC15" i="6"/>
  <c r="IY15" i="6"/>
  <c r="IY14" i="6"/>
  <c r="JC14" i="6" s="1"/>
  <c r="IY13" i="6"/>
  <c r="JC13" i="6" s="1"/>
  <c r="JC12" i="6"/>
  <c r="JC11" i="6"/>
  <c r="JC10" i="6"/>
  <c r="JC9" i="6"/>
  <c r="IW9" i="6"/>
  <c r="IV9" i="6"/>
  <c r="IZ8" i="6"/>
  <c r="IY8" i="6"/>
  <c r="JC8" i="6" s="1"/>
  <c r="IZ7" i="6"/>
  <c r="IY7" i="6"/>
  <c r="JC7" i="6" s="1"/>
  <c r="IZ6" i="6"/>
  <c r="IY6" i="6"/>
  <c r="JC6" i="6" s="1"/>
  <c r="JC5" i="6"/>
  <c r="IY5" i="6"/>
  <c r="IY4" i="6"/>
  <c r="JC4" i="6" s="1"/>
  <c r="IY3" i="6"/>
  <c r="JC3" i="6" s="1"/>
  <c r="JC2" i="6"/>
  <c r="L2" i="7"/>
  <c r="K3" i="7"/>
  <c r="K4" i="7"/>
  <c r="K5" i="7"/>
  <c r="K6" i="7"/>
  <c r="K2" i="7"/>
  <c r="AB12" i="7"/>
  <c r="AN12" i="7"/>
  <c r="T3" i="7"/>
  <c r="T4" i="7"/>
  <c r="T5" i="7"/>
  <c r="T6" i="7"/>
  <c r="T2" i="7"/>
  <c r="D33" i="7"/>
  <c r="D34" i="7" s="1"/>
  <c r="D21" i="7"/>
  <c r="D22" i="7" s="1"/>
  <c r="F10" i="7"/>
  <c r="E10" i="7"/>
  <c r="D10" i="7"/>
  <c r="C7" i="7"/>
  <c r="C8" i="7" s="1"/>
  <c r="C9" i="7" s="1"/>
  <c r="C10" i="7" s="1"/>
  <c r="X3" i="8"/>
  <c r="X4" i="8"/>
  <c r="X5" i="8"/>
  <c r="X6" i="8"/>
  <c r="X2" i="8"/>
  <c r="D21" i="8"/>
  <c r="D22" i="8" s="1"/>
  <c r="JC27" i="6" l="1"/>
  <c r="IX63" i="6"/>
  <c r="BQ41" i="8"/>
  <c r="BM41" i="8"/>
  <c r="BK41" i="8"/>
  <c r="BI41" i="8"/>
  <c r="AX41" i="8"/>
  <c r="AI41" i="8"/>
  <c r="AF41" i="8"/>
  <c r="S41" i="8"/>
  <c r="N2" i="7"/>
  <c r="N3" i="7"/>
  <c r="N4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3" i="7"/>
  <c r="O22" i="7"/>
  <c r="O21" i="7"/>
  <c r="O20" i="7"/>
  <c r="O19" i="7"/>
  <c r="O18" i="7"/>
  <c r="O17" i="7"/>
  <c r="O16" i="7"/>
  <c r="O15" i="7"/>
  <c r="O14" i="7"/>
  <c r="O12" i="7"/>
  <c r="O11" i="7"/>
  <c r="O9" i="7"/>
  <c r="O8" i="7"/>
  <c r="O7" i="7"/>
  <c r="O6" i="7"/>
  <c r="O5" i="7"/>
  <c r="O4" i="7"/>
  <c r="O3" i="7"/>
  <c r="O2" i="7"/>
  <c r="S3" i="8"/>
  <c r="S4" i="8"/>
  <c r="S5" i="8"/>
  <c r="S6" i="8"/>
  <c r="S7" i="8"/>
  <c r="S8" i="8"/>
  <c r="S9" i="8"/>
  <c r="S11" i="8"/>
  <c r="S12" i="8"/>
  <c r="S14" i="8"/>
  <c r="S15" i="8"/>
  <c r="S16" i="8"/>
  <c r="S17" i="8"/>
  <c r="S18" i="8"/>
  <c r="S19" i="8"/>
  <c r="S20" i="8"/>
  <c r="S21" i="8"/>
  <c r="S22" i="8"/>
  <c r="S23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2" i="8"/>
  <c r="N5" i="7"/>
  <c r="N6" i="7"/>
  <c r="N9" i="7"/>
  <c r="N10" i="7"/>
  <c r="N11" i="7"/>
  <c r="N13" i="7"/>
  <c r="N14" i="7"/>
  <c r="N15" i="7"/>
  <c r="N18" i="7"/>
  <c r="N20" i="7"/>
  <c r="N26" i="7"/>
  <c r="N27" i="7"/>
  <c r="N32" i="7"/>
  <c r="N38" i="7"/>
  <c r="R3" i="8"/>
  <c r="R4" i="8"/>
  <c r="R5" i="8"/>
  <c r="R6" i="8"/>
  <c r="R9" i="8"/>
  <c r="R10" i="8"/>
  <c r="R11" i="8"/>
  <c r="R13" i="8"/>
  <c r="R14" i="8"/>
  <c r="R15" i="8"/>
  <c r="R18" i="8"/>
  <c r="R20" i="8"/>
  <c r="R26" i="8"/>
  <c r="R27" i="8"/>
  <c r="R32" i="8"/>
  <c r="R38" i="8"/>
  <c r="R2" i="8"/>
  <c r="BQ40" i="8"/>
  <c r="BN40" i="8"/>
  <c r="BM40" i="8"/>
  <c r="BK40" i="8"/>
  <c r="BI40" i="8"/>
  <c r="BF40" i="8"/>
  <c r="BD40" i="8"/>
  <c r="BC40" i="8"/>
  <c r="AY40" i="8"/>
  <c r="P40" i="8" s="1"/>
  <c r="AX40" i="8"/>
  <c r="AW40" i="8"/>
  <c r="AU40" i="8"/>
  <c r="AR40" i="8"/>
  <c r="AQ40" i="8"/>
  <c r="AP40" i="8"/>
  <c r="AO40" i="8"/>
  <c r="AM40" i="8"/>
  <c r="AL40" i="8"/>
  <c r="AI40" i="8"/>
  <c r="O40" i="8" s="1"/>
  <c r="AH40" i="8"/>
  <c r="AF40" i="8"/>
  <c r="AD40" i="8"/>
  <c r="M40" i="8" s="1"/>
  <c r="AC40" i="8"/>
  <c r="AB40" i="8"/>
  <c r="BR39" i="8"/>
  <c r="BQ39" i="8"/>
  <c r="BN39" i="8"/>
  <c r="BK39" i="8"/>
  <c r="BD39" i="8"/>
  <c r="BC39" i="8"/>
  <c r="AY39" i="8"/>
  <c r="P39" i="8" s="1"/>
  <c r="AX39" i="8"/>
  <c r="AW39" i="8"/>
  <c r="AU39" i="8"/>
  <c r="AQ39" i="8"/>
  <c r="AP39" i="8"/>
  <c r="AO39" i="8"/>
  <c r="AM39" i="8"/>
  <c r="AL39" i="8"/>
  <c r="AI39" i="8"/>
  <c r="AH39" i="8"/>
  <c r="AG39" i="8"/>
  <c r="M39" i="8" s="1"/>
  <c r="AF39" i="8"/>
  <c r="AC39" i="8"/>
  <c r="AB39" i="8"/>
  <c r="BQ38" i="8"/>
  <c r="BN38" i="8"/>
  <c r="BM38" i="8"/>
  <c r="BL38" i="8"/>
  <c r="BK38" i="8"/>
  <c r="BH38" i="8"/>
  <c r="BD38" i="8"/>
  <c r="AY38" i="8"/>
  <c r="AX38" i="8"/>
  <c r="AU38" i="8"/>
  <c r="AR38" i="8"/>
  <c r="AQ38" i="8"/>
  <c r="AP38" i="8"/>
  <c r="AM38" i="8"/>
  <c r="AL38" i="8"/>
  <c r="AK38" i="8"/>
  <c r="AI38" i="8"/>
  <c r="AH38" i="8"/>
  <c r="AG38" i="8"/>
  <c r="AF38" i="8"/>
  <c r="AB38" i="8"/>
  <c r="BN37" i="8"/>
  <c r="BM37" i="8"/>
  <c r="BL37" i="8"/>
  <c r="BK37" i="8"/>
  <c r="BI37" i="8"/>
  <c r="BF37" i="8"/>
  <c r="M37" i="8" s="1"/>
  <c r="BD37" i="8"/>
  <c r="BC37" i="8"/>
  <c r="R37" i="8" s="1"/>
  <c r="AY37" i="8"/>
  <c r="AX37" i="8"/>
  <c r="AW37" i="8"/>
  <c r="AR37" i="8"/>
  <c r="AQ37" i="8"/>
  <c r="AM37" i="8"/>
  <c r="AL37" i="8"/>
  <c r="AJ37" i="8"/>
  <c r="AI37" i="8"/>
  <c r="AF37" i="8"/>
  <c r="AB37" i="8"/>
  <c r="BQ36" i="8"/>
  <c r="BN36" i="8"/>
  <c r="BM36" i="8"/>
  <c r="BL36" i="8"/>
  <c r="BK36" i="8"/>
  <c r="BI36" i="8"/>
  <c r="BG36" i="8"/>
  <c r="BF36" i="8"/>
  <c r="BD36" i="8"/>
  <c r="BC36" i="8"/>
  <c r="AY36" i="8"/>
  <c r="AX36" i="8"/>
  <c r="AW36" i="8"/>
  <c r="AV36" i="8"/>
  <c r="AR36" i="8"/>
  <c r="AQ36" i="8"/>
  <c r="AP36" i="8"/>
  <c r="AO36" i="8"/>
  <c r="AN36" i="8"/>
  <c r="AM36" i="8"/>
  <c r="AL36" i="8"/>
  <c r="AI36" i="8"/>
  <c r="AH36" i="8"/>
  <c r="AG36" i="8"/>
  <c r="AF36" i="8"/>
  <c r="AD36" i="8"/>
  <c r="AB36" i="8"/>
  <c r="BR35" i="8"/>
  <c r="BQ35" i="8"/>
  <c r="BN35" i="8"/>
  <c r="BM35" i="8"/>
  <c r="BL35" i="8"/>
  <c r="BI35" i="8"/>
  <c r="BD35" i="8"/>
  <c r="BC35" i="8"/>
  <c r="AY35" i="8"/>
  <c r="P35" i="8" s="1"/>
  <c r="AX35" i="8"/>
  <c r="AW35" i="8"/>
  <c r="AV35" i="8"/>
  <c r="AQ35" i="8"/>
  <c r="AO35" i="8"/>
  <c r="AN35" i="8"/>
  <c r="AM35" i="8"/>
  <c r="AL35" i="8"/>
  <c r="AK35" i="8"/>
  <c r="AI35" i="8"/>
  <c r="AH35" i="8"/>
  <c r="AF35" i="8"/>
  <c r="AC35" i="8"/>
  <c r="AB35" i="8"/>
  <c r="BQ34" i="8"/>
  <c r="BN34" i="8"/>
  <c r="BF34" i="8"/>
  <c r="BD34" i="8"/>
  <c r="BC34" i="8"/>
  <c r="AY34" i="8"/>
  <c r="P34" i="8" s="1"/>
  <c r="AX34" i="8"/>
  <c r="AW34" i="8"/>
  <c r="AV34" i="8"/>
  <c r="AU34" i="8"/>
  <c r="AS34" i="8"/>
  <c r="AR34" i="8"/>
  <c r="AQ34" i="8"/>
  <c r="AP34" i="8"/>
  <c r="AM34" i="8"/>
  <c r="AL34" i="8"/>
  <c r="AI34" i="8"/>
  <c r="AH34" i="8"/>
  <c r="AF34" i="8"/>
  <c r="AD34" i="8"/>
  <c r="AC34" i="8"/>
  <c r="AB34" i="8"/>
  <c r="BR33" i="8"/>
  <c r="BQ33" i="8"/>
  <c r="BN33" i="8"/>
  <c r="BF33" i="8"/>
  <c r="BD33" i="8"/>
  <c r="BC33" i="8"/>
  <c r="AY33" i="8"/>
  <c r="AX33" i="8"/>
  <c r="AW33" i="8"/>
  <c r="AU33" i="8"/>
  <c r="AS33" i="8"/>
  <c r="AQ33" i="8"/>
  <c r="AP33" i="8"/>
  <c r="AO33" i="8"/>
  <c r="AN33" i="8"/>
  <c r="AM33" i="8"/>
  <c r="AL33" i="8"/>
  <c r="AK33" i="8"/>
  <c r="AI33" i="8"/>
  <c r="AH33" i="8"/>
  <c r="AG33" i="8"/>
  <c r="AF33" i="8"/>
  <c r="AD33" i="8"/>
  <c r="AC33" i="8"/>
  <c r="AB33" i="8"/>
  <c r="BN32" i="8"/>
  <c r="BJ32" i="8"/>
  <c r="BI32" i="8"/>
  <c r="BH32" i="8"/>
  <c r="BD32" i="8"/>
  <c r="AY32" i="8"/>
  <c r="P32" i="8" s="1"/>
  <c r="AX32" i="8"/>
  <c r="AW32" i="8"/>
  <c r="AQ32" i="8"/>
  <c r="AP32" i="8"/>
  <c r="AM32" i="8"/>
  <c r="AL32" i="8"/>
  <c r="AJ32" i="8"/>
  <c r="AI32" i="8"/>
  <c r="AH32" i="8"/>
  <c r="AG32" i="8"/>
  <c r="M32" i="8" s="1"/>
  <c r="AF32" i="8"/>
  <c r="AB32" i="8"/>
  <c r="BR31" i="8"/>
  <c r="BN31" i="8"/>
  <c r="BD31" i="8"/>
  <c r="BC31" i="8"/>
  <c r="AY31" i="8"/>
  <c r="AX31" i="8"/>
  <c r="AW31" i="8"/>
  <c r="AQ31" i="8"/>
  <c r="AP31" i="8"/>
  <c r="AM31" i="8"/>
  <c r="AL31" i="8"/>
  <c r="AI31" i="8"/>
  <c r="AH31" i="8"/>
  <c r="AG31" i="8"/>
  <c r="M31" i="8" s="1"/>
  <c r="AF31" i="8"/>
  <c r="AC31" i="8"/>
  <c r="AB31" i="8"/>
  <c r="BP30" i="8"/>
  <c r="BN30" i="8"/>
  <c r="BD30" i="8"/>
  <c r="BC30" i="8"/>
  <c r="AY30" i="8"/>
  <c r="P30" i="8" s="1"/>
  <c r="AX30" i="8"/>
  <c r="AW30" i="8"/>
  <c r="AU30" i="8"/>
  <c r="AQ30" i="8"/>
  <c r="AP30" i="8"/>
  <c r="AM30" i="8"/>
  <c r="AL30" i="8"/>
  <c r="AI30" i="8"/>
  <c r="AG30" i="8"/>
  <c r="M30" i="8" s="1"/>
  <c r="AF30" i="8"/>
  <c r="AC30" i="8"/>
  <c r="AB30" i="8"/>
  <c r="BN29" i="8"/>
  <c r="BI29" i="8"/>
  <c r="BD29" i="8"/>
  <c r="BC29" i="8"/>
  <c r="AY29" i="8"/>
  <c r="P29" i="8" s="1"/>
  <c r="AX29" i="8"/>
  <c r="AW29" i="8"/>
  <c r="AR29" i="8"/>
  <c r="AQ29" i="8"/>
  <c r="AP29" i="8"/>
  <c r="AO29" i="8"/>
  <c r="AM29" i="8"/>
  <c r="AL29" i="8"/>
  <c r="AK29" i="8"/>
  <c r="AI29" i="8"/>
  <c r="O29" i="8" s="1"/>
  <c r="AF29" i="8"/>
  <c r="AC29" i="8"/>
  <c r="AB29" i="8"/>
  <c r="BQ28" i="8"/>
  <c r="BN28" i="8"/>
  <c r="BM28" i="8"/>
  <c r="BD28" i="8"/>
  <c r="AZ28" i="8" s="1"/>
  <c r="AY28" i="8"/>
  <c r="P28" i="8" s="1"/>
  <c r="AX28" i="8"/>
  <c r="AW28" i="8"/>
  <c r="AQ28" i="8"/>
  <c r="AP28" i="8"/>
  <c r="AM28" i="8"/>
  <c r="AL28" i="8"/>
  <c r="AI28" i="8"/>
  <c r="AH28" i="8"/>
  <c r="AF28" i="8"/>
  <c r="AC28" i="8"/>
  <c r="AB28" i="8"/>
  <c r="BR27" i="8"/>
  <c r="BN27" i="8"/>
  <c r="BI27" i="8"/>
  <c r="BH27" i="8"/>
  <c r="M27" i="8" s="1"/>
  <c r="BD27" i="8"/>
  <c r="AY27" i="8"/>
  <c r="AX27" i="8"/>
  <c r="AW27" i="8"/>
  <c r="AP27" i="8"/>
  <c r="AO27" i="8"/>
  <c r="AN27" i="8"/>
  <c r="AM27" i="8"/>
  <c r="AL27" i="8"/>
  <c r="AI27" i="8"/>
  <c r="AF27" i="8"/>
  <c r="AB27" i="8"/>
  <c r="BQ26" i="8"/>
  <c r="BN26" i="8"/>
  <c r="BI26" i="8"/>
  <c r="BD26" i="8"/>
  <c r="AZ26" i="8" s="1"/>
  <c r="AY26" i="8"/>
  <c r="P26" i="8" s="1"/>
  <c r="AX26" i="8"/>
  <c r="AW26" i="8"/>
  <c r="AS26" i="8"/>
  <c r="AR26" i="8"/>
  <c r="AQ26" i="8"/>
  <c r="AP26" i="8"/>
  <c r="AO26" i="8"/>
  <c r="AM26" i="8"/>
  <c r="AL26" i="8"/>
  <c r="AI26" i="8"/>
  <c r="O26" i="8" s="1"/>
  <c r="AG26" i="8"/>
  <c r="M26" i="8" s="1"/>
  <c r="AF26" i="8"/>
  <c r="AB26" i="8"/>
  <c r="BQ25" i="8"/>
  <c r="BN25" i="8"/>
  <c r="BI25" i="8"/>
  <c r="BD25" i="8"/>
  <c r="BC25" i="8"/>
  <c r="AY25" i="8"/>
  <c r="AX25" i="8"/>
  <c r="AW25" i="8"/>
  <c r="AT25" i="8"/>
  <c r="AR25" i="8"/>
  <c r="AP25" i="8"/>
  <c r="AM25" i="8"/>
  <c r="AL25" i="8"/>
  <c r="AI25" i="8"/>
  <c r="AF25" i="8"/>
  <c r="AE25" i="8"/>
  <c r="S25" i="8" s="1"/>
  <c r="AC25" i="8"/>
  <c r="AB25" i="8"/>
  <c r="BQ24" i="8"/>
  <c r="BN24" i="8"/>
  <c r="BI24" i="8"/>
  <c r="BH24" i="8"/>
  <c r="M24" i="8" s="1"/>
  <c r="BE24" i="8"/>
  <c r="S24" i="8" s="1"/>
  <c r="BD24" i="8"/>
  <c r="BC24" i="8"/>
  <c r="AY24" i="8"/>
  <c r="P24" i="8" s="1"/>
  <c r="AX24" i="8"/>
  <c r="AW24" i="8"/>
  <c r="AV24" i="8"/>
  <c r="AR24" i="8"/>
  <c r="AQ24" i="8"/>
  <c r="AP24" i="8"/>
  <c r="AM24" i="8"/>
  <c r="AL24" i="8"/>
  <c r="AK24" i="8"/>
  <c r="AI24" i="8"/>
  <c r="AH24" i="8"/>
  <c r="AF24" i="8"/>
  <c r="AC24" i="8"/>
  <c r="AB24" i="8"/>
  <c r="BN23" i="8"/>
  <c r="BK23" i="8"/>
  <c r="BI23" i="8"/>
  <c r="BH23" i="8"/>
  <c r="M23" i="8" s="1"/>
  <c r="BD23" i="8"/>
  <c r="BC23" i="8"/>
  <c r="R23" i="8" s="1"/>
  <c r="AY23" i="8"/>
  <c r="P23" i="8" s="1"/>
  <c r="AX23" i="8"/>
  <c r="AW23" i="8"/>
  <c r="AV23" i="8"/>
  <c r="AU23" i="8"/>
  <c r="AR23" i="8"/>
  <c r="AQ23" i="8"/>
  <c r="AM23" i="8"/>
  <c r="AL23" i="8"/>
  <c r="AK23" i="8"/>
  <c r="AI23" i="8"/>
  <c r="O23" i="8" s="1"/>
  <c r="AH23" i="8"/>
  <c r="AF23" i="8"/>
  <c r="AB23" i="8"/>
  <c r="BN22" i="8"/>
  <c r="BK22" i="8"/>
  <c r="BI22" i="8"/>
  <c r="BD22" i="8"/>
  <c r="BC22" i="8"/>
  <c r="AY22" i="8"/>
  <c r="AX22" i="8"/>
  <c r="AW22" i="8"/>
  <c r="AR22" i="8"/>
  <c r="AQ22" i="8"/>
  <c r="AP22" i="8"/>
  <c r="AN22" i="8"/>
  <c r="AM22" i="8"/>
  <c r="AL22" i="8"/>
  <c r="AI22" i="8"/>
  <c r="AH22" i="8"/>
  <c r="AF22" i="8"/>
  <c r="AC22" i="8"/>
  <c r="AB22" i="8"/>
  <c r="BN21" i="8"/>
  <c r="BK21" i="8"/>
  <c r="BF21" i="8"/>
  <c r="BD21" i="8"/>
  <c r="BC21" i="8"/>
  <c r="AY21" i="8"/>
  <c r="P21" i="8" s="1"/>
  <c r="AX21" i="8"/>
  <c r="AW21" i="8"/>
  <c r="AU21" i="8"/>
  <c r="AQ21" i="8"/>
  <c r="AP21" i="8"/>
  <c r="AM21" i="8"/>
  <c r="AL21" i="8"/>
  <c r="AI21" i="8"/>
  <c r="AH21" i="8"/>
  <c r="AF21" i="8"/>
  <c r="AD21" i="8"/>
  <c r="M21" i="8" s="1"/>
  <c r="AC21" i="8"/>
  <c r="AB21" i="8"/>
  <c r="BR20" i="8"/>
  <c r="BQ20" i="8"/>
  <c r="BN20" i="8"/>
  <c r="BI20" i="8"/>
  <c r="BH20" i="8"/>
  <c r="BD20" i="8"/>
  <c r="AY20" i="8"/>
  <c r="AX20" i="8"/>
  <c r="AQ20" i="8"/>
  <c r="AP20" i="8"/>
  <c r="AM20" i="8"/>
  <c r="AL20" i="8"/>
  <c r="AK20" i="8"/>
  <c r="AI20" i="8"/>
  <c r="AH20" i="8"/>
  <c r="AG20" i="8"/>
  <c r="M20" i="8" s="1"/>
  <c r="AF20" i="8"/>
  <c r="BN19" i="8"/>
  <c r="BA19" i="8" s="1"/>
  <c r="BC19" i="8"/>
  <c r="AZ19" i="8" s="1"/>
  <c r="AY19" i="8"/>
  <c r="P19" i="8" s="1"/>
  <c r="AX19" i="8"/>
  <c r="AM19" i="8"/>
  <c r="AL19" i="8"/>
  <c r="AK19" i="8"/>
  <c r="AI19" i="8"/>
  <c r="AH19" i="8"/>
  <c r="L19" i="8" s="1"/>
  <c r="AF19" i="8"/>
  <c r="BN18" i="8"/>
  <c r="BI18" i="8"/>
  <c r="L18" i="8" s="1"/>
  <c r="AZ18" i="8"/>
  <c r="AY18" i="8"/>
  <c r="P18" i="8" s="1"/>
  <c r="AX18" i="8"/>
  <c r="AV18" i="8"/>
  <c r="AM18" i="8"/>
  <c r="AL18" i="8"/>
  <c r="AF18" i="8"/>
  <c r="X18" i="8" s="1"/>
  <c r="AA18" i="8"/>
  <c r="BN17" i="8"/>
  <c r="BI17" i="8"/>
  <c r="BH17" i="8"/>
  <c r="M17" i="8" s="1"/>
  <c r="BD17" i="8"/>
  <c r="R17" i="8"/>
  <c r="AY17" i="8"/>
  <c r="P17" i="8" s="1"/>
  <c r="AX17" i="8"/>
  <c r="AV17" i="8"/>
  <c r="AQ17" i="8"/>
  <c r="AM17" i="8"/>
  <c r="AL17" i="8"/>
  <c r="O17" i="8" s="1"/>
  <c r="AF17" i="8"/>
  <c r="X17" i="8" s="1"/>
  <c r="BN16" i="8"/>
  <c r="BL16" i="8"/>
  <c r="BI16" i="8"/>
  <c r="BD16" i="8"/>
  <c r="AY16" i="8"/>
  <c r="AX16" i="8"/>
  <c r="AQ16" i="8"/>
  <c r="AP16" i="8"/>
  <c r="AM16" i="8"/>
  <c r="AL16" i="8"/>
  <c r="AK16" i="8"/>
  <c r="AI16" i="8"/>
  <c r="AH16" i="8"/>
  <c r="AG16" i="8"/>
  <c r="M16" i="8" s="1"/>
  <c r="AF16" i="8"/>
  <c r="AC16" i="8"/>
  <c r="AA16" i="8"/>
  <c r="BN15" i="8"/>
  <c r="BL15" i="8"/>
  <c r="BD15" i="8"/>
  <c r="L15" i="8" s="1"/>
  <c r="AY15" i="8"/>
  <c r="P15" i="8" s="1"/>
  <c r="AX15" i="8"/>
  <c r="AV15" i="8"/>
  <c r="AS15" i="8"/>
  <c r="AQ15" i="8"/>
  <c r="AM15" i="8"/>
  <c r="AL15" i="8"/>
  <c r="AF15" i="8"/>
  <c r="X15" i="8" s="1"/>
  <c r="BQ14" i="8"/>
  <c r="BN14" i="8"/>
  <c r="BL14" i="8"/>
  <c r="BI14" i="8"/>
  <c r="BH14" i="8"/>
  <c r="BD14" i="8"/>
  <c r="AY14" i="8"/>
  <c r="P14" i="8" s="1"/>
  <c r="AX14" i="8"/>
  <c r="AV14" i="8"/>
  <c r="AP14" i="8"/>
  <c r="AM14" i="8"/>
  <c r="AL14" i="8"/>
  <c r="O14" i="8" s="1"/>
  <c r="AH14" i="8"/>
  <c r="AG14" i="8"/>
  <c r="M14" i="8" s="1"/>
  <c r="AF14" i="8"/>
  <c r="AB14" i="8"/>
  <c r="BR13" i="8"/>
  <c r="BN13" i="8"/>
  <c r="BM13" i="8"/>
  <c r="BL13" i="8"/>
  <c r="BI13" i="8"/>
  <c r="BF13" i="8"/>
  <c r="M13" i="8" s="1"/>
  <c r="BE13" i="8"/>
  <c r="S13" i="8" s="1"/>
  <c r="BD13" i="8"/>
  <c r="AY13" i="8"/>
  <c r="AX13" i="8"/>
  <c r="AV13" i="8"/>
  <c r="AQ13" i="8"/>
  <c r="AO13" i="8"/>
  <c r="AN13" i="8"/>
  <c r="AM13" i="8"/>
  <c r="AL13" i="8"/>
  <c r="O13" i="8" s="1"/>
  <c r="AH13" i="8"/>
  <c r="AF13" i="8"/>
  <c r="AB13" i="8"/>
  <c r="BR12" i="8"/>
  <c r="BN12" i="8"/>
  <c r="BL12" i="8"/>
  <c r="BI12" i="8"/>
  <c r="BD12" i="8"/>
  <c r="BC12" i="8"/>
  <c r="AX12" i="8"/>
  <c r="AV12" i="8"/>
  <c r="AQ12" i="8"/>
  <c r="AP12" i="8"/>
  <c r="AO12" i="8"/>
  <c r="AM12" i="8"/>
  <c r="AL12" i="8"/>
  <c r="AJ12" i="8"/>
  <c r="P12" i="8" s="1"/>
  <c r="AI12" i="8"/>
  <c r="AF12" i="8"/>
  <c r="AB12" i="8"/>
  <c r="BR11" i="8"/>
  <c r="BN11" i="8"/>
  <c r="BI11" i="8"/>
  <c r="BD11" i="8"/>
  <c r="AY11" i="8"/>
  <c r="AX11" i="8"/>
  <c r="AV11" i="8"/>
  <c r="AM11" i="8"/>
  <c r="AL11" i="8"/>
  <c r="AI11" i="8"/>
  <c r="O11" i="8" s="1"/>
  <c r="AH11" i="8"/>
  <c r="AG11" i="8"/>
  <c r="M11" i="8" s="1"/>
  <c r="AF11" i="8"/>
  <c r="AB11" i="8"/>
  <c r="L11" i="8" s="1"/>
  <c r="BI10" i="8"/>
  <c r="BA10" i="8" s="1"/>
  <c r="BD10" i="8"/>
  <c r="AZ10" i="8" s="1"/>
  <c r="AY10" i="8"/>
  <c r="AV10" i="8"/>
  <c r="AU10" i="8"/>
  <c r="AT10" i="8"/>
  <c r="AS10" i="8"/>
  <c r="AQ10" i="8"/>
  <c r="AP10" i="8"/>
  <c r="AM10" i="8"/>
  <c r="AL10" i="8"/>
  <c r="AK10" i="8"/>
  <c r="AJ10" i="8"/>
  <c r="AI10" i="8"/>
  <c r="AH10" i="8"/>
  <c r="AE10" i="8"/>
  <c r="S10" i="8" s="1"/>
  <c r="AB10" i="8"/>
  <c r="AA10" i="8"/>
  <c r="F10" i="8"/>
  <c r="E10" i="8"/>
  <c r="D10" i="8"/>
  <c r="D33" i="8" s="1"/>
  <c r="D34" i="8" s="1"/>
  <c r="BA9" i="8"/>
  <c r="AZ9" i="8"/>
  <c r="AY9" i="8"/>
  <c r="P9" i="8" s="1"/>
  <c r="AV9" i="8"/>
  <c r="AU9" i="8"/>
  <c r="AQ9" i="8"/>
  <c r="AM9" i="8"/>
  <c r="AJ9" i="8"/>
  <c r="AI9" i="8"/>
  <c r="AF9" i="8"/>
  <c r="AB9" i="8"/>
  <c r="L9" i="8" s="1"/>
  <c r="BD8" i="8"/>
  <c r="BC8" i="8"/>
  <c r="R8" i="8" s="1"/>
  <c r="BA8" i="8"/>
  <c r="AY8" i="8"/>
  <c r="P8" i="8" s="1"/>
  <c r="AV8" i="8"/>
  <c r="AS8" i="8"/>
  <c r="AR8" i="8"/>
  <c r="AP8" i="8"/>
  <c r="AM8" i="8"/>
  <c r="AL8" i="8"/>
  <c r="AK8" i="8"/>
  <c r="AJ8" i="8"/>
  <c r="AI8" i="8"/>
  <c r="O8" i="8" s="1"/>
  <c r="AH8" i="8"/>
  <c r="AB8" i="8"/>
  <c r="BC7" i="8"/>
  <c r="AZ7" i="8" s="1"/>
  <c r="BA7" i="8"/>
  <c r="AY7" i="8"/>
  <c r="AV7" i="8"/>
  <c r="AS7" i="8"/>
  <c r="AP7" i="8"/>
  <c r="AM7" i="8"/>
  <c r="AL7" i="8"/>
  <c r="AK7" i="8"/>
  <c r="AJ7" i="8"/>
  <c r="AI7" i="8"/>
  <c r="O7" i="8" s="1"/>
  <c r="AH7" i="8"/>
  <c r="AB7" i="8"/>
  <c r="L7" i="8" s="1"/>
  <c r="C7" i="8"/>
  <c r="C8" i="8" s="1"/>
  <c r="C9" i="8" s="1"/>
  <c r="C10" i="8" s="1"/>
  <c r="BA6" i="8"/>
  <c r="AZ6" i="8"/>
  <c r="AV6" i="8"/>
  <c r="AM6" i="8"/>
  <c r="O6" i="8" s="1"/>
  <c r="AK6" i="8"/>
  <c r="AJ6" i="8"/>
  <c r="T6" i="8"/>
  <c r="K6" i="8"/>
  <c r="BA5" i="8"/>
  <c r="AZ5" i="8"/>
  <c r="AV5" i="8"/>
  <c r="AI5" i="8"/>
  <c r="O5" i="8" s="1"/>
  <c r="T5" i="8"/>
  <c r="K5" i="8"/>
  <c r="BA4" i="8"/>
  <c r="AZ4" i="8"/>
  <c r="AV4" i="8"/>
  <c r="O4" i="8" s="1"/>
  <c r="T4" i="8"/>
  <c r="K4" i="8"/>
  <c r="BA3" i="8"/>
  <c r="AZ3" i="8"/>
  <c r="AJ3" i="8"/>
  <c r="P3" i="8" s="1"/>
  <c r="AI3" i="8"/>
  <c r="O3" i="8" s="1"/>
  <c r="AA3" i="8"/>
  <c r="T3" i="8" s="1"/>
  <c r="K3" i="8"/>
  <c r="BA2" i="8"/>
  <c r="AZ2" i="8"/>
  <c r="Y2" i="8"/>
  <c r="U2" i="8"/>
  <c r="T2" i="8"/>
  <c r="N2" i="8"/>
  <c r="K2" i="8"/>
  <c r="U2" i="7"/>
  <c r="AZ24" i="7"/>
  <c r="AZ35" i="7"/>
  <c r="BA40" i="7"/>
  <c r="BK40" i="7"/>
  <c r="BJ40" i="7"/>
  <c r="BF40" i="7"/>
  <c r="AZ40" i="7"/>
  <c r="BN40" i="7"/>
  <c r="BH40" i="7"/>
  <c r="BC40" i="7"/>
  <c r="BN39" i="7"/>
  <c r="AZ39" i="7"/>
  <c r="BH39" i="7"/>
  <c r="BO39" i="7"/>
  <c r="BA39" i="7"/>
  <c r="BK39" i="7"/>
  <c r="BK38" i="7"/>
  <c r="BI38" i="7"/>
  <c r="BJ38" i="7"/>
  <c r="BA38" i="7"/>
  <c r="BE38" i="7"/>
  <c r="BN38" i="7"/>
  <c r="BH38" i="7"/>
  <c r="BH37" i="7"/>
  <c r="BC37" i="7"/>
  <c r="BA37" i="7"/>
  <c r="BK37" i="7"/>
  <c r="BF37" i="7"/>
  <c r="BJ37" i="7"/>
  <c r="BI37" i="7"/>
  <c r="AZ37" i="7"/>
  <c r="N37" i="7" s="1"/>
  <c r="BA36" i="7"/>
  <c r="AZ36" i="7"/>
  <c r="N36" i="7" s="1"/>
  <c r="BK36" i="7"/>
  <c r="BN36" i="7"/>
  <c r="BH36" i="7"/>
  <c r="BD36" i="7"/>
  <c r="BC36" i="7"/>
  <c r="BF36" i="7"/>
  <c r="BJ36" i="7"/>
  <c r="BI36" i="7"/>
  <c r="BK35" i="7"/>
  <c r="BI35" i="7"/>
  <c r="BN35" i="7"/>
  <c r="BO35" i="7"/>
  <c r="BB24" i="7"/>
  <c r="O24" i="7" s="1"/>
  <c r="BA35" i="7"/>
  <c r="BF35" i="7"/>
  <c r="BJ35" i="7"/>
  <c r="BK34" i="7"/>
  <c r="BC34" i="7"/>
  <c r="BA34" i="7"/>
  <c r="AZ34" i="7"/>
  <c r="BN34" i="7"/>
  <c r="BN33" i="7"/>
  <c r="AZ33" i="7"/>
  <c r="BA33" i="7"/>
  <c r="BK33" i="7"/>
  <c r="BO33" i="7"/>
  <c r="BC33" i="7"/>
  <c r="AN40" i="7"/>
  <c r="AT40" i="7"/>
  <c r="AD40" i="7"/>
  <c r="AI40" i="7"/>
  <c r="AH40" i="7"/>
  <c r="AE40" i="7"/>
  <c r="AM40" i="7"/>
  <c r="AL40" i="7"/>
  <c r="AV40" i="7"/>
  <c r="AQ40" i="7"/>
  <c r="AK40" i="7"/>
  <c r="AB40" i="7"/>
  <c r="AS40" i="7"/>
  <c r="X40" i="7"/>
  <c r="Z40" i="7"/>
  <c r="Y40" i="7"/>
  <c r="AI39" i="7"/>
  <c r="AH39" i="7"/>
  <c r="AT39" i="7"/>
  <c r="AB39" i="7"/>
  <c r="AM39" i="7"/>
  <c r="AD39" i="7"/>
  <c r="AV39" i="7"/>
  <c r="AL39" i="7"/>
  <c r="AQ39" i="7"/>
  <c r="AE39" i="7"/>
  <c r="AK39" i="7"/>
  <c r="AC39" i="7"/>
  <c r="AS39" i="7"/>
  <c r="X39" i="7"/>
  <c r="Y39" i="7"/>
  <c r="AG38" i="7"/>
  <c r="AC38" i="7"/>
  <c r="AT38" i="7"/>
  <c r="AQ38" i="7"/>
  <c r="AV38" i="7"/>
  <c r="AH38" i="7"/>
  <c r="AD38" i="7"/>
  <c r="AM38" i="7"/>
  <c r="AI38" i="7"/>
  <c r="AN38" i="7"/>
  <c r="AE38" i="7"/>
  <c r="AL38" i="7"/>
  <c r="AB38" i="7"/>
  <c r="X38" i="7"/>
  <c r="AT37" i="7"/>
  <c r="AB37" i="7"/>
  <c r="AM37" i="7"/>
  <c r="AH37" i="7"/>
  <c r="AN37" i="7"/>
  <c r="AV37" i="7"/>
  <c r="AI37" i="7"/>
  <c r="AS37" i="7"/>
  <c r="AE37" i="7"/>
  <c r="AF37" i="7"/>
  <c r="X37" i="7"/>
  <c r="AH36" i="7"/>
  <c r="AB36" i="7"/>
  <c r="AT36" i="7"/>
  <c r="AK36" i="7"/>
  <c r="AN36" i="7"/>
  <c r="AI36" i="7"/>
  <c r="AE36" i="7"/>
  <c r="AV36" i="7"/>
  <c r="AM36" i="7"/>
  <c r="AR36" i="7"/>
  <c r="AJ36" i="7"/>
  <c r="AD36" i="7"/>
  <c r="AS36" i="7"/>
  <c r="X36" i="7"/>
  <c r="AC36" i="7"/>
  <c r="Z36" i="7"/>
  <c r="AL36" i="7"/>
  <c r="X35" i="7"/>
  <c r="AB35" i="7"/>
  <c r="AV35" i="7"/>
  <c r="AT35" i="7"/>
  <c r="AD35" i="7"/>
  <c r="AK35" i="7"/>
  <c r="AH35" i="7"/>
  <c r="AJ35" i="7"/>
  <c r="AM35" i="7"/>
  <c r="AI35" i="7"/>
  <c r="AR35" i="7"/>
  <c r="AE35" i="7"/>
  <c r="AS35" i="7"/>
  <c r="Y35" i="7"/>
  <c r="N35" i="7" s="1"/>
  <c r="AG35" i="7"/>
  <c r="AB34" i="7"/>
  <c r="AV34" i="7"/>
  <c r="AT34" i="7"/>
  <c r="AM34" i="7"/>
  <c r="AH34" i="7"/>
  <c r="AR34" i="7"/>
  <c r="AD34" i="7"/>
  <c r="AI34" i="7"/>
  <c r="AL34" i="7"/>
  <c r="AN34" i="7"/>
  <c r="AO34" i="7"/>
  <c r="AQ34" i="7"/>
  <c r="AS34" i="7"/>
  <c r="AE34" i="7"/>
  <c r="X34" i="7"/>
  <c r="Y34" i="7"/>
  <c r="Z34" i="7"/>
  <c r="AB33" i="7"/>
  <c r="AT33" i="7"/>
  <c r="AC33" i="7"/>
  <c r="AV33" i="7"/>
  <c r="AL33" i="7"/>
  <c r="AH33" i="7"/>
  <c r="AM33" i="7"/>
  <c r="AK33" i="7"/>
  <c r="AD33" i="7"/>
  <c r="Z33" i="7"/>
  <c r="AQ33" i="7"/>
  <c r="AJ33" i="7"/>
  <c r="AI33" i="7"/>
  <c r="AO33" i="7"/>
  <c r="AG33" i="7"/>
  <c r="X33" i="7"/>
  <c r="Y33" i="7"/>
  <c r="AS33" i="7"/>
  <c r="AE33" i="7"/>
  <c r="BE32" i="7"/>
  <c r="BA32" i="7"/>
  <c r="BK32" i="7"/>
  <c r="BG32" i="7"/>
  <c r="BF32" i="7"/>
  <c r="BK31" i="7"/>
  <c r="BO31" i="7"/>
  <c r="AZ31" i="7"/>
  <c r="BA31" i="7"/>
  <c r="BA30" i="7"/>
  <c r="BK30" i="7"/>
  <c r="BM30" i="7"/>
  <c r="AZ30" i="7"/>
  <c r="BF29" i="7"/>
  <c r="AZ29" i="7"/>
  <c r="BK29" i="7"/>
  <c r="BA29" i="7"/>
  <c r="BA28" i="7"/>
  <c r="AW28" i="7" s="1"/>
  <c r="BN28" i="7"/>
  <c r="BK28" i="7"/>
  <c r="BJ28" i="7"/>
  <c r="BA27" i="7"/>
  <c r="BK27" i="7"/>
  <c r="BF27" i="7"/>
  <c r="BO27" i="7"/>
  <c r="BE27" i="7"/>
  <c r="BN26" i="7"/>
  <c r="BA26" i="7"/>
  <c r="AW26" i="7" s="1"/>
  <c r="BF26" i="7"/>
  <c r="BK26" i="7"/>
  <c r="BN25" i="7"/>
  <c r="AZ25" i="7"/>
  <c r="BA25" i="7"/>
  <c r="BK25" i="7"/>
  <c r="BK24" i="7"/>
  <c r="BF25" i="7"/>
  <c r="BF24" i="7"/>
  <c r="BA24" i="7"/>
  <c r="BN24" i="7"/>
  <c r="BE24" i="7"/>
  <c r="AZ23" i="7"/>
  <c r="N23" i="7" s="1"/>
  <c r="BH23" i="7"/>
  <c r="BE23" i="7"/>
  <c r="BA23" i="7"/>
  <c r="BK23" i="7"/>
  <c r="BF23" i="7"/>
  <c r="BK22" i="7"/>
  <c r="BF22" i="7"/>
  <c r="BA22" i="7"/>
  <c r="AZ22" i="7"/>
  <c r="BH22" i="7"/>
  <c r="BA21" i="7"/>
  <c r="AZ21" i="7"/>
  <c r="BH21" i="7"/>
  <c r="BK21" i="7"/>
  <c r="BC21" i="7"/>
  <c r="AB32" i="7"/>
  <c r="AC32" i="7"/>
  <c r="AT32" i="7"/>
  <c r="AH32" i="7"/>
  <c r="AV32" i="7"/>
  <c r="AD32" i="7"/>
  <c r="AM32" i="7"/>
  <c r="AI32" i="7"/>
  <c r="AL32" i="7"/>
  <c r="AS32" i="7"/>
  <c r="AE32" i="7"/>
  <c r="AF32" i="7"/>
  <c r="X32" i="7"/>
  <c r="AD31" i="7"/>
  <c r="AT31" i="7"/>
  <c r="Y31" i="7"/>
  <c r="AB31" i="7"/>
  <c r="AH31" i="7"/>
  <c r="AV31" i="7"/>
  <c r="AI31" i="7"/>
  <c r="AL31" i="7"/>
  <c r="AM31" i="7"/>
  <c r="AS31" i="7"/>
  <c r="AE31" i="7"/>
  <c r="X31" i="7"/>
  <c r="AC31" i="7"/>
  <c r="AT30" i="7"/>
  <c r="AV30" i="7"/>
  <c r="AH30" i="7"/>
  <c r="AQ30" i="7"/>
  <c r="Y30" i="7"/>
  <c r="AI30" i="7"/>
  <c r="AL30" i="7"/>
  <c r="AB30" i="7"/>
  <c r="AM30" i="7"/>
  <c r="AS30" i="7"/>
  <c r="AE30" i="7"/>
  <c r="X30" i="7"/>
  <c r="AC30" i="7"/>
  <c r="AT29" i="7"/>
  <c r="AI29" i="7"/>
  <c r="AH29" i="7"/>
  <c r="AV29" i="7"/>
  <c r="AK29" i="7"/>
  <c r="AN29" i="7"/>
  <c r="AB29" i="7"/>
  <c r="Y29" i="7"/>
  <c r="AL29" i="7"/>
  <c r="AS29" i="7"/>
  <c r="AE29" i="7"/>
  <c r="AM29" i="7"/>
  <c r="X29" i="7"/>
  <c r="AG29" i="7"/>
  <c r="AB28" i="7"/>
  <c r="AT28" i="7"/>
  <c r="AM28" i="7"/>
  <c r="AH28" i="7"/>
  <c r="AL28" i="7"/>
  <c r="AV28" i="7"/>
  <c r="AD28" i="7"/>
  <c r="AI28" i="7"/>
  <c r="Y28" i="7"/>
  <c r="N28" i="7" s="1"/>
  <c r="AS28" i="7"/>
  <c r="AE28" i="7"/>
  <c r="X28" i="7"/>
  <c r="AB27" i="7"/>
  <c r="AT27" i="7"/>
  <c r="AI27" i="7"/>
  <c r="AH27" i="7"/>
  <c r="AV27" i="7"/>
  <c r="AK27" i="7"/>
  <c r="AL27" i="7"/>
  <c r="AJ27" i="7"/>
  <c r="AS27" i="7"/>
  <c r="AE27" i="7"/>
  <c r="X27" i="7"/>
  <c r="AV26" i="7"/>
  <c r="AC26" i="7"/>
  <c r="AT26" i="7"/>
  <c r="AB26" i="7"/>
  <c r="AI26" i="7"/>
  <c r="AH26" i="7"/>
  <c r="AM26" i="7"/>
  <c r="AL26" i="7"/>
  <c r="AN26" i="7"/>
  <c r="AO26" i="7"/>
  <c r="AK26" i="7"/>
  <c r="AS26" i="7"/>
  <c r="AE26" i="7"/>
  <c r="X26" i="7"/>
  <c r="S53" i="7"/>
  <c r="AB25" i="7"/>
  <c r="AT25" i="7"/>
  <c r="AI25" i="7"/>
  <c r="AV25" i="7"/>
  <c r="AH25" i="7"/>
  <c r="AP25" i="7"/>
  <c r="AA25" i="7"/>
  <c r="O25" i="7" s="1"/>
  <c r="AN25" i="7"/>
  <c r="AL25" i="7"/>
  <c r="Y25" i="7"/>
  <c r="AE25" i="7"/>
  <c r="AS25" i="7"/>
  <c r="X25" i="7"/>
  <c r="AV24" i="7"/>
  <c r="AN24" i="7"/>
  <c r="AI24" i="7"/>
  <c r="AB24" i="7"/>
  <c r="AT24" i="7"/>
  <c r="AE24" i="7"/>
  <c r="AH24" i="7"/>
  <c r="AG24" i="7"/>
  <c r="AM24" i="7"/>
  <c r="AR24" i="7"/>
  <c r="Y24" i="7"/>
  <c r="AD24" i="7"/>
  <c r="AL24" i="7"/>
  <c r="AS24" i="7"/>
  <c r="X24" i="7"/>
  <c r="AH23" i="7"/>
  <c r="AT23" i="7"/>
  <c r="AB23" i="7"/>
  <c r="AM23" i="7"/>
  <c r="AV23" i="7"/>
  <c r="AI23" i="7"/>
  <c r="AR23" i="7"/>
  <c r="AD23" i="7"/>
  <c r="AN23" i="7"/>
  <c r="AQ23" i="7"/>
  <c r="AE23" i="7"/>
  <c r="AS23" i="7"/>
  <c r="X23" i="7"/>
  <c r="AG23" i="7"/>
  <c r="AB22" i="7"/>
  <c r="AT22" i="7"/>
  <c r="AN22" i="7"/>
  <c r="AV22" i="7"/>
  <c r="AL22" i="7"/>
  <c r="AH22" i="7"/>
  <c r="AJ22" i="7"/>
  <c r="AI22" i="7"/>
  <c r="AD22" i="7"/>
  <c r="AM22" i="7"/>
  <c r="AE22" i="7"/>
  <c r="Y22" i="7"/>
  <c r="AS22" i="7"/>
  <c r="X22" i="7"/>
  <c r="AB21" i="7"/>
  <c r="AT21" i="7"/>
  <c r="AM21" i="7"/>
  <c r="AI21" i="7"/>
  <c r="AH21" i="7"/>
  <c r="AQ21" i="7"/>
  <c r="Y21" i="7"/>
  <c r="AV21" i="7"/>
  <c r="AD21" i="7"/>
  <c r="AL21" i="7"/>
  <c r="Z21" i="7"/>
  <c r="AS21" i="7"/>
  <c r="X21" i="7"/>
  <c r="AE21" i="7"/>
  <c r="BN20" i="7"/>
  <c r="BE20" i="7"/>
  <c r="BA20" i="7"/>
  <c r="BE17" i="7"/>
  <c r="BA16" i="7"/>
  <c r="AW16" i="7" s="1"/>
  <c r="BA15" i="7"/>
  <c r="BN14" i="7"/>
  <c r="BA14" i="7"/>
  <c r="BE14" i="7"/>
  <c r="AY48" i="7"/>
  <c r="BA13" i="7"/>
  <c r="BB13" i="7"/>
  <c r="O13" i="7" s="1"/>
  <c r="BO13" i="7"/>
  <c r="BC13" i="7"/>
  <c r="BO20" i="7"/>
  <c r="BK20" i="7"/>
  <c r="BF20" i="7"/>
  <c r="AZ19" i="7"/>
  <c r="AW19" i="7" s="1"/>
  <c r="BK19" i="7"/>
  <c r="AX19" i="7" s="1"/>
  <c r="BK18" i="7"/>
  <c r="BF18" i="7"/>
  <c r="K18" i="7" s="1"/>
  <c r="BK17" i="7"/>
  <c r="BF17" i="7"/>
  <c r="N17" i="7"/>
  <c r="BA17" i="7"/>
  <c r="K17" i="7" s="1"/>
  <c r="BK16" i="7"/>
  <c r="BF16" i="7"/>
  <c r="BI16" i="7"/>
  <c r="BK15" i="7"/>
  <c r="BI15" i="7"/>
  <c r="BF14" i="7"/>
  <c r="BK14" i="7"/>
  <c r="BI14" i="7"/>
  <c r="BA12" i="7"/>
  <c r="BK13" i="7"/>
  <c r="BJ13" i="7"/>
  <c r="BI13" i="7"/>
  <c r="BF13" i="7"/>
  <c r="BK12" i="7"/>
  <c r="BO12" i="7"/>
  <c r="BI12" i="7"/>
  <c r="BF12" i="7"/>
  <c r="AZ12" i="7"/>
  <c r="N12" i="7" s="1"/>
  <c r="BA11" i="7"/>
  <c r="AW11" i="7" s="1"/>
  <c r="BK11" i="7"/>
  <c r="BF11" i="7"/>
  <c r="BO11" i="7"/>
  <c r="BF10" i="7"/>
  <c r="AX10" i="7" s="1"/>
  <c r="BA10" i="7"/>
  <c r="AW10" i="7" s="1"/>
  <c r="AZ7" i="7"/>
  <c r="AW7" i="7" s="1"/>
  <c r="AB11" i="7"/>
  <c r="AC20" i="7"/>
  <c r="AC14" i="7"/>
  <c r="AB13" i="7"/>
  <c r="AV10" i="7"/>
  <c r="AA10" i="7"/>
  <c r="O10" i="7" s="1"/>
  <c r="AT20" i="7"/>
  <c r="AT19" i="7"/>
  <c r="AT18" i="7"/>
  <c r="AT17" i="7"/>
  <c r="AT16" i="7"/>
  <c r="AT15" i="7"/>
  <c r="AT14" i="7"/>
  <c r="AT13" i="7"/>
  <c r="AT12" i="7"/>
  <c r="AB20" i="7"/>
  <c r="AB19" i="7"/>
  <c r="AB18" i="7"/>
  <c r="T18" i="7" s="1"/>
  <c r="AB17" i="7"/>
  <c r="AT11" i="7"/>
  <c r="AH20" i="7"/>
  <c r="AG20" i="7"/>
  <c r="AE20" i="7"/>
  <c r="AV20" i="7"/>
  <c r="AI20" i="7"/>
  <c r="AM20" i="7"/>
  <c r="AL20" i="7"/>
  <c r="AD20" i="7"/>
  <c r="AV19" i="7"/>
  <c r="AH19" i="7"/>
  <c r="AI19" i="7"/>
  <c r="AD19" i="7"/>
  <c r="K19" i="7" s="1"/>
  <c r="AE19" i="7"/>
  <c r="AG19" i="7"/>
  <c r="AI18" i="7"/>
  <c r="AH18" i="7"/>
  <c r="AV18" i="7"/>
  <c r="W18" i="7"/>
  <c r="Y16" i="7"/>
  <c r="N16" i="7" s="1"/>
  <c r="W16" i="7"/>
  <c r="AR18" i="7"/>
  <c r="AH17" i="7"/>
  <c r="AI17" i="7"/>
  <c r="AM17" i="7"/>
  <c r="AV17" i="7"/>
  <c r="AR17" i="7"/>
  <c r="AH16" i="7"/>
  <c r="AI16" i="7"/>
  <c r="AM16" i="7"/>
  <c r="AV16" i="7"/>
  <c r="AL16" i="7"/>
  <c r="AE16" i="7"/>
  <c r="AB16" i="7"/>
  <c r="AG16" i="7"/>
  <c r="AD16" i="7"/>
  <c r="AI15" i="7"/>
  <c r="AH15" i="7"/>
  <c r="AV15" i="7"/>
  <c r="AO15" i="7"/>
  <c r="AM15" i="7"/>
  <c r="AB15" i="7"/>
  <c r="AR15" i="7"/>
  <c r="AI14" i="7"/>
  <c r="AH14" i="7"/>
  <c r="AV14" i="7"/>
  <c r="AD14" i="7"/>
  <c r="AR14" i="7"/>
  <c r="AB14" i="7"/>
  <c r="AL14" i="7"/>
  <c r="AK13" i="7"/>
  <c r="AI13" i="7"/>
  <c r="AV13" i="7"/>
  <c r="AM13" i="7"/>
  <c r="AJ13" i="7"/>
  <c r="AR13" i="7"/>
  <c r="AH13" i="7"/>
  <c r="AH12" i="7"/>
  <c r="AI12" i="7"/>
  <c r="AR12" i="7"/>
  <c r="AV12" i="7"/>
  <c r="AE12" i="7"/>
  <c r="AL12" i="7"/>
  <c r="AF12" i="7"/>
  <c r="AK12" i="7"/>
  <c r="AM12" i="7"/>
  <c r="AV11" i="7"/>
  <c r="AI11" i="7"/>
  <c r="AH11" i="7"/>
  <c r="AC11" i="7"/>
  <c r="AD11" i="7"/>
  <c r="AR11" i="7"/>
  <c r="AE11" i="7"/>
  <c r="AP10" i="7"/>
  <c r="X10" i="7"/>
  <c r="AR10" i="7"/>
  <c r="AQ10" i="7"/>
  <c r="AE10" i="7"/>
  <c r="AM10" i="7"/>
  <c r="AI10" i="7"/>
  <c r="AF10" i="7"/>
  <c r="W10" i="7"/>
  <c r="AL10" i="7"/>
  <c r="AH10" i="7"/>
  <c r="AG10" i="7"/>
  <c r="AO10" i="7"/>
  <c r="AV9" i="7"/>
  <c r="AF9" i="7"/>
  <c r="AR9" i="7"/>
  <c r="AI9" i="7"/>
  <c r="AB9" i="7"/>
  <c r="AE9" i="7"/>
  <c r="AC16" i="7"/>
  <c r="X14" i="7"/>
  <c r="X13" i="7"/>
  <c r="AD13" i="7"/>
  <c r="X12" i="7"/>
  <c r="X11" i="7"/>
  <c r="AD10" i="7"/>
  <c r="X9" i="7"/>
  <c r="AM9" i="7"/>
  <c r="AQ9" i="7"/>
  <c r="AH8" i="7"/>
  <c r="AH7" i="7"/>
  <c r="AW18" i="7"/>
  <c r="AX9" i="7"/>
  <c r="AW9" i="7"/>
  <c r="AZ8" i="7"/>
  <c r="N8" i="7" s="1"/>
  <c r="BA8" i="7"/>
  <c r="AW6" i="7"/>
  <c r="AW5" i="7"/>
  <c r="AW4" i="7"/>
  <c r="AW3" i="7"/>
  <c r="AW2" i="7"/>
  <c r="AX8" i="7"/>
  <c r="AX7" i="7"/>
  <c r="AX6" i="7"/>
  <c r="AX5" i="7"/>
  <c r="AX4" i="7"/>
  <c r="AX3" i="7"/>
  <c r="AX2" i="7"/>
  <c r="AD8" i="7"/>
  <c r="AV8" i="7"/>
  <c r="AV7" i="7"/>
  <c r="AL8" i="7"/>
  <c r="AG8" i="7"/>
  <c r="X8" i="7"/>
  <c r="AR8" i="7"/>
  <c r="AE8" i="7"/>
  <c r="AF8" i="7"/>
  <c r="AI8" i="7"/>
  <c r="AN8" i="7"/>
  <c r="AO8" i="7"/>
  <c r="P6" i="7"/>
  <c r="P5" i="7"/>
  <c r="P4" i="7"/>
  <c r="P2" i="7"/>
  <c r="AD7" i="7"/>
  <c r="X7" i="7"/>
  <c r="AO7" i="7"/>
  <c r="AI7" i="7"/>
  <c r="AG7" i="7"/>
  <c r="AF7" i="7"/>
  <c r="AE7" i="7"/>
  <c r="AR7" i="7"/>
  <c r="Q2" i="7"/>
  <c r="AL7" i="7"/>
  <c r="AF6" i="7"/>
  <c r="AU3" i="7"/>
  <c r="AR6" i="7"/>
  <c r="AV6" i="7"/>
  <c r="AU6" i="7"/>
  <c r="AI6" i="7"/>
  <c r="AG6" i="7"/>
  <c r="AE5" i="7"/>
  <c r="AR5" i="7"/>
  <c r="AR4" i="7"/>
  <c r="AU5" i="7"/>
  <c r="AU4" i="7"/>
  <c r="AV3" i="7"/>
  <c r="AE3" i="7"/>
  <c r="AF3" i="7"/>
  <c r="L3" i="7" s="1"/>
  <c r="W3" i="7"/>
  <c r="IL61" i="6"/>
  <c r="IL59" i="6"/>
  <c r="II58" i="6"/>
  <c r="IL58" i="6" s="1"/>
  <c r="IL57" i="6"/>
  <c r="IL56" i="6"/>
  <c r="IL55" i="6"/>
  <c r="IL54" i="6"/>
  <c r="IL53" i="6"/>
  <c r="IL52" i="6"/>
  <c r="IL51" i="6"/>
  <c r="IL50" i="6"/>
  <c r="IL49" i="6"/>
  <c r="II48" i="6"/>
  <c r="IL48" i="6" s="1"/>
  <c r="II47" i="6"/>
  <c r="IL47" i="6" s="1"/>
  <c r="II46" i="6"/>
  <c r="IL45" i="6"/>
  <c r="IK44" i="6"/>
  <c r="IL43" i="6"/>
  <c r="IL42" i="6"/>
  <c r="IL41" i="6"/>
  <c r="IL39" i="6"/>
  <c r="IK39" i="6"/>
  <c r="IL38" i="6"/>
  <c r="IK38" i="6"/>
  <c r="II37" i="6"/>
  <c r="IL37" i="6" s="1"/>
  <c r="IK36" i="6"/>
  <c r="IL36" i="6" s="1"/>
  <c r="IK35" i="6"/>
  <c r="IL35" i="6" s="1"/>
  <c r="IK34" i="6"/>
  <c r="IL34" i="6" s="1"/>
  <c r="IK33" i="6"/>
  <c r="IL33" i="6" s="1"/>
  <c r="IK32" i="6"/>
  <c r="IJ32" i="6"/>
  <c r="IL32" i="6" s="1"/>
  <c r="IL31" i="6"/>
  <c r="IK30" i="6"/>
  <c r="IL30" i="6" s="1"/>
  <c r="IQ26" i="6"/>
  <c r="IN25" i="6"/>
  <c r="IQ25" i="6" s="1"/>
  <c r="IN24" i="6"/>
  <c r="IQ24" i="6" s="1"/>
  <c r="IQ23" i="6"/>
  <c r="IN23" i="6"/>
  <c r="IN22" i="6"/>
  <c r="IQ22" i="6" s="1"/>
  <c r="IN21" i="6"/>
  <c r="IQ21" i="6" s="1"/>
  <c r="IN20" i="6"/>
  <c r="IQ20" i="6" s="1"/>
  <c r="IN19" i="6"/>
  <c r="IQ19" i="6" s="1"/>
  <c r="IQ18" i="6"/>
  <c r="IN18" i="6"/>
  <c r="IM17" i="6"/>
  <c r="IQ17" i="6" s="1"/>
  <c r="IQ16" i="6"/>
  <c r="IQ15" i="6"/>
  <c r="IM15" i="6"/>
  <c r="IM14" i="6"/>
  <c r="IQ14" i="6" s="1"/>
  <c r="IQ13" i="6"/>
  <c r="IM13" i="6"/>
  <c r="IQ12" i="6"/>
  <c r="IQ11" i="6"/>
  <c r="IQ10" i="6"/>
  <c r="IK9" i="6"/>
  <c r="IJ9" i="6"/>
  <c r="IQ9" i="6" s="1"/>
  <c r="IN8" i="6"/>
  <c r="IM8" i="6"/>
  <c r="IQ8" i="6" s="1"/>
  <c r="IN7" i="6"/>
  <c r="IM7" i="6"/>
  <c r="IQ7" i="6" s="1"/>
  <c r="IN6" i="6"/>
  <c r="IM6" i="6"/>
  <c r="IQ6" i="6" s="1"/>
  <c r="IM5" i="6"/>
  <c r="IQ5" i="6" s="1"/>
  <c r="IM4" i="6"/>
  <c r="IQ4" i="6" s="1"/>
  <c r="IM3" i="6"/>
  <c r="IQ3" i="6" s="1"/>
  <c r="IQ2" i="6"/>
  <c r="IA3" i="6"/>
  <c r="IA4" i="6"/>
  <c r="IA5" i="6"/>
  <c r="IA6" i="6"/>
  <c r="IA7" i="6"/>
  <c r="IA8" i="6"/>
  <c r="IA13" i="6"/>
  <c r="IA14" i="6"/>
  <c r="IA15" i="6"/>
  <c r="IA17" i="6"/>
  <c r="O16" i="8" l="1"/>
  <c r="O35" i="8"/>
  <c r="M36" i="8"/>
  <c r="P6" i="8"/>
  <c r="O30" i="8"/>
  <c r="M33" i="8"/>
  <c r="O39" i="8"/>
  <c r="AZ41" i="8"/>
  <c r="M41" i="8"/>
  <c r="P22" i="8"/>
  <c r="O10" i="8"/>
  <c r="O12" i="8"/>
  <c r="P20" i="8"/>
  <c r="O22" i="8"/>
  <c r="L31" i="8"/>
  <c r="O36" i="8"/>
  <c r="P25" i="8"/>
  <c r="P10" i="8"/>
  <c r="O15" i="8"/>
  <c r="O25" i="8"/>
  <c r="O32" i="8"/>
  <c r="O33" i="8"/>
  <c r="P36" i="8"/>
  <c r="L38" i="8"/>
  <c r="O18" i="8"/>
  <c r="O19" i="8"/>
  <c r="O21" i="8"/>
  <c r="P31" i="8"/>
  <c r="M34" i="8"/>
  <c r="L37" i="8"/>
  <c r="P37" i="8"/>
  <c r="O24" i="8"/>
  <c r="P11" i="8"/>
  <c r="P16" i="8"/>
  <c r="O20" i="8"/>
  <c r="L27" i="8"/>
  <c r="P27" i="8"/>
  <c r="O28" i="8"/>
  <c r="L30" i="8"/>
  <c r="P33" i="8"/>
  <c r="M38" i="8"/>
  <c r="O41" i="8"/>
  <c r="P7" i="8"/>
  <c r="O9" i="8"/>
  <c r="L14" i="8"/>
  <c r="O37" i="8"/>
  <c r="P13" i="8"/>
  <c r="O27" i="8"/>
  <c r="O31" i="8"/>
  <c r="O34" i="8"/>
  <c r="O38" i="8"/>
  <c r="AZ38" i="8"/>
  <c r="L34" i="8"/>
  <c r="L35" i="8"/>
  <c r="L39" i="8"/>
  <c r="L13" i="8"/>
  <c r="L16" i="8"/>
  <c r="L12" i="8"/>
  <c r="R28" i="8"/>
  <c r="L28" i="8"/>
  <c r="L20" i="8"/>
  <c r="L41" i="8"/>
  <c r="L40" i="8"/>
  <c r="BA24" i="8"/>
  <c r="R30" i="8"/>
  <c r="L23" i="8"/>
  <c r="L24" i="8"/>
  <c r="L26" i="8"/>
  <c r="L29" i="8"/>
  <c r="L33" i="8"/>
  <c r="L36" i="8"/>
  <c r="L17" i="8"/>
  <c r="L22" i="8"/>
  <c r="L8" i="8"/>
  <c r="L10" i="8"/>
  <c r="L21" i="8"/>
  <c r="L25" i="8"/>
  <c r="L32" i="8"/>
  <c r="X41" i="8"/>
  <c r="AZ16" i="8"/>
  <c r="X13" i="8"/>
  <c r="X23" i="8"/>
  <c r="X24" i="8"/>
  <c r="X26" i="8"/>
  <c r="X29" i="8"/>
  <c r="AZ15" i="8"/>
  <c r="X8" i="8"/>
  <c r="X10" i="8"/>
  <c r="X36" i="8"/>
  <c r="X22" i="8"/>
  <c r="X37" i="8"/>
  <c r="V2" i="8"/>
  <c r="BA41" i="8"/>
  <c r="X16" i="8"/>
  <c r="T41" i="8"/>
  <c r="BA37" i="8"/>
  <c r="AZ12" i="8"/>
  <c r="BA31" i="8"/>
  <c r="X33" i="8"/>
  <c r="K39" i="8"/>
  <c r="X12" i="8"/>
  <c r="X21" i="8"/>
  <c r="R22" i="8"/>
  <c r="X25" i="8"/>
  <c r="BA18" i="8"/>
  <c r="R21" i="8"/>
  <c r="R25" i="8"/>
  <c r="BA30" i="8"/>
  <c r="X20" i="8"/>
  <c r="X34" i="8"/>
  <c r="X32" i="8"/>
  <c r="AZ34" i="8"/>
  <c r="AZ35" i="8"/>
  <c r="X9" i="8"/>
  <c r="X28" i="8"/>
  <c r="T19" i="8"/>
  <c r="G19" i="8" s="1"/>
  <c r="X19" i="8"/>
  <c r="X31" i="8"/>
  <c r="T7" i="8"/>
  <c r="G7" i="8" s="1"/>
  <c r="X7" i="8"/>
  <c r="X38" i="8"/>
  <c r="X35" i="8"/>
  <c r="X39" i="8"/>
  <c r="U41" i="8"/>
  <c r="X11" i="8"/>
  <c r="X14" i="8"/>
  <c r="T27" i="8"/>
  <c r="X27" i="8"/>
  <c r="X30" i="8"/>
  <c r="X40" i="8"/>
  <c r="K41" i="8"/>
  <c r="R41" i="8"/>
  <c r="JC63" i="6"/>
  <c r="IS3" i="6" s="1"/>
  <c r="N31" i="7"/>
  <c r="K20" i="7"/>
  <c r="P8" i="7"/>
  <c r="K8" i="7"/>
  <c r="T8" i="7"/>
  <c r="K12" i="7"/>
  <c r="T12" i="7"/>
  <c r="T20" i="7"/>
  <c r="K30" i="7"/>
  <c r="T30" i="7"/>
  <c r="T14" i="7"/>
  <c r="K14" i="7"/>
  <c r="T16" i="7"/>
  <c r="N22" i="7"/>
  <c r="K28" i="7"/>
  <c r="T28" i="7"/>
  <c r="T31" i="7"/>
  <c r="K31" i="7"/>
  <c r="K38" i="7"/>
  <c r="M38" i="7" s="1"/>
  <c r="T38" i="7"/>
  <c r="T10" i="7"/>
  <c r="K10" i="7"/>
  <c r="K25" i="7"/>
  <c r="T25" i="7"/>
  <c r="T35" i="7"/>
  <c r="K35" i="7"/>
  <c r="T40" i="7"/>
  <c r="K40" i="7"/>
  <c r="K22" i="7"/>
  <c r="T22" i="7"/>
  <c r="K27" i="7"/>
  <c r="T27" i="7"/>
  <c r="T37" i="7"/>
  <c r="K37" i="7"/>
  <c r="K34" i="7"/>
  <c r="T34" i="7"/>
  <c r="AW15" i="7"/>
  <c r="K15" i="7"/>
  <c r="M15" i="7" s="1"/>
  <c r="K16" i="7"/>
  <c r="K32" i="7"/>
  <c r="T32" i="7"/>
  <c r="T29" i="7"/>
  <c r="K29" i="7"/>
  <c r="K9" i="7"/>
  <c r="T9" i="7"/>
  <c r="P17" i="7"/>
  <c r="T17" i="7"/>
  <c r="T33" i="7"/>
  <c r="K33" i="7"/>
  <c r="T13" i="7"/>
  <c r="K13" i="7"/>
  <c r="P15" i="7"/>
  <c r="T15" i="7"/>
  <c r="K23" i="7"/>
  <c r="T23" i="7"/>
  <c r="P7" i="7"/>
  <c r="K7" i="7"/>
  <c r="T7" i="7"/>
  <c r="T21" i="7"/>
  <c r="K21" i="7"/>
  <c r="K26" i="7"/>
  <c r="T26" i="7"/>
  <c r="K36" i="7"/>
  <c r="T36" i="7"/>
  <c r="K39" i="7"/>
  <c r="T39" i="7"/>
  <c r="T11" i="7"/>
  <c r="K11" i="7"/>
  <c r="P19" i="7"/>
  <c r="G19" i="7" s="1"/>
  <c r="T19" i="7"/>
  <c r="K24" i="7"/>
  <c r="T24" i="7"/>
  <c r="N41" i="8"/>
  <c r="Y41" i="8"/>
  <c r="N40" i="7"/>
  <c r="K28" i="8"/>
  <c r="AZ22" i="8"/>
  <c r="AZ25" i="8"/>
  <c r="AZ39" i="8"/>
  <c r="R35" i="8"/>
  <c r="K37" i="8"/>
  <c r="K40" i="8"/>
  <c r="N16" i="8"/>
  <c r="AZ20" i="8"/>
  <c r="T29" i="8"/>
  <c r="BA40" i="8"/>
  <c r="G3" i="8"/>
  <c r="N4" i="8"/>
  <c r="Q4" i="8" s="1"/>
  <c r="T22" i="8"/>
  <c r="R24" i="8"/>
  <c r="R29" i="8"/>
  <c r="R39" i="8"/>
  <c r="AW34" i="7"/>
  <c r="M3" i="7"/>
  <c r="N29" i="7"/>
  <c r="L39" i="7"/>
  <c r="N21" i="7"/>
  <c r="N33" i="7"/>
  <c r="N39" i="7"/>
  <c r="N7" i="7"/>
  <c r="L15" i="7"/>
  <c r="L29" i="7"/>
  <c r="L30" i="7"/>
  <c r="N30" i="7"/>
  <c r="N25" i="7"/>
  <c r="N24" i="7"/>
  <c r="N34" i="7"/>
  <c r="BA36" i="8"/>
  <c r="Q2" i="8"/>
  <c r="R33" i="8"/>
  <c r="K38" i="8"/>
  <c r="AZ40" i="8"/>
  <c r="R40" i="8"/>
  <c r="U33" i="8"/>
  <c r="K16" i="8"/>
  <c r="N18" i="8"/>
  <c r="BA29" i="8"/>
  <c r="R31" i="8"/>
  <c r="R34" i="8"/>
  <c r="K13" i="8"/>
  <c r="BA22" i="8"/>
  <c r="BA23" i="8"/>
  <c r="L33" i="7"/>
  <c r="L7" i="7"/>
  <c r="L14" i="7"/>
  <c r="L18" i="7"/>
  <c r="L26" i="7"/>
  <c r="L32" i="7"/>
  <c r="Y48" i="7"/>
  <c r="L38" i="7"/>
  <c r="L28" i="7"/>
  <c r="L35" i="7"/>
  <c r="L12" i="7"/>
  <c r="L31" i="7"/>
  <c r="L36" i="7"/>
  <c r="L16" i="7"/>
  <c r="L24" i="7"/>
  <c r="L34" i="7"/>
  <c r="L6" i="7"/>
  <c r="M6" i="7" s="1"/>
  <c r="L4" i="7"/>
  <c r="M4" i="7" s="1"/>
  <c r="L21" i="7"/>
  <c r="L40" i="7"/>
  <c r="L23" i="7"/>
  <c r="M23" i="7" s="1"/>
  <c r="N19" i="7"/>
  <c r="L27" i="7"/>
  <c r="L9" i="7"/>
  <c r="M2" i="7"/>
  <c r="L13" i="7"/>
  <c r="L8" i="7"/>
  <c r="L17" i="7"/>
  <c r="L37" i="7"/>
  <c r="L11" i="7"/>
  <c r="L19" i="7"/>
  <c r="L22" i="7"/>
  <c r="L25" i="7"/>
  <c r="AW39" i="7"/>
  <c r="L5" i="7"/>
  <c r="M5" i="7" s="1"/>
  <c r="L10" i="7"/>
  <c r="L20" i="7"/>
  <c r="G5" i="8"/>
  <c r="T11" i="8"/>
  <c r="K19" i="8"/>
  <c r="AZ36" i="8"/>
  <c r="R12" i="8"/>
  <c r="BA14" i="8"/>
  <c r="U24" i="8"/>
  <c r="U29" i="8"/>
  <c r="AZ33" i="8"/>
  <c r="U36" i="8"/>
  <c r="T37" i="8"/>
  <c r="BA39" i="8"/>
  <c r="Y40" i="8"/>
  <c r="G6" i="8"/>
  <c r="K12" i="8"/>
  <c r="U16" i="8"/>
  <c r="BA16" i="8"/>
  <c r="AZ30" i="8"/>
  <c r="U35" i="8"/>
  <c r="R19" i="8"/>
  <c r="K36" i="8"/>
  <c r="U12" i="8"/>
  <c r="AZ21" i="8"/>
  <c r="R7" i="8"/>
  <c r="Z2" i="8"/>
  <c r="K7" i="8"/>
  <c r="K15" i="8"/>
  <c r="BA15" i="8"/>
  <c r="BA21" i="8"/>
  <c r="BA25" i="8"/>
  <c r="AZ29" i="8"/>
  <c r="R36" i="8"/>
  <c r="R16" i="8"/>
  <c r="U7" i="8"/>
  <c r="H7" i="8" s="1"/>
  <c r="T23" i="8"/>
  <c r="K27" i="8"/>
  <c r="AZ27" i="8"/>
  <c r="BA28" i="8"/>
  <c r="H2" i="8"/>
  <c r="K14" i="8"/>
  <c r="AZ14" i="8"/>
  <c r="K21" i="8"/>
  <c r="T26" i="8"/>
  <c r="G26" i="8" s="1"/>
  <c r="BA32" i="8"/>
  <c r="N40" i="8"/>
  <c r="N6" i="8"/>
  <c r="Q6" i="8" s="1"/>
  <c r="T10" i="8"/>
  <c r="G10" i="8" s="1"/>
  <c r="Y12" i="8"/>
  <c r="T17" i="8"/>
  <c r="T24" i="8"/>
  <c r="T34" i="8"/>
  <c r="BA38" i="8"/>
  <c r="G4" i="8"/>
  <c r="K9" i="8"/>
  <c r="Y10" i="8"/>
  <c r="N31" i="8"/>
  <c r="Y36" i="8"/>
  <c r="U39" i="8"/>
  <c r="U19" i="8"/>
  <c r="Y25" i="8"/>
  <c r="Y26" i="8"/>
  <c r="T9" i="8"/>
  <c r="BA11" i="8"/>
  <c r="BA12" i="8"/>
  <c r="BA13" i="8"/>
  <c r="Y15" i="8"/>
  <c r="Z15" i="8" s="1"/>
  <c r="T16" i="8"/>
  <c r="BA17" i="8"/>
  <c r="N25" i="8"/>
  <c r="AZ37" i="8"/>
  <c r="U38" i="8"/>
  <c r="T33" i="8"/>
  <c r="BA34" i="8"/>
  <c r="Y6" i="8"/>
  <c r="Z6" i="8" s="1"/>
  <c r="Y24" i="8"/>
  <c r="W2" i="8"/>
  <c r="N3" i="8"/>
  <c r="Q3" i="8" s="1"/>
  <c r="K10" i="8"/>
  <c r="T15" i="8"/>
  <c r="AZ23" i="8"/>
  <c r="T25" i="8"/>
  <c r="Y27" i="8"/>
  <c r="K34" i="8"/>
  <c r="K35" i="8"/>
  <c r="N36" i="8"/>
  <c r="T39" i="8"/>
  <c r="Y39" i="8"/>
  <c r="U9" i="8"/>
  <c r="H9" i="8" s="1"/>
  <c r="T12" i="8"/>
  <c r="N28" i="8"/>
  <c r="K32" i="8"/>
  <c r="N34" i="8"/>
  <c r="Y17" i="8"/>
  <c r="Z17" i="8" s="1"/>
  <c r="K29" i="8"/>
  <c r="T31" i="8"/>
  <c r="BA33" i="8"/>
  <c r="N39" i="8"/>
  <c r="AW22" i="7"/>
  <c r="G2" i="8"/>
  <c r="BB2" i="8"/>
  <c r="BB3" i="8" s="1"/>
  <c r="BB4" i="8" s="1"/>
  <c r="BB5" i="8" s="1"/>
  <c r="BB6" i="8" s="1"/>
  <c r="BB7" i="8" s="1"/>
  <c r="U6" i="8"/>
  <c r="H6" i="8" s="1"/>
  <c r="AZ8" i="8"/>
  <c r="AZ13" i="8"/>
  <c r="Y18" i="8"/>
  <c r="T20" i="8"/>
  <c r="K25" i="8"/>
  <c r="BA26" i="8"/>
  <c r="Y32" i="8"/>
  <c r="AZ32" i="8"/>
  <c r="T35" i="8"/>
  <c r="BA35" i="8"/>
  <c r="U20" i="8"/>
  <c r="Y20" i="8"/>
  <c r="N20" i="8"/>
  <c r="N5" i="8"/>
  <c r="Q5" i="8" s="1"/>
  <c r="Y5" i="8"/>
  <c r="Z5" i="8" s="1"/>
  <c r="U5" i="8"/>
  <c r="Y7" i="8"/>
  <c r="N7" i="8"/>
  <c r="AZ11" i="8"/>
  <c r="K11" i="8"/>
  <c r="T8" i="8"/>
  <c r="K8" i="8"/>
  <c r="Y4" i="8"/>
  <c r="Z4" i="8" s="1"/>
  <c r="U4" i="8"/>
  <c r="H4" i="8" s="1"/>
  <c r="U8" i="8"/>
  <c r="H8" i="8" s="1"/>
  <c r="U22" i="8"/>
  <c r="N22" i="8"/>
  <c r="Y22" i="8"/>
  <c r="U26" i="8"/>
  <c r="T30" i="8"/>
  <c r="N12" i="8"/>
  <c r="Y28" i="8"/>
  <c r="T32" i="8"/>
  <c r="U34" i="8"/>
  <c r="U3" i="8"/>
  <c r="H3" i="8" s="1"/>
  <c r="Y3" i="8"/>
  <c r="Z3" i="8" s="1"/>
  <c r="Y8" i="8"/>
  <c r="N9" i="8"/>
  <c r="T13" i="8"/>
  <c r="T14" i="8"/>
  <c r="Y21" i="8"/>
  <c r="K22" i="8"/>
  <c r="K23" i="8"/>
  <c r="N24" i="8"/>
  <c r="AZ24" i="8"/>
  <c r="K26" i="8"/>
  <c r="K31" i="8"/>
  <c r="U31" i="8"/>
  <c r="Y31" i="8"/>
  <c r="N38" i="8"/>
  <c r="U21" i="8"/>
  <c r="N21" i="8"/>
  <c r="N32" i="8"/>
  <c r="K17" i="8"/>
  <c r="AZ17" i="8"/>
  <c r="U18" i="8"/>
  <c r="N19" i="8"/>
  <c r="K20" i="8"/>
  <c r="T21" i="8"/>
  <c r="U28" i="8"/>
  <c r="U10" i="8"/>
  <c r="H10" i="8" s="1"/>
  <c r="N10" i="8"/>
  <c r="N11" i="8"/>
  <c r="Y11" i="8"/>
  <c r="BA20" i="8"/>
  <c r="U27" i="8"/>
  <c r="K30" i="8"/>
  <c r="Y35" i="8"/>
  <c r="N35" i="8"/>
  <c r="T36" i="8"/>
  <c r="N30" i="8"/>
  <c r="U13" i="8"/>
  <c r="N13" i="8"/>
  <c r="Y13" i="8"/>
  <c r="U15" i="8"/>
  <c r="N15" i="8"/>
  <c r="N29" i="8"/>
  <c r="Y29" i="8"/>
  <c r="U30" i="8"/>
  <c r="U25" i="8"/>
  <c r="N8" i="8"/>
  <c r="T28" i="8"/>
  <c r="U14" i="8"/>
  <c r="N14" i="8"/>
  <c r="Y14" i="8"/>
  <c r="T18" i="8"/>
  <c r="Y19" i="8"/>
  <c r="BA27" i="8"/>
  <c r="U32" i="8"/>
  <c r="U17" i="8"/>
  <c r="N17" i="8"/>
  <c r="Y9" i="8"/>
  <c r="U11" i="8"/>
  <c r="Y16" i="8"/>
  <c r="K18" i="8"/>
  <c r="U23" i="8"/>
  <c r="N23" i="8"/>
  <c r="Y23" i="8"/>
  <c r="K24" i="8"/>
  <c r="N27" i="8"/>
  <c r="Y30" i="8"/>
  <c r="AZ31" i="8"/>
  <c r="K33" i="8"/>
  <c r="U37" i="8"/>
  <c r="N37" i="8"/>
  <c r="Y37" i="8"/>
  <c r="T38" i="8"/>
  <c r="Y33" i="8"/>
  <c r="T40" i="8"/>
  <c r="Y38" i="8"/>
  <c r="U40" i="8"/>
  <c r="N33" i="8"/>
  <c r="N26" i="8"/>
  <c r="Y34" i="8"/>
  <c r="R2" i="7"/>
  <c r="U13" i="7"/>
  <c r="U25" i="7"/>
  <c r="U23" i="7"/>
  <c r="U30" i="7"/>
  <c r="U15" i="7"/>
  <c r="AX31" i="7"/>
  <c r="U3" i="7"/>
  <c r="V3" i="7" s="1"/>
  <c r="AX28" i="7"/>
  <c r="U33" i="7"/>
  <c r="U37" i="7"/>
  <c r="U24" i="7"/>
  <c r="U32" i="7"/>
  <c r="U35" i="7"/>
  <c r="V35" i="7" s="1"/>
  <c r="U36" i="7"/>
  <c r="U38" i="7"/>
  <c r="V38" i="7" s="1"/>
  <c r="AW36" i="7"/>
  <c r="U14" i="7"/>
  <c r="U16" i="7"/>
  <c r="U26" i="7"/>
  <c r="AX21" i="7"/>
  <c r="AW38" i="7"/>
  <c r="U22" i="7"/>
  <c r="U18" i="7"/>
  <c r="V18" i="7" s="1"/>
  <c r="U7" i="7"/>
  <c r="U12" i="7"/>
  <c r="V12" i="7" s="1"/>
  <c r="U21" i="7"/>
  <c r="U11" i="7"/>
  <c r="U19" i="7"/>
  <c r="U27" i="7"/>
  <c r="AW35" i="7"/>
  <c r="U28" i="7"/>
  <c r="U31" i="7"/>
  <c r="U39" i="7"/>
  <c r="AW37" i="7"/>
  <c r="AX39" i="7"/>
  <c r="U40" i="7"/>
  <c r="U17" i="7"/>
  <c r="U6" i="7"/>
  <c r="V6" i="7" s="1"/>
  <c r="U8" i="7"/>
  <c r="U9" i="7"/>
  <c r="U4" i="7"/>
  <c r="V4" i="7" s="1"/>
  <c r="U5" i="7"/>
  <c r="V5" i="7" s="1"/>
  <c r="U10" i="7"/>
  <c r="V10" i="7" s="1"/>
  <c r="U20" i="7"/>
  <c r="U29" i="7"/>
  <c r="U34" i="7"/>
  <c r="P38" i="7"/>
  <c r="V2" i="7"/>
  <c r="AX34" i="7"/>
  <c r="AX33" i="7"/>
  <c r="AX38" i="7"/>
  <c r="P29" i="7"/>
  <c r="P26" i="7"/>
  <c r="AX29" i="7"/>
  <c r="AX36" i="7"/>
  <c r="AX37" i="7"/>
  <c r="AW40" i="7"/>
  <c r="AX40" i="7"/>
  <c r="AW21" i="7"/>
  <c r="AW25" i="7"/>
  <c r="AW32" i="7"/>
  <c r="AW31" i="7"/>
  <c r="P37" i="7"/>
  <c r="AX35" i="7"/>
  <c r="P35" i="7"/>
  <c r="AX26" i="7"/>
  <c r="AX13" i="7"/>
  <c r="P34" i="7"/>
  <c r="P18" i="7"/>
  <c r="AW23" i="7"/>
  <c r="P40" i="7"/>
  <c r="AW30" i="7"/>
  <c r="P33" i="7"/>
  <c r="P36" i="7"/>
  <c r="AW29" i="7"/>
  <c r="AX32" i="7"/>
  <c r="Q34" i="7"/>
  <c r="P27" i="7"/>
  <c r="Q33" i="7"/>
  <c r="Z48" i="7"/>
  <c r="AX15" i="7"/>
  <c r="AX22" i="7"/>
  <c r="P30" i="7"/>
  <c r="AX24" i="7"/>
  <c r="AW14" i="7"/>
  <c r="Q28" i="7"/>
  <c r="Q30" i="7"/>
  <c r="Q40" i="7"/>
  <c r="AX16" i="7"/>
  <c r="AW33" i="7"/>
  <c r="Q39" i="7"/>
  <c r="P39" i="7"/>
  <c r="Q38" i="7"/>
  <c r="Q37" i="7"/>
  <c r="Q36" i="7"/>
  <c r="Q35" i="7"/>
  <c r="P20" i="7"/>
  <c r="AX20" i="7"/>
  <c r="AW20" i="7"/>
  <c r="AW17" i="7"/>
  <c r="G17" i="7" s="1"/>
  <c r="AW24" i="7"/>
  <c r="AX25" i="7"/>
  <c r="P24" i="7"/>
  <c r="Q32" i="7"/>
  <c r="AX23" i="7"/>
  <c r="P23" i="7"/>
  <c r="AW13" i="7"/>
  <c r="AW27" i="7"/>
  <c r="AX12" i="7"/>
  <c r="Q29" i="7"/>
  <c r="P31" i="7"/>
  <c r="P32" i="7"/>
  <c r="AX27" i="7"/>
  <c r="AX30" i="7"/>
  <c r="Q25" i="7"/>
  <c r="Q23" i="7"/>
  <c r="P25" i="7"/>
  <c r="P28" i="7"/>
  <c r="Q26" i="7"/>
  <c r="Q27" i="7"/>
  <c r="AX11" i="7"/>
  <c r="AX18" i="7"/>
  <c r="Q31" i="7"/>
  <c r="Q24" i="7"/>
  <c r="H24" i="7" s="1"/>
  <c r="Q22" i="7"/>
  <c r="P22" i="7"/>
  <c r="P21" i="7"/>
  <c r="Q21" i="7"/>
  <c r="AW12" i="7"/>
  <c r="AX14" i="7"/>
  <c r="G6" i="7"/>
  <c r="Q16" i="7"/>
  <c r="P9" i="7"/>
  <c r="AX17" i="7"/>
  <c r="Q17" i="7"/>
  <c r="Q20" i="7"/>
  <c r="Q19" i="7"/>
  <c r="H19" i="7" s="1"/>
  <c r="Q18" i="7"/>
  <c r="Q15" i="7"/>
  <c r="Q14" i="7"/>
  <c r="Q12" i="7"/>
  <c r="P16" i="7"/>
  <c r="P11" i="7"/>
  <c r="H2" i="7"/>
  <c r="Q10" i="7"/>
  <c r="H10" i="7" s="1"/>
  <c r="P10" i="7"/>
  <c r="Q13" i="7"/>
  <c r="P14" i="7"/>
  <c r="P13" i="7"/>
  <c r="P12" i="7"/>
  <c r="Q11" i="7"/>
  <c r="G2" i="7"/>
  <c r="Q9" i="7"/>
  <c r="H9" i="7" s="1"/>
  <c r="G5" i="7"/>
  <c r="G7" i="7"/>
  <c r="AW8" i="7"/>
  <c r="AY2" i="7"/>
  <c r="AY3" i="7" s="1"/>
  <c r="AY4" i="7" s="1"/>
  <c r="AY5" i="7" s="1"/>
  <c r="AY6" i="7" s="1"/>
  <c r="AY7" i="7" s="1"/>
  <c r="G4" i="7"/>
  <c r="Q5" i="7"/>
  <c r="H5" i="7" s="1"/>
  <c r="Q3" i="7"/>
  <c r="H3" i="7" s="1"/>
  <c r="Q4" i="7"/>
  <c r="H4" i="7" s="1"/>
  <c r="P3" i="7"/>
  <c r="Q6" i="7"/>
  <c r="H6" i="7" s="1"/>
  <c r="Q8" i="7"/>
  <c r="Q7" i="7"/>
  <c r="H7" i="7" s="1"/>
  <c r="S2" i="7"/>
  <c r="IQ27" i="6"/>
  <c r="IL63" i="6"/>
  <c r="HZ40" i="6"/>
  <c r="HX9" i="6"/>
  <c r="HZ31" i="6"/>
  <c r="HZ41" i="6"/>
  <c r="HZ61" i="6"/>
  <c r="HZ59" i="6"/>
  <c r="HW58" i="6"/>
  <c r="HZ58" i="6" s="1"/>
  <c r="HZ57" i="6"/>
  <c r="HZ56" i="6"/>
  <c r="HZ55" i="6"/>
  <c r="HZ54" i="6"/>
  <c r="HZ53" i="6"/>
  <c r="HZ52" i="6"/>
  <c r="HZ51" i="6"/>
  <c r="HZ50" i="6"/>
  <c r="HZ49" i="6"/>
  <c r="HW48" i="6"/>
  <c r="HZ48" i="6" s="1"/>
  <c r="HW47" i="6"/>
  <c r="HZ47" i="6" s="1"/>
  <c r="HW46" i="6"/>
  <c r="HW45" i="6"/>
  <c r="HZ45" i="6" s="1"/>
  <c r="HY44" i="6"/>
  <c r="HZ44" i="6" s="1"/>
  <c r="HY43" i="6"/>
  <c r="HZ43" i="6" s="1"/>
  <c r="HZ42" i="6"/>
  <c r="HY40" i="6"/>
  <c r="HZ39" i="6"/>
  <c r="HY39" i="6"/>
  <c r="HY38" i="6"/>
  <c r="HZ38" i="6" s="1"/>
  <c r="HW37" i="6"/>
  <c r="HZ37" i="6" s="1"/>
  <c r="HY36" i="6"/>
  <c r="HZ36" i="6" s="1"/>
  <c r="HY35" i="6"/>
  <c r="HZ35" i="6" s="1"/>
  <c r="HZ34" i="6"/>
  <c r="HY34" i="6"/>
  <c r="HY33" i="6"/>
  <c r="HZ33" i="6" s="1"/>
  <c r="HY32" i="6"/>
  <c r="HX32" i="6"/>
  <c r="HZ32" i="6" s="1"/>
  <c r="HY30" i="6"/>
  <c r="HZ30" i="6" s="1"/>
  <c r="IE26" i="6"/>
  <c r="IB25" i="6"/>
  <c r="IE25" i="6" s="1"/>
  <c r="IB24" i="6"/>
  <c r="IE24" i="6" s="1"/>
  <c r="IB23" i="6"/>
  <c r="IE23" i="6" s="1"/>
  <c r="IB22" i="6"/>
  <c r="IE22" i="6" s="1"/>
  <c r="IB21" i="6"/>
  <c r="IE21" i="6" s="1"/>
  <c r="IB20" i="6"/>
  <c r="IE20" i="6" s="1"/>
  <c r="IB19" i="6"/>
  <c r="IE19" i="6" s="1"/>
  <c r="IB18" i="6"/>
  <c r="IE18" i="6" s="1"/>
  <c r="IE17" i="6"/>
  <c r="IE16" i="6"/>
  <c r="IE15" i="6"/>
  <c r="IE14" i="6"/>
  <c r="IE13" i="6"/>
  <c r="IE12" i="6"/>
  <c r="IE11" i="6"/>
  <c r="IE10" i="6"/>
  <c r="IE9" i="6"/>
  <c r="HY9" i="6"/>
  <c r="IB8" i="6"/>
  <c r="IE8" i="6"/>
  <c r="IB7" i="6"/>
  <c r="IE7" i="6"/>
  <c r="IB6" i="6"/>
  <c r="IE6" i="6" s="1"/>
  <c r="IE5" i="6"/>
  <c r="IE4" i="6"/>
  <c r="IE3" i="6"/>
  <c r="IE2" i="6"/>
  <c r="GZ9" i="6"/>
  <c r="FF44" i="6"/>
  <c r="H41" i="8" l="1"/>
  <c r="G41" i="8"/>
  <c r="I41" i="8" s="1"/>
  <c r="H35" i="8"/>
  <c r="Z26" i="8"/>
  <c r="G35" i="8"/>
  <c r="I35" i="8" s="1"/>
  <c r="Z10" i="8"/>
  <c r="Z41" i="8"/>
  <c r="V41" i="8"/>
  <c r="H24" i="8"/>
  <c r="G15" i="8"/>
  <c r="Z25" i="8"/>
  <c r="Z40" i="8"/>
  <c r="H37" i="8"/>
  <c r="H30" i="8"/>
  <c r="H28" i="8"/>
  <c r="H31" i="8"/>
  <c r="G12" i="8"/>
  <c r="Q39" i="8"/>
  <c r="Q41" i="8"/>
  <c r="H40" i="8"/>
  <c r="G34" i="8"/>
  <c r="G29" i="8"/>
  <c r="Q28" i="8"/>
  <c r="G22" i="8"/>
  <c r="Z33" i="8"/>
  <c r="G11" i="8"/>
  <c r="G37" i="8"/>
  <c r="V19" i="8"/>
  <c r="H18" i="8"/>
  <c r="Z9" i="8"/>
  <c r="V20" i="8"/>
  <c r="Q40" i="8"/>
  <c r="Q19" i="8"/>
  <c r="I7" i="8"/>
  <c r="Q33" i="8"/>
  <c r="Q13" i="8"/>
  <c r="H36" i="8"/>
  <c r="I4" i="8"/>
  <c r="H23" i="8"/>
  <c r="V12" i="8"/>
  <c r="Q37" i="8"/>
  <c r="G27" i="8"/>
  <c r="H25" i="8"/>
  <c r="G15" i="7"/>
  <c r="G8" i="7"/>
  <c r="R15" i="7"/>
  <c r="R10" i="7"/>
  <c r="R17" i="7"/>
  <c r="V22" i="7"/>
  <c r="Z35" i="8"/>
  <c r="G23" i="8"/>
  <c r="G39" i="8"/>
  <c r="H13" i="8"/>
  <c r="Q12" i="8"/>
  <c r="V7" i="8"/>
  <c r="H33" i="8"/>
  <c r="Z12" i="8"/>
  <c r="G17" i="8"/>
  <c r="V16" i="8"/>
  <c r="Q16" i="8"/>
  <c r="Q21" i="8"/>
  <c r="H32" i="8"/>
  <c r="Z16" i="8"/>
  <c r="H26" i="8"/>
  <c r="I26" i="8" s="1"/>
  <c r="Q7" i="8"/>
  <c r="H11" i="8"/>
  <c r="Q38" i="8"/>
  <c r="BB8" i="8"/>
  <c r="BB9" i="8" s="1"/>
  <c r="BB10" i="8" s="1"/>
  <c r="BB11" i="8" s="1"/>
  <c r="BB12" i="8" s="1"/>
  <c r="BB13" i="8" s="1"/>
  <c r="BB14" i="8" s="1"/>
  <c r="BB15" i="8" s="1"/>
  <c r="BB16" i="8" s="1"/>
  <c r="BB17" i="8" s="1"/>
  <c r="BB18" i="8" s="1"/>
  <c r="BB19" i="8" s="1"/>
  <c r="BB20" i="8" s="1"/>
  <c r="BB21" i="8" s="1"/>
  <c r="BB22" i="8" s="1"/>
  <c r="BB23" i="8" s="1"/>
  <c r="BB24" i="8" s="1"/>
  <c r="BB25" i="8" s="1"/>
  <c r="BB26" i="8" s="1"/>
  <c r="BB27" i="8" s="1"/>
  <c r="BB28" i="8" s="1"/>
  <c r="BB29" i="8" s="1"/>
  <c r="BB30" i="8" s="1"/>
  <c r="BB31" i="8" s="1"/>
  <c r="BB32" i="8" s="1"/>
  <c r="BB33" i="8" s="1"/>
  <c r="BB34" i="8" s="1"/>
  <c r="BB35" i="8" s="1"/>
  <c r="BB36" i="8" s="1"/>
  <c r="BB37" i="8" s="1"/>
  <c r="BB38" i="8" s="1"/>
  <c r="BB39" i="8" s="1"/>
  <c r="BB40" i="8" s="1"/>
  <c r="BB41" i="8" s="1"/>
  <c r="G25" i="8"/>
  <c r="M35" i="7"/>
  <c r="V36" i="7"/>
  <c r="M27" i="7"/>
  <c r="M30" i="7"/>
  <c r="M24" i="7"/>
  <c r="V20" i="7"/>
  <c r="V27" i="7"/>
  <c r="M29" i="7"/>
  <c r="M39" i="7"/>
  <c r="M9" i="7"/>
  <c r="V25" i="7"/>
  <c r="V16" i="7"/>
  <c r="R13" i="7"/>
  <c r="V29" i="7"/>
  <c r="M34" i="7"/>
  <c r="V13" i="7"/>
  <c r="V39" i="7"/>
  <c r="M31" i="7"/>
  <c r="M20" i="7"/>
  <c r="M18" i="7"/>
  <c r="M25" i="7"/>
  <c r="M13" i="7"/>
  <c r="M28" i="7"/>
  <c r="M22" i="7"/>
  <c r="M26" i="7"/>
  <c r="M7" i="7"/>
  <c r="M36" i="7"/>
  <c r="M17" i="7"/>
  <c r="M32" i="7"/>
  <c r="G38" i="7"/>
  <c r="H39" i="7"/>
  <c r="R40" i="7"/>
  <c r="V34" i="7"/>
  <c r="V30" i="7"/>
  <c r="M16" i="7"/>
  <c r="M11" i="7"/>
  <c r="M19" i="7"/>
  <c r="M40" i="7"/>
  <c r="M14" i="7"/>
  <c r="Q36" i="8"/>
  <c r="Z11" i="8"/>
  <c r="I6" i="8"/>
  <c r="V31" i="8"/>
  <c r="Q18" i="8"/>
  <c r="H29" i="8"/>
  <c r="Q9" i="8"/>
  <c r="Q10" i="8"/>
  <c r="J2" i="8"/>
  <c r="J3" i="8" s="1"/>
  <c r="J4" i="8" s="1"/>
  <c r="Z14" i="8"/>
  <c r="Q14" i="8"/>
  <c r="H34" i="8"/>
  <c r="H19" i="8"/>
  <c r="I19" i="8" s="1"/>
  <c r="G33" i="8"/>
  <c r="H12" i="8"/>
  <c r="H16" i="8"/>
  <c r="V39" i="8"/>
  <c r="H15" i="8"/>
  <c r="H27" i="8"/>
  <c r="H21" i="8"/>
  <c r="H22" i="8"/>
  <c r="Q11" i="8"/>
  <c r="Q25" i="8"/>
  <c r="V24" i="7"/>
  <c r="M21" i="7"/>
  <c r="M8" i="7"/>
  <c r="V21" i="7"/>
  <c r="M37" i="7"/>
  <c r="M10" i="7"/>
  <c r="M33" i="7"/>
  <c r="M12" i="7"/>
  <c r="V29" i="8"/>
  <c r="V25" i="8"/>
  <c r="V37" i="8"/>
  <c r="H39" i="8"/>
  <c r="Z22" i="8"/>
  <c r="Q34" i="8"/>
  <c r="Z32" i="8"/>
  <c r="Z24" i="8"/>
  <c r="Q35" i="8"/>
  <c r="Z31" i="8"/>
  <c r="G16" i="8"/>
  <c r="Z34" i="8"/>
  <c r="Z29" i="8"/>
  <c r="Z7" i="8"/>
  <c r="G31" i="8"/>
  <c r="I31" i="8" s="1"/>
  <c r="Q27" i="8"/>
  <c r="Q29" i="8"/>
  <c r="H14" i="8"/>
  <c r="V24" i="8"/>
  <c r="I2" i="8"/>
  <c r="Z39" i="8"/>
  <c r="Q24" i="8"/>
  <c r="H17" i="8"/>
  <c r="Q15" i="8"/>
  <c r="G20" i="8"/>
  <c r="Z36" i="8"/>
  <c r="Q20" i="8"/>
  <c r="V34" i="8"/>
  <c r="H38" i="8"/>
  <c r="V9" i="8"/>
  <c r="G9" i="8"/>
  <c r="I9" i="8" s="1"/>
  <c r="V33" i="7"/>
  <c r="Z23" i="8"/>
  <c r="V11" i="8"/>
  <c r="Z27" i="8"/>
  <c r="V33" i="8"/>
  <c r="Q31" i="8"/>
  <c r="V17" i="8"/>
  <c r="Q32" i="8"/>
  <c r="Q26" i="8"/>
  <c r="V6" i="8"/>
  <c r="Q8" i="8"/>
  <c r="I3" i="8"/>
  <c r="V32" i="7"/>
  <c r="W3" i="8"/>
  <c r="W4" i="8" s="1"/>
  <c r="W5" i="8" s="1"/>
  <c r="W6" i="8" s="1"/>
  <c r="W7" i="8" s="1"/>
  <c r="W8" i="8" s="1"/>
  <c r="W9" i="8" s="1"/>
  <c r="W10" i="8" s="1"/>
  <c r="W11" i="8" s="1"/>
  <c r="W12" i="8" s="1"/>
  <c r="W13" i="8" s="1"/>
  <c r="W14" i="8" s="1"/>
  <c r="W15" i="8" s="1"/>
  <c r="W16" i="8" s="1"/>
  <c r="W17" i="8" s="1"/>
  <c r="W18" i="8" s="1"/>
  <c r="W19" i="8" s="1"/>
  <c r="W20" i="8" s="1"/>
  <c r="W21" i="8" s="1"/>
  <c r="W22" i="8" s="1"/>
  <c r="W23" i="8" s="1"/>
  <c r="W24" i="8" s="1"/>
  <c r="W25" i="8" s="1"/>
  <c r="W26" i="8" s="1"/>
  <c r="W27" i="8" s="1"/>
  <c r="W28" i="8" s="1"/>
  <c r="W29" i="8" s="1"/>
  <c r="W30" i="8" s="1"/>
  <c r="W31" i="8" s="1"/>
  <c r="W32" i="8" s="1"/>
  <c r="W33" i="8" s="1"/>
  <c r="W34" i="8" s="1"/>
  <c r="W35" i="8" s="1"/>
  <c r="W36" i="8" s="1"/>
  <c r="W37" i="8" s="1"/>
  <c r="W38" i="8" s="1"/>
  <c r="W39" i="8" s="1"/>
  <c r="W40" i="8" s="1"/>
  <c r="W41" i="8" s="1"/>
  <c r="H37" i="7"/>
  <c r="Z18" i="8"/>
  <c r="Z21" i="8"/>
  <c r="V35" i="8"/>
  <c r="G24" i="8"/>
  <c r="I24" i="8" s="1"/>
  <c r="Z13" i="8"/>
  <c r="Q30" i="8"/>
  <c r="V10" i="8"/>
  <c r="G40" i="8"/>
  <c r="V40" i="8"/>
  <c r="V4" i="8"/>
  <c r="V27" i="8"/>
  <c r="G21" i="8"/>
  <c r="V21" i="8"/>
  <c r="G32" i="8"/>
  <c r="V32" i="8"/>
  <c r="Q17" i="8"/>
  <c r="H20" i="8"/>
  <c r="I10" i="8"/>
  <c r="Z37" i="8"/>
  <c r="V28" i="8"/>
  <c r="G28" i="8"/>
  <c r="V26" i="8"/>
  <c r="Z8" i="8"/>
  <c r="G14" i="8"/>
  <c r="V14" i="8"/>
  <c r="G38" i="8"/>
  <c r="V38" i="8"/>
  <c r="Z38" i="8"/>
  <c r="G13" i="8"/>
  <c r="V13" i="8"/>
  <c r="V15" i="8"/>
  <c r="G36" i="8"/>
  <c r="V36" i="8"/>
  <c r="Q23" i="8"/>
  <c r="G30" i="8"/>
  <c r="V30" i="8"/>
  <c r="Z19" i="8"/>
  <c r="V23" i="8"/>
  <c r="Q22" i="8"/>
  <c r="Z30" i="8"/>
  <c r="V8" i="8"/>
  <c r="G8" i="8"/>
  <c r="I8" i="8" s="1"/>
  <c r="G18" i="8"/>
  <c r="V18" i="8"/>
  <c r="H5" i="8"/>
  <c r="I5" i="8" s="1"/>
  <c r="V5" i="8"/>
  <c r="Z28" i="8"/>
  <c r="Z20" i="8"/>
  <c r="V22" i="8"/>
  <c r="V3" i="8"/>
  <c r="V26" i="7"/>
  <c r="V7" i="7"/>
  <c r="V9" i="7"/>
  <c r="V8" i="7"/>
  <c r="V37" i="7"/>
  <c r="V15" i="7"/>
  <c r="V40" i="7"/>
  <c r="V23" i="7"/>
  <c r="V11" i="7"/>
  <c r="I5" i="7"/>
  <c r="V28" i="7"/>
  <c r="V19" i="7"/>
  <c r="I7" i="7"/>
  <c r="V17" i="7"/>
  <c r="R27" i="7"/>
  <c r="H34" i="7"/>
  <c r="R7" i="7"/>
  <c r="V14" i="7"/>
  <c r="H28" i="7"/>
  <c r="H31" i="7"/>
  <c r="R30" i="7"/>
  <c r="I19" i="7"/>
  <c r="I2" i="7"/>
  <c r="I4" i="7"/>
  <c r="I6" i="7"/>
  <c r="R33" i="7"/>
  <c r="V31" i="7"/>
  <c r="G11" i="7"/>
  <c r="R11" i="7"/>
  <c r="G9" i="7"/>
  <c r="I9" i="7" s="1"/>
  <c r="R9" i="7"/>
  <c r="R24" i="7"/>
  <c r="G35" i="7"/>
  <c r="R35" i="7"/>
  <c r="G37" i="7"/>
  <c r="R37" i="7"/>
  <c r="G26" i="7"/>
  <c r="R26" i="7"/>
  <c r="R14" i="7"/>
  <c r="H21" i="7"/>
  <c r="G28" i="7"/>
  <c r="R28" i="7"/>
  <c r="R6" i="7"/>
  <c r="G36" i="7"/>
  <c r="R36" i="7"/>
  <c r="R31" i="7"/>
  <c r="G39" i="7"/>
  <c r="R39" i="7"/>
  <c r="R12" i="7"/>
  <c r="R29" i="7"/>
  <c r="H8" i="7"/>
  <c r="I8" i="7" s="1"/>
  <c r="R8" i="7"/>
  <c r="H13" i="7"/>
  <c r="G21" i="7"/>
  <c r="R21" i="7"/>
  <c r="R25" i="7"/>
  <c r="R20" i="7"/>
  <c r="H40" i="7"/>
  <c r="H33" i="7"/>
  <c r="G18" i="7"/>
  <c r="R18" i="7"/>
  <c r="R38" i="7"/>
  <c r="R19" i="7"/>
  <c r="G16" i="7"/>
  <c r="R16" i="7"/>
  <c r="G22" i="7"/>
  <c r="R22" i="7"/>
  <c r="R23" i="7"/>
  <c r="R5" i="7"/>
  <c r="R32" i="7"/>
  <c r="G34" i="7"/>
  <c r="R34" i="7"/>
  <c r="G3" i="7"/>
  <c r="I3" i="7" s="1"/>
  <c r="R3" i="7"/>
  <c r="H36" i="7"/>
  <c r="R4" i="7"/>
  <c r="G25" i="7"/>
  <c r="G31" i="7"/>
  <c r="H20" i="7"/>
  <c r="H29" i="7"/>
  <c r="G29" i="7"/>
  <c r="G14" i="7"/>
  <c r="H26" i="7"/>
  <c r="G20" i="7"/>
  <c r="G40" i="7"/>
  <c r="H38" i="7"/>
  <c r="G30" i="7"/>
  <c r="H35" i="7"/>
  <c r="G33" i="7"/>
  <c r="G32" i="7"/>
  <c r="H25" i="7"/>
  <c r="G27" i="7"/>
  <c r="G23" i="7"/>
  <c r="H32" i="7"/>
  <c r="H30" i="7"/>
  <c r="H22" i="7"/>
  <c r="H15" i="7"/>
  <c r="I15" i="7" s="1"/>
  <c r="H16" i="7"/>
  <c r="G24" i="7"/>
  <c r="I24" i="7" s="1"/>
  <c r="G13" i="7"/>
  <c r="H12" i="7"/>
  <c r="H11" i="7"/>
  <c r="H23" i="7"/>
  <c r="H27" i="7"/>
  <c r="H18" i="7"/>
  <c r="G12" i="7"/>
  <c r="H17" i="7"/>
  <c r="I17" i="7" s="1"/>
  <c r="H14" i="7"/>
  <c r="J2" i="7"/>
  <c r="G10" i="7"/>
  <c r="I10" i="7" s="1"/>
  <c r="AY8" i="7"/>
  <c r="AY9" i="7" s="1"/>
  <c r="AY10" i="7" s="1"/>
  <c r="S3" i="7"/>
  <c r="S4" i="7" s="1"/>
  <c r="S5" i="7" s="1"/>
  <c r="IQ63" i="6"/>
  <c r="IG3" i="6" s="1"/>
  <c r="IE27" i="6"/>
  <c r="HZ63" i="6"/>
  <c r="I11" i="8" l="1"/>
  <c r="I37" i="8"/>
  <c r="I28" i="8"/>
  <c r="I15" i="8"/>
  <c r="I18" i="8"/>
  <c r="I30" i="8"/>
  <c r="I40" i="8"/>
  <c r="I12" i="8"/>
  <c r="I23" i="8"/>
  <c r="I27" i="8"/>
  <c r="I29" i="8"/>
  <c r="I39" i="8"/>
  <c r="I34" i="8"/>
  <c r="I22" i="8"/>
  <c r="I36" i="8"/>
  <c r="I25" i="8"/>
  <c r="I17" i="8"/>
  <c r="I13" i="8"/>
  <c r="I33" i="8"/>
  <c r="I38" i="8"/>
  <c r="I32" i="8"/>
  <c r="I21" i="8"/>
  <c r="I18" i="7"/>
  <c r="I38" i="7"/>
  <c r="I39" i="7"/>
  <c r="I16" i="8"/>
  <c r="I33" i="7"/>
  <c r="I14" i="8"/>
  <c r="I20" i="8"/>
  <c r="I31" i="7"/>
  <c r="I30" i="7"/>
  <c r="I26" i="7"/>
  <c r="I32" i="7"/>
  <c r="I13" i="7"/>
  <c r="I37" i="7"/>
  <c r="J5" i="8"/>
  <c r="J6" i="8" s="1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I11" i="7"/>
  <c r="I25" i="7"/>
  <c r="I12" i="7"/>
  <c r="I23" i="7"/>
  <c r="I22" i="7"/>
  <c r="I40" i="7"/>
  <c r="I20" i="7"/>
  <c r="I36" i="7"/>
  <c r="I35" i="7"/>
  <c r="I16" i="7"/>
  <c r="I21" i="7"/>
  <c r="I27" i="7"/>
  <c r="I14" i="7"/>
  <c r="I29" i="7"/>
  <c r="I34" i="7"/>
  <c r="I28" i="7"/>
  <c r="J3" i="7"/>
  <c r="J4" i="7" s="1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AY11" i="7"/>
  <c r="AY12" i="7" s="1"/>
  <c r="AY13" i="7" s="1"/>
  <c r="AY14" i="7" s="1"/>
  <c r="AY15" i="7" s="1"/>
  <c r="AY16" i="7" s="1"/>
  <c r="AY17" i="7" s="1"/>
  <c r="AY18" i="7" s="1"/>
  <c r="AY19" i="7" s="1"/>
  <c r="AY20" i="7" s="1"/>
  <c r="AY21" i="7" s="1"/>
  <c r="AY22" i="7" s="1"/>
  <c r="AY23" i="7" s="1"/>
  <c r="AY24" i="7" s="1"/>
  <c r="AY25" i="7" s="1"/>
  <c r="AY26" i="7" s="1"/>
  <c r="AY27" i="7" s="1"/>
  <c r="AY28" i="7" s="1"/>
  <c r="AY29" i="7" s="1"/>
  <c r="AY30" i="7" s="1"/>
  <c r="AY31" i="7" s="1"/>
  <c r="AY32" i="7" s="1"/>
  <c r="AY33" i="7" s="1"/>
  <c r="AY34" i="7" s="1"/>
  <c r="AY35" i="7" s="1"/>
  <c r="AY36" i="7" s="1"/>
  <c r="S6" i="7"/>
  <c r="IE63" i="6"/>
  <c r="HU3" i="6" s="1"/>
  <c r="AY37" i="7" l="1"/>
  <c r="S7" i="7"/>
  <c r="GP39" i="6"/>
  <c r="GP44" i="6"/>
  <c r="HN61" i="6"/>
  <c r="HN59" i="6"/>
  <c r="HK58" i="6"/>
  <c r="HN58" i="6" s="1"/>
  <c r="HN57" i="6"/>
  <c r="HN56" i="6"/>
  <c r="HN55" i="6"/>
  <c r="HN54" i="6"/>
  <c r="HN53" i="6"/>
  <c r="HN52" i="6"/>
  <c r="HN51" i="6"/>
  <c r="HN50" i="6"/>
  <c r="HN49" i="6"/>
  <c r="HK48" i="6"/>
  <c r="HN48" i="6" s="1"/>
  <c r="HN47" i="6"/>
  <c r="HK47" i="6"/>
  <c r="HK46" i="6"/>
  <c r="HK45" i="6"/>
  <c r="HN45" i="6" s="1"/>
  <c r="HM44" i="6"/>
  <c r="HN44" i="6" s="1"/>
  <c r="HM43" i="6"/>
  <c r="HN42" i="6"/>
  <c r="HM40" i="6"/>
  <c r="HN40" i="6" s="1"/>
  <c r="HN39" i="6"/>
  <c r="HM39" i="6"/>
  <c r="HM38" i="6"/>
  <c r="HN38" i="6" s="1"/>
  <c r="HK37" i="6"/>
  <c r="HN37" i="6" s="1"/>
  <c r="HM36" i="6"/>
  <c r="HN36" i="6" s="1"/>
  <c r="HM35" i="6"/>
  <c r="HN34" i="6"/>
  <c r="HM34" i="6"/>
  <c r="HM33" i="6"/>
  <c r="HN33" i="6" s="1"/>
  <c r="HM32" i="6"/>
  <c r="HL32" i="6"/>
  <c r="HN32" i="6" s="1"/>
  <c r="HM30" i="6"/>
  <c r="HN30" i="6" s="1"/>
  <c r="HS26" i="6"/>
  <c r="HP25" i="6"/>
  <c r="HS25" i="6" s="1"/>
  <c r="HP24" i="6"/>
  <c r="HS24" i="6" s="1"/>
  <c r="HP23" i="6"/>
  <c r="HS23" i="6" s="1"/>
  <c r="HP22" i="6"/>
  <c r="HS22" i="6" s="1"/>
  <c r="HP21" i="6"/>
  <c r="HS21" i="6" s="1"/>
  <c r="HP20" i="6"/>
  <c r="HS20" i="6" s="1"/>
  <c r="HP19" i="6"/>
  <c r="HS19" i="6" s="1"/>
  <c r="HP18" i="6"/>
  <c r="HS18" i="6" s="1"/>
  <c r="HO17" i="6"/>
  <c r="HS17" i="6" s="1"/>
  <c r="HS16" i="6"/>
  <c r="HS15" i="6"/>
  <c r="HO15" i="6"/>
  <c r="HO14" i="6"/>
  <c r="HS14" i="6" s="1"/>
  <c r="HO13" i="6"/>
  <c r="HS13" i="6" s="1"/>
  <c r="HL12" i="6"/>
  <c r="HS12" i="6" s="1"/>
  <c r="HS11" i="6"/>
  <c r="HS10" i="6"/>
  <c r="HS9" i="6"/>
  <c r="HM9" i="6"/>
  <c r="HL9" i="6"/>
  <c r="HP8" i="6"/>
  <c r="HO8" i="6"/>
  <c r="HS8" i="6" s="1"/>
  <c r="HP7" i="6"/>
  <c r="HO7" i="6"/>
  <c r="HS7" i="6" s="1"/>
  <c r="HP6" i="6"/>
  <c r="HS6" i="6" s="1"/>
  <c r="HO6" i="6"/>
  <c r="HO5" i="6"/>
  <c r="HS5" i="6" s="1"/>
  <c r="HO4" i="6"/>
  <c r="HS4" i="6" s="1"/>
  <c r="HO3" i="6"/>
  <c r="HS3" i="6" s="1"/>
  <c r="HS2" i="6"/>
  <c r="GP42" i="6"/>
  <c r="GP38" i="6"/>
  <c r="AY38" i="7" l="1"/>
  <c r="S8" i="7"/>
  <c r="S9" i="7" s="1"/>
  <c r="HS27" i="6"/>
  <c r="HN63" i="6"/>
  <c r="AY39" i="7" l="1"/>
  <c r="S10" i="7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HS63" i="6"/>
  <c r="HI3" i="6" s="1"/>
  <c r="AY40" i="7" l="1"/>
  <c r="AY49" i="7" s="1"/>
  <c r="S21" i="7"/>
  <c r="S22" i="7" s="1"/>
  <c r="S23" i="7" s="1"/>
  <c r="HD25" i="6"/>
  <c r="HG25" i="6" s="1"/>
  <c r="HD24" i="6"/>
  <c r="HG24" i="6" s="1"/>
  <c r="GZ12" i="6"/>
  <c r="HG12" i="6" s="1"/>
  <c r="HB61" i="6"/>
  <c r="HB59" i="6"/>
  <c r="GY58" i="6"/>
  <c r="HB58" i="6" s="1"/>
  <c r="HB57" i="6"/>
  <c r="HB56" i="6"/>
  <c r="HB55" i="6"/>
  <c r="HB54" i="6"/>
  <c r="HB53" i="6"/>
  <c r="HB52" i="6"/>
  <c r="HB51" i="6"/>
  <c r="HB50" i="6"/>
  <c r="HB49" i="6"/>
  <c r="GY48" i="6"/>
  <c r="HB48" i="6" s="1"/>
  <c r="GY47" i="6"/>
  <c r="HB47" i="6" s="1"/>
  <c r="GY46" i="6"/>
  <c r="GY45" i="6"/>
  <c r="HB45" i="6" s="1"/>
  <c r="HA44" i="6"/>
  <c r="HB44" i="6" s="1"/>
  <c r="HA43" i="6"/>
  <c r="HB43" i="6" s="1"/>
  <c r="HB42" i="6"/>
  <c r="HA40" i="6"/>
  <c r="HB40" i="6" s="1"/>
  <c r="HA39" i="6"/>
  <c r="HB39" i="6" s="1"/>
  <c r="HA38" i="6"/>
  <c r="HB38" i="6" s="1"/>
  <c r="GY37" i="6"/>
  <c r="HB37" i="6" s="1"/>
  <c r="HA36" i="6"/>
  <c r="HB36" i="6" s="1"/>
  <c r="HA35" i="6"/>
  <c r="HB35" i="6" s="1"/>
  <c r="HA34" i="6"/>
  <c r="HB34" i="6" s="1"/>
  <c r="HA33" i="6"/>
  <c r="HB33" i="6" s="1"/>
  <c r="HA32" i="6"/>
  <c r="GZ32" i="6"/>
  <c r="HB32" i="6" s="1"/>
  <c r="HA30" i="6"/>
  <c r="HB30" i="6" s="1"/>
  <c r="HG26" i="6"/>
  <c r="HD23" i="6"/>
  <c r="HG23" i="6" s="1"/>
  <c r="HD22" i="6"/>
  <c r="HG22" i="6" s="1"/>
  <c r="HD21" i="6"/>
  <c r="HG21" i="6" s="1"/>
  <c r="HD20" i="6"/>
  <c r="HG20" i="6" s="1"/>
  <c r="HD19" i="6"/>
  <c r="HG19" i="6" s="1"/>
  <c r="HD18" i="6"/>
  <c r="HG18" i="6" s="1"/>
  <c r="HC17" i="6"/>
  <c r="HG17" i="6" s="1"/>
  <c r="HG16" i="6"/>
  <c r="HC15" i="6"/>
  <c r="HG15" i="6" s="1"/>
  <c r="HC14" i="6"/>
  <c r="HG14" i="6" s="1"/>
  <c r="HC13" i="6"/>
  <c r="HG13" i="6" s="1"/>
  <c r="HG11" i="6"/>
  <c r="HG10" i="6"/>
  <c r="HA9" i="6"/>
  <c r="HG9" i="6"/>
  <c r="HD8" i="6"/>
  <c r="HC8" i="6"/>
  <c r="HG8" i="6" s="1"/>
  <c r="HD7" i="6"/>
  <c r="HC7" i="6"/>
  <c r="HG7" i="6" s="1"/>
  <c r="HD6" i="6"/>
  <c r="HC6" i="6"/>
  <c r="HG6" i="6" s="1"/>
  <c r="HC5" i="6"/>
  <c r="HG5" i="6" s="1"/>
  <c r="HC4" i="6"/>
  <c r="HG4" i="6" s="1"/>
  <c r="HC3" i="6"/>
  <c r="HG3" i="6" s="1"/>
  <c r="HG2" i="6"/>
  <c r="GN9" i="6"/>
  <c r="GO9" i="6"/>
  <c r="GU9" i="6" s="1"/>
  <c r="GP59" i="6"/>
  <c r="GP57" i="6"/>
  <c r="GM56" i="6"/>
  <c r="GP56" i="6" s="1"/>
  <c r="GP55" i="6"/>
  <c r="GP54" i="6"/>
  <c r="GP53" i="6"/>
  <c r="GP52" i="6"/>
  <c r="GP51" i="6"/>
  <c r="GP50" i="6"/>
  <c r="GP49" i="6"/>
  <c r="GP48" i="6"/>
  <c r="GP47" i="6"/>
  <c r="GM46" i="6"/>
  <c r="GP46" i="6" s="1"/>
  <c r="GM45" i="6"/>
  <c r="GP45" i="6" s="1"/>
  <c r="GM44" i="6"/>
  <c r="GM43" i="6"/>
  <c r="GP43" i="6" s="1"/>
  <c r="GO42" i="6"/>
  <c r="GO41" i="6"/>
  <c r="GP41" i="6" s="1"/>
  <c r="GP40" i="6"/>
  <c r="GO38" i="6"/>
  <c r="GO37" i="6"/>
  <c r="GP37" i="6" s="1"/>
  <c r="GO36" i="6"/>
  <c r="GP36" i="6" s="1"/>
  <c r="GM35" i="6"/>
  <c r="GP35" i="6" s="1"/>
  <c r="GP34" i="6"/>
  <c r="GO34" i="6"/>
  <c r="GO33" i="6"/>
  <c r="GP33" i="6" s="1"/>
  <c r="GO32" i="6"/>
  <c r="GP32" i="6" s="1"/>
  <c r="GO31" i="6"/>
  <c r="GP31" i="6" s="1"/>
  <c r="GO30" i="6"/>
  <c r="GN30" i="6"/>
  <c r="GP30" i="6" s="1"/>
  <c r="GP29" i="6"/>
  <c r="GO28" i="6"/>
  <c r="GP28" i="6" s="1"/>
  <c r="GU24" i="6"/>
  <c r="GR23" i="6"/>
  <c r="GU23" i="6" s="1"/>
  <c r="GR22" i="6"/>
  <c r="GU22" i="6" s="1"/>
  <c r="GR21" i="6"/>
  <c r="GU21" i="6" s="1"/>
  <c r="GR20" i="6"/>
  <c r="GU20" i="6" s="1"/>
  <c r="GU19" i="6"/>
  <c r="GR19" i="6"/>
  <c r="GR18" i="6"/>
  <c r="GU18" i="6" s="1"/>
  <c r="GQ17" i="6"/>
  <c r="GU17" i="6" s="1"/>
  <c r="GU16" i="6"/>
  <c r="GQ15" i="6"/>
  <c r="GU15" i="6" s="1"/>
  <c r="GQ14" i="6"/>
  <c r="GU14" i="6" s="1"/>
  <c r="GQ13" i="6"/>
  <c r="GU13" i="6" s="1"/>
  <c r="GU12" i="6"/>
  <c r="GU11" i="6"/>
  <c r="GU10" i="6"/>
  <c r="GR8" i="6"/>
  <c r="GQ8" i="6"/>
  <c r="GU8" i="6" s="1"/>
  <c r="GR7" i="6"/>
  <c r="GQ7" i="6"/>
  <c r="GU7" i="6" s="1"/>
  <c r="GR6" i="6"/>
  <c r="GQ6" i="6"/>
  <c r="GU6" i="6" s="1"/>
  <c r="GQ5" i="6"/>
  <c r="GU5" i="6" s="1"/>
  <c r="GQ4" i="6"/>
  <c r="GU4" i="6" s="1"/>
  <c r="GQ3" i="6"/>
  <c r="GU3" i="6" s="1"/>
  <c r="GU2" i="6"/>
  <c r="EH42" i="6"/>
  <c r="EF9" i="6"/>
  <c r="S24" i="7" l="1"/>
  <c r="HG27" i="6"/>
  <c r="HB63" i="6"/>
  <c r="GU25" i="6"/>
  <c r="GP61" i="6"/>
  <c r="GC14" i="6"/>
  <c r="GF26" i="6"/>
  <c r="GF27" i="6"/>
  <c r="S25" i="7" l="1"/>
  <c r="HG63" i="6"/>
  <c r="GW3" i="6" s="1"/>
  <c r="GU61" i="6"/>
  <c r="GK3" i="6" s="1"/>
  <c r="S26" i="7" l="1"/>
  <c r="GI13" i="6"/>
  <c r="GI14" i="6"/>
  <c r="GI27" i="6"/>
  <c r="GI26" i="6"/>
  <c r="GD63" i="6"/>
  <c r="GD61" i="6"/>
  <c r="GA60" i="6"/>
  <c r="GD60" i="6" s="1"/>
  <c r="GD59" i="6"/>
  <c r="GD58" i="6"/>
  <c r="GD57" i="6"/>
  <c r="GD56" i="6"/>
  <c r="GD55" i="6"/>
  <c r="GD54" i="6"/>
  <c r="GD53" i="6"/>
  <c r="GD52" i="6"/>
  <c r="GD51" i="6"/>
  <c r="GA50" i="6"/>
  <c r="GD50" i="6" s="1"/>
  <c r="GA49" i="6"/>
  <c r="GD49" i="6" s="1"/>
  <c r="GA48" i="6"/>
  <c r="GD48" i="6" s="1"/>
  <c r="GA47" i="6"/>
  <c r="GD47" i="6" s="1"/>
  <c r="GC46" i="6"/>
  <c r="GD46" i="6" s="1"/>
  <c r="GC45" i="6"/>
  <c r="GD45" i="6" s="1"/>
  <c r="GD44" i="6"/>
  <c r="GD43" i="6"/>
  <c r="GC42" i="6"/>
  <c r="GD42" i="6" s="1"/>
  <c r="GC41" i="6"/>
  <c r="GD41" i="6" s="1"/>
  <c r="GC40" i="6"/>
  <c r="GD40" i="6" s="1"/>
  <c r="GA39" i="6"/>
  <c r="GD39" i="6" s="1"/>
  <c r="GC38" i="6"/>
  <c r="GD38" i="6" s="1"/>
  <c r="GC37" i="6"/>
  <c r="GD37" i="6" s="1"/>
  <c r="GC36" i="6"/>
  <c r="GD36" i="6" s="1"/>
  <c r="GC35" i="6"/>
  <c r="GD35" i="6" s="1"/>
  <c r="GC34" i="6"/>
  <c r="GB34" i="6"/>
  <c r="GD34" i="6" s="1"/>
  <c r="GD33" i="6"/>
  <c r="GC32" i="6"/>
  <c r="GD32" i="6" s="1"/>
  <c r="GI28" i="6"/>
  <c r="GF25" i="6"/>
  <c r="GI25" i="6" s="1"/>
  <c r="GF24" i="6"/>
  <c r="GI24" i="6" s="1"/>
  <c r="GF23" i="6"/>
  <c r="GI23" i="6" s="1"/>
  <c r="GF22" i="6"/>
  <c r="GI22" i="6" s="1"/>
  <c r="GF21" i="6"/>
  <c r="GI21" i="6" s="1"/>
  <c r="GF20" i="6"/>
  <c r="GI20" i="6" s="1"/>
  <c r="GE19" i="6"/>
  <c r="GI19" i="6" s="1"/>
  <c r="GI18" i="6"/>
  <c r="GE17" i="6"/>
  <c r="GI17" i="6" s="1"/>
  <c r="GE16" i="6"/>
  <c r="GI16" i="6" s="1"/>
  <c r="GE15" i="6"/>
  <c r="GI15" i="6" s="1"/>
  <c r="GI12" i="6"/>
  <c r="GI11" i="6"/>
  <c r="GI10" i="6"/>
  <c r="GC9" i="6"/>
  <c r="GB9" i="6"/>
  <c r="GI9" i="6" s="1"/>
  <c r="GF8" i="6"/>
  <c r="GE8" i="6"/>
  <c r="GF7" i="6"/>
  <c r="GE7" i="6"/>
  <c r="GI7" i="6" s="1"/>
  <c r="GF6" i="6"/>
  <c r="GE6" i="6"/>
  <c r="GI6" i="6" s="1"/>
  <c r="GE5" i="6"/>
  <c r="GI5" i="6" s="1"/>
  <c r="GE4" i="6"/>
  <c r="GI4" i="6" s="1"/>
  <c r="GE3" i="6"/>
  <c r="GI3" i="6" s="1"/>
  <c r="GI2" i="6"/>
  <c r="FR59" i="6"/>
  <c r="FR57" i="6"/>
  <c r="FO56" i="6"/>
  <c r="FR56" i="6" s="1"/>
  <c r="FR55" i="6"/>
  <c r="FR54" i="6"/>
  <c r="FR53" i="6"/>
  <c r="FR52" i="6"/>
  <c r="FR51" i="6"/>
  <c r="FR50" i="6"/>
  <c r="FR49" i="6"/>
  <c r="FR48" i="6"/>
  <c r="FR47" i="6"/>
  <c r="FO46" i="6"/>
  <c r="FR46" i="6" s="1"/>
  <c r="FO45" i="6"/>
  <c r="FR45" i="6" s="1"/>
  <c r="FO44" i="6"/>
  <c r="FR44" i="6" s="1"/>
  <c r="FO43" i="6"/>
  <c r="FR43" i="6" s="1"/>
  <c r="FQ42" i="6"/>
  <c r="FR42" i="6" s="1"/>
  <c r="FQ41" i="6"/>
  <c r="FR41" i="6" s="1"/>
  <c r="FR40" i="6"/>
  <c r="FQ38" i="6"/>
  <c r="FR38" i="6" s="1"/>
  <c r="FQ37" i="6"/>
  <c r="FR37" i="6" s="1"/>
  <c r="FQ36" i="6"/>
  <c r="FR36" i="6" s="1"/>
  <c r="FO35" i="6"/>
  <c r="FR35" i="6" s="1"/>
  <c r="FQ34" i="6"/>
  <c r="FQ33" i="6"/>
  <c r="FR33" i="6" s="1"/>
  <c r="FQ32" i="6"/>
  <c r="FR32" i="6" s="1"/>
  <c r="FQ31" i="6"/>
  <c r="FR31" i="6" s="1"/>
  <c r="FQ30" i="6"/>
  <c r="FP30" i="6"/>
  <c r="FR29" i="6"/>
  <c r="FQ28" i="6"/>
  <c r="FR28" i="6" s="1"/>
  <c r="FW24" i="6"/>
  <c r="FT23" i="6"/>
  <c r="FW23" i="6" s="1"/>
  <c r="FT22" i="6"/>
  <c r="FW22" i="6" s="1"/>
  <c r="FT21" i="6"/>
  <c r="FW21" i="6" s="1"/>
  <c r="FT20" i="6"/>
  <c r="FW20" i="6" s="1"/>
  <c r="FT19" i="6"/>
  <c r="FW19" i="6" s="1"/>
  <c r="FT18" i="6"/>
  <c r="FW18" i="6" s="1"/>
  <c r="FS17" i="6"/>
  <c r="FW17" i="6" s="1"/>
  <c r="FW16" i="6"/>
  <c r="FS15" i="6"/>
  <c r="FW15" i="6" s="1"/>
  <c r="FS14" i="6"/>
  <c r="FW14" i="6" s="1"/>
  <c r="FS13" i="6"/>
  <c r="FW13" i="6" s="1"/>
  <c r="FW12" i="6"/>
  <c r="FW11" i="6"/>
  <c r="FW10" i="6"/>
  <c r="FQ9" i="6"/>
  <c r="FP9" i="6"/>
  <c r="FW9" i="6" s="1"/>
  <c r="FT8" i="6"/>
  <c r="FS8" i="6"/>
  <c r="FW8" i="6" s="1"/>
  <c r="FT7" i="6"/>
  <c r="FS7" i="6"/>
  <c r="FT6" i="6"/>
  <c r="FS6" i="6"/>
  <c r="FW6" i="6" s="1"/>
  <c r="FS5" i="6"/>
  <c r="FW5" i="6" s="1"/>
  <c r="FS4" i="6"/>
  <c r="FW4" i="6" s="1"/>
  <c r="FS3" i="6"/>
  <c r="FW3" i="6" s="1"/>
  <c r="FW2" i="6"/>
  <c r="FC56" i="6"/>
  <c r="FF56" i="6" s="1"/>
  <c r="FC45" i="6"/>
  <c r="FF45" i="6" s="1"/>
  <c r="FC43" i="6"/>
  <c r="FF43" i="6" s="1"/>
  <c r="FC35" i="6"/>
  <c r="FF35" i="6"/>
  <c r="FE33" i="6"/>
  <c r="FF33" i="6" s="1"/>
  <c r="FD9" i="6"/>
  <c r="FF59" i="6"/>
  <c r="FF57" i="6"/>
  <c r="FF55" i="6"/>
  <c r="FF54" i="6"/>
  <c r="FF53" i="6"/>
  <c r="FF52" i="6"/>
  <c r="FF51" i="6"/>
  <c r="FF50" i="6"/>
  <c r="FF49" i="6"/>
  <c r="FF48" i="6"/>
  <c r="FF47" i="6"/>
  <c r="FC46" i="6"/>
  <c r="FF46" i="6" s="1"/>
  <c r="FC44" i="6"/>
  <c r="FE42" i="6"/>
  <c r="FF42" i="6" s="1"/>
  <c r="FE41" i="6"/>
  <c r="FF41" i="6" s="1"/>
  <c r="FF40" i="6"/>
  <c r="FF39" i="6"/>
  <c r="FE38" i="6"/>
  <c r="FF38" i="6" s="1"/>
  <c r="FE37" i="6"/>
  <c r="FF37" i="6" s="1"/>
  <c r="FE36" i="6"/>
  <c r="FF36" i="6" s="1"/>
  <c r="FE34" i="6"/>
  <c r="FF34" i="6" s="1"/>
  <c r="FE32" i="6"/>
  <c r="FF32" i="6" s="1"/>
  <c r="FE31" i="6"/>
  <c r="FF31" i="6" s="1"/>
  <c r="FE30" i="6"/>
  <c r="FD30" i="6"/>
  <c r="FF30" i="6" s="1"/>
  <c r="FF29" i="6"/>
  <c r="FE28" i="6"/>
  <c r="FF28" i="6" s="1"/>
  <c r="FK24" i="6"/>
  <c r="FH23" i="6"/>
  <c r="FK23" i="6" s="1"/>
  <c r="FH22" i="6"/>
  <c r="FK22" i="6" s="1"/>
  <c r="FH21" i="6"/>
  <c r="FK21" i="6" s="1"/>
  <c r="FH20" i="6"/>
  <c r="FK20" i="6" s="1"/>
  <c r="FH19" i="6"/>
  <c r="FK19" i="6" s="1"/>
  <c r="FH18" i="6"/>
  <c r="FK18" i="6" s="1"/>
  <c r="FG17" i="6"/>
  <c r="FK17" i="6" s="1"/>
  <c r="FK16" i="6"/>
  <c r="FG15" i="6"/>
  <c r="FK15" i="6" s="1"/>
  <c r="FG14" i="6"/>
  <c r="FK14" i="6" s="1"/>
  <c r="FG13" i="6"/>
  <c r="FK13" i="6" s="1"/>
  <c r="FK12" i="6"/>
  <c r="FK11" i="6"/>
  <c r="FK10" i="6"/>
  <c r="FE9" i="6"/>
  <c r="FK9" i="6" s="1"/>
  <c r="FH8" i="6"/>
  <c r="FG8" i="6"/>
  <c r="FK8" i="6" s="1"/>
  <c r="FH7" i="6"/>
  <c r="FG7" i="6"/>
  <c r="FK7" i="6" s="1"/>
  <c r="FH6" i="6"/>
  <c r="FG6" i="6"/>
  <c r="FG5" i="6"/>
  <c r="FK5" i="6" s="1"/>
  <c r="FG4" i="6"/>
  <c r="FK4" i="6" s="1"/>
  <c r="FG3" i="6"/>
  <c r="FK3" i="6" s="1"/>
  <c r="FK2" i="6"/>
  <c r="ET40" i="6"/>
  <c r="EQ47" i="6"/>
  <c r="ET47" i="6" s="1"/>
  <c r="EQ46" i="6"/>
  <c r="ET46" i="6" s="1"/>
  <c r="EQ45" i="6"/>
  <c r="ET45" i="6" s="1"/>
  <c r="EQ44" i="6"/>
  <c r="ET44" i="6" s="1"/>
  <c r="ER31" i="6"/>
  <c r="ER12" i="6"/>
  <c r="EY12" i="6"/>
  <c r="ES35" i="6"/>
  <c r="ET35" i="6" s="1"/>
  <c r="ER9" i="6"/>
  <c r="DS44" i="6"/>
  <c r="ET60" i="6"/>
  <c r="ET58" i="6"/>
  <c r="EQ57" i="6"/>
  <c r="ET57" i="6" s="1"/>
  <c r="ET56" i="6"/>
  <c r="ET55" i="6"/>
  <c r="ET54" i="6"/>
  <c r="ET53" i="6"/>
  <c r="ET52" i="6"/>
  <c r="ET51" i="6"/>
  <c r="ET50" i="6"/>
  <c r="ET49" i="6"/>
  <c r="ET48" i="6"/>
  <c r="ES43" i="6"/>
  <c r="ET43" i="6" s="1"/>
  <c r="ES42" i="6"/>
  <c r="ET42" i="6" s="1"/>
  <c r="ET41" i="6"/>
  <c r="ES39" i="6"/>
  <c r="ET39" i="6" s="1"/>
  <c r="ES38" i="6"/>
  <c r="ET38" i="6" s="1"/>
  <c r="ES37" i="6"/>
  <c r="ET37" i="6" s="1"/>
  <c r="ES36" i="6"/>
  <c r="ET36" i="6" s="1"/>
  <c r="ET34" i="6"/>
  <c r="ES33" i="6"/>
  <c r="ET33" i="6" s="1"/>
  <c r="ES32" i="6"/>
  <c r="ET32" i="6" s="1"/>
  <c r="ES31" i="6"/>
  <c r="ET30" i="6"/>
  <c r="ES29" i="6"/>
  <c r="ET29" i="6" s="1"/>
  <c r="EY25" i="6"/>
  <c r="EV24" i="6"/>
  <c r="EY24" i="6" s="1"/>
  <c r="EV23" i="6"/>
  <c r="EY23" i="6" s="1"/>
  <c r="EV22" i="6"/>
  <c r="EY22" i="6" s="1"/>
  <c r="EV21" i="6"/>
  <c r="EY21" i="6" s="1"/>
  <c r="EV20" i="6"/>
  <c r="EY20" i="6" s="1"/>
  <c r="EV19" i="6"/>
  <c r="EY19" i="6" s="1"/>
  <c r="EU18" i="6"/>
  <c r="EY18" i="6" s="1"/>
  <c r="EY17" i="6"/>
  <c r="EU16" i="6"/>
  <c r="EY16" i="6" s="1"/>
  <c r="EU15" i="6"/>
  <c r="EY15" i="6" s="1"/>
  <c r="EU14" i="6"/>
  <c r="EY14" i="6" s="1"/>
  <c r="EU13" i="6"/>
  <c r="EY13" i="6" s="1"/>
  <c r="EY11" i="6"/>
  <c r="EY10" i="6"/>
  <c r="ES9" i="6"/>
  <c r="EV8" i="6"/>
  <c r="EU8" i="6"/>
  <c r="EY8" i="6" s="1"/>
  <c r="EV7" i="6"/>
  <c r="EU7" i="6"/>
  <c r="EY7" i="6" s="1"/>
  <c r="EV6" i="6"/>
  <c r="EU6" i="6"/>
  <c r="EY6" i="6" s="1"/>
  <c r="EU5" i="6"/>
  <c r="EY5" i="6" s="1"/>
  <c r="EU4" i="6"/>
  <c r="EY4" i="6" s="1"/>
  <c r="EU3" i="6"/>
  <c r="EY3" i="6" s="1"/>
  <c r="EY2" i="6"/>
  <c r="EJ22" i="6"/>
  <c r="EM22" i="6" s="1"/>
  <c r="DS42" i="6"/>
  <c r="DX22" i="6"/>
  <c r="EA22" i="6" s="1"/>
  <c r="DT9" i="6"/>
  <c r="S27" i="7" l="1"/>
  <c r="S28" i="7" s="1"/>
  <c r="S29" i="7" s="1"/>
  <c r="S30" i="7" s="1"/>
  <c r="S31" i="7" s="1"/>
  <c r="FW7" i="6"/>
  <c r="FR30" i="6"/>
  <c r="GI8" i="6"/>
  <c r="EY9" i="6"/>
  <c r="EY26" i="6" s="1"/>
  <c r="ET31" i="6"/>
  <c r="ET62" i="6" s="1"/>
  <c r="GI29" i="6"/>
  <c r="GD65" i="6"/>
  <c r="FW25" i="6"/>
  <c r="FR61" i="6"/>
  <c r="FK6" i="6"/>
  <c r="FK25" i="6" s="1"/>
  <c r="FF61" i="6"/>
  <c r="S32" i="7" l="1"/>
  <c r="S33" i="7" s="1"/>
  <c r="S34" i="7" s="1"/>
  <c r="S35" i="7" s="1"/>
  <c r="S36" i="7" s="1"/>
  <c r="S37" i="7" s="1"/>
  <c r="S38" i="7" s="1"/>
  <c r="S39" i="7" s="1"/>
  <c r="S40" i="7" s="1"/>
  <c r="S54" i="7" s="1"/>
  <c r="GI65" i="6"/>
  <c r="FY3" i="6" s="1"/>
  <c r="FW61" i="6"/>
  <c r="FM3" i="6" s="1"/>
  <c r="FK61" i="6"/>
  <c r="FA3" i="6" s="1"/>
  <c r="EY62" i="6"/>
  <c r="EO3" i="6" s="1"/>
  <c r="EA25" i="6"/>
  <c r="DX24" i="6"/>
  <c r="EA24" i="6" s="1"/>
  <c r="DW18" i="6"/>
  <c r="DW16" i="6"/>
  <c r="DW15" i="6"/>
  <c r="DW14" i="6"/>
  <c r="DW13" i="6"/>
  <c r="DW8" i="6"/>
  <c r="DW7" i="6"/>
  <c r="DW6" i="6"/>
  <c r="DW5" i="6"/>
  <c r="DW4" i="6"/>
  <c r="DW3" i="6"/>
  <c r="DS45" i="6" l="1"/>
  <c r="EE44" i="6"/>
  <c r="EE46" i="6"/>
  <c r="EJ8" i="6"/>
  <c r="EJ7" i="6"/>
  <c r="EJ6" i="6"/>
  <c r="EI8" i="6"/>
  <c r="EI7" i="6"/>
  <c r="EI5" i="6"/>
  <c r="EI4" i="6"/>
  <c r="EI3" i="6"/>
  <c r="EI6" i="6" l="1"/>
  <c r="EG32" i="6"/>
  <c r="EH32" i="6" s="1"/>
  <c r="EH60" i="6"/>
  <c r="EH58" i="6"/>
  <c r="EE57" i="6"/>
  <c r="EH56" i="6"/>
  <c r="EH55" i="6"/>
  <c r="EH54" i="6"/>
  <c r="EH53" i="6"/>
  <c r="EH52" i="6"/>
  <c r="EH51" i="6"/>
  <c r="EH50" i="6"/>
  <c r="EH49" i="6"/>
  <c r="EH48" i="6"/>
  <c r="EE47" i="6"/>
  <c r="EH47" i="6" s="1"/>
  <c r="EH46" i="6"/>
  <c r="EE45" i="6"/>
  <c r="EH45" i="6" s="1"/>
  <c r="EH44" i="6"/>
  <c r="EG43" i="6"/>
  <c r="EH43" i="6" s="1"/>
  <c r="EG41" i="6"/>
  <c r="EH41" i="6" s="1"/>
  <c r="EH40" i="6"/>
  <c r="EG39" i="6"/>
  <c r="EH39" i="6" s="1"/>
  <c r="EG38" i="6"/>
  <c r="EH38" i="6" s="1"/>
  <c r="EG37" i="6"/>
  <c r="EH37" i="6" s="1"/>
  <c r="EG36" i="6"/>
  <c r="EH36" i="6" s="1"/>
  <c r="EG35" i="6"/>
  <c r="EH35" i="6" s="1"/>
  <c r="EG34" i="6"/>
  <c r="EH34" i="6" s="1"/>
  <c r="EG33" i="6"/>
  <c r="EH33" i="6" s="1"/>
  <c r="EG31" i="6"/>
  <c r="EH31" i="6" s="1"/>
  <c r="EH30" i="6"/>
  <c r="EG29" i="6"/>
  <c r="EH29" i="6" s="1"/>
  <c r="EM25" i="6"/>
  <c r="EJ23" i="6"/>
  <c r="EM23" i="6" s="1"/>
  <c r="EJ21" i="6"/>
  <c r="EM21" i="6" s="1"/>
  <c r="EJ20" i="6"/>
  <c r="EM20" i="6" s="1"/>
  <c r="EJ19" i="6"/>
  <c r="EM19" i="6" s="1"/>
  <c r="EM18" i="6"/>
  <c r="EM17" i="6"/>
  <c r="EI16" i="6"/>
  <c r="EM16" i="6" s="1"/>
  <c r="EI15" i="6"/>
  <c r="EM15" i="6" s="1"/>
  <c r="EI14" i="6"/>
  <c r="EM14" i="6" s="1"/>
  <c r="EI13" i="6"/>
  <c r="EM13" i="6" s="1"/>
  <c r="EM12" i="6"/>
  <c r="EM11" i="6"/>
  <c r="EM10" i="6"/>
  <c r="EG9" i="6"/>
  <c r="EM9" i="6" s="1"/>
  <c r="EM6" i="6"/>
  <c r="EM5" i="6"/>
  <c r="EM4" i="6"/>
  <c r="EM3" i="6"/>
  <c r="EM2" i="6"/>
  <c r="EM8" i="6" l="1"/>
  <c r="EM7" i="6"/>
  <c r="EH62" i="6"/>
  <c r="EM26" i="6" l="1"/>
  <c r="EM62" i="6" s="1"/>
  <c r="EC3" i="6" s="1"/>
  <c r="DL4" i="6" l="1"/>
  <c r="DL7" i="6"/>
  <c r="DK18" i="6"/>
  <c r="DO18" i="6" s="1"/>
  <c r="DK16" i="6"/>
  <c r="DK15" i="6"/>
  <c r="DO15" i="6" s="1"/>
  <c r="DK14" i="6"/>
  <c r="DO14" i="6" s="1"/>
  <c r="DK13" i="6"/>
  <c r="DO13" i="6" s="1"/>
  <c r="DH16" i="6"/>
  <c r="DO17" i="6" s="1"/>
  <c r="DV44" i="6"/>
  <c r="DG45" i="6"/>
  <c r="DJ45" i="6" s="1"/>
  <c r="DG43" i="6"/>
  <c r="DJ43" i="6" s="1"/>
  <c r="DH9" i="6"/>
  <c r="DI32" i="6"/>
  <c r="DJ32" i="6" s="1"/>
  <c r="DS43" i="6"/>
  <c r="EA16" i="6"/>
  <c r="EA14" i="6"/>
  <c r="EA13" i="6"/>
  <c r="DX7" i="6"/>
  <c r="CU40" i="6"/>
  <c r="CX40" i="6" s="1"/>
  <c r="CV14" i="6"/>
  <c r="DC14" i="6" s="1"/>
  <c r="CX56" i="6"/>
  <c r="CX54" i="6"/>
  <c r="CU53" i="6"/>
  <c r="CX52" i="6"/>
  <c r="CX51" i="6"/>
  <c r="CX50" i="6"/>
  <c r="CX49" i="6"/>
  <c r="CX48" i="6"/>
  <c r="CX47" i="6"/>
  <c r="CX46" i="6"/>
  <c r="CX45" i="6"/>
  <c r="CX44" i="6"/>
  <c r="CU43" i="6"/>
  <c r="CX43" i="6" s="1"/>
  <c r="CU42" i="6"/>
  <c r="CX42" i="6" s="1"/>
  <c r="CU41" i="6"/>
  <c r="CX41" i="6" s="1"/>
  <c r="CW39" i="6"/>
  <c r="CX39" i="6" s="1"/>
  <c r="CW38" i="6"/>
  <c r="CX38" i="6" s="1"/>
  <c r="CW37" i="6"/>
  <c r="CX37" i="6" s="1"/>
  <c r="CW36" i="6"/>
  <c r="CX36" i="6" s="1"/>
  <c r="CW35" i="6"/>
  <c r="CX35" i="6" s="1"/>
  <c r="CW34" i="6"/>
  <c r="CX34" i="6" s="1"/>
  <c r="CW33" i="6"/>
  <c r="CX33" i="6" s="1"/>
  <c r="CW32" i="6"/>
  <c r="CX32" i="6" s="1"/>
  <c r="CW31" i="6"/>
  <c r="CX31" i="6" s="1"/>
  <c r="CW30" i="6"/>
  <c r="CX30" i="6" s="1"/>
  <c r="CW29" i="6"/>
  <c r="CX29" i="6" s="1"/>
  <c r="CW28" i="6"/>
  <c r="CX28" i="6" s="1"/>
  <c r="CW27" i="6"/>
  <c r="CX27" i="6" s="1"/>
  <c r="CW26" i="6"/>
  <c r="CX26" i="6" s="1"/>
  <c r="DC22" i="6"/>
  <c r="DC21" i="6"/>
  <c r="CZ20" i="6"/>
  <c r="DC20" i="6" s="1"/>
  <c r="CZ19" i="6"/>
  <c r="DC19" i="6" s="1"/>
  <c r="CZ18" i="6"/>
  <c r="DC18" i="6" s="1"/>
  <c r="DC17" i="6"/>
  <c r="DC16" i="6"/>
  <c r="CW15" i="6"/>
  <c r="DC15" i="6" s="1"/>
  <c r="DC13" i="6"/>
  <c r="DC12" i="6"/>
  <c r="DA11" i="6"/>
  <c r="DC11" i="6" s="1"/>
  <c r="DC10" i="6"/>
  <c r="DC9" i="6"/>
  <c r="CW8" i="6"/>
  <c r="CV8" i="6"/>
  <c r="CZ7" i="6"/>
  <c r="CY7" i="6"/>
  <c r="CW7" i="6"/>
  <c r="CY6" i="6"/>
  <c r="CW6" i="6"/>
  <c r="CZ5" i="6"/>
  <c r="CY5" i="6"/>
  <c r="CW5" i="6"/>
  <c r="CY4" i="6"/>
  <c r="CW4" i="6"/>
  <c r="CY3" i="6"/>
  <c r="CW3" i="6"/>
  <c r="CW2" i="6"/>
  <c r="DC2" i="6" s="1"/>
  <c r="EA17" i="6"/>
  <c r="EA4" i="6"/>
  <c r="DK4" i="6"/>
  <c r="DU40" i="6"/>
  <c r="DV40" i="6" s="1"/>
  <c r="DU34" i="6"/>
  <c r="DV45" i="6"/>
  <c r="DV39" i="6"/>
  <c r="DI41" i="6"/>
  <c r="DJ41" i="6" s="1"/>
  <c r="DV58" i="6"/>
  <c r="DV56" i="6"/>
  <c r="DS55" i="6"/>
  <c r="DV55" i="6" s="1"/>
  <c r="DV54" i="6"/>
  <c r="DV53" i="6"/>
  <c r="DV52" i="6"/>
  <c r="DV51" i="6"/>
  <c r="DV50" i="6"/>
  <c r="DV49" i="6"/>
  <c r="DV48" i="6"/>
  <c r="DV47" i="6"/>
  <c r="DV46" i="6"/>
  <c r="DV42" i="6"/>
  <c r="DU41" i="6"/>
  <c r="DV41" i="6" s="1"/>
  <c r="DU38" i="6"/>
  <c r="DV38" i="6" s="1"/>
  <c r="DU37" i="6"/>
  <c r="DV37" i="6" s="1"/>
  <c r="DU36" i="6"/>
  <c r="DV36" i="6" s="1"/>
  <c r="DU35" i="6"/>
  <c r="DV35" i="6" s="1"/>
  <c r="DU33" i="6"/>
  <c r="DV33" i="6" s="1"/>
  <c r="DU32" i="6"/>
  <c r="DV32" i="6" s="1"/>
  <c r="DU31" i="6"/>
  <c r="DV31" i="6" s="1"/>
  <c r="DV30" i="6"/>
  <c r="DU29" i="6"/>
  <c r="DV29" i="6" s="1"/>
  <c r="DX23" i="6"/>
  <c r="EA23" i="6" s="1"/>
  <c r="DX21" i="6"/>
  <c r="EA21" i="6" s="1"/>
  <c r="DX20" i="6"/>
  <c r="EA20" i="6" s="1"/>
  <c r="DX19" i="6"/>
  <c r="EA19" i="6" s="1"/>
  <c r="EA18" i="6"/>
  <c r="EA15" i="6"/>
  <c r="EA11" i="6"/>
  <c r="EA10" i="6"/>
  <c r="DU9" i="6"/>
  <c r="DX8" i="6"/>
  <c r="DX6" i="6"/>
  <c r="EA5" i="6"/>
  <c r="EA3" i="6"/>
  <c r="EA2" i="6"/>
  <c r="DI9" i="6"/>
  <c r="DL23" i="6"/>
  <c r="DO23" i="6" s="1"/>
  <c r="DL22" i="6"/>
  <c r="DO22" i="6" s="1"/>
  <c r="DJ59" i="6"/>
  <c r="DJ57" i="6"/>
  <c r="DG56" i="6"/>
  <c r="DJ55" i="6"/>
  <c r="DJ54" i="6"/>
  <c r="DJ53" i="6"/>
  <c r="DJ52" i="6"/>
  <c r="DJ51" i="6"/>
  <c r="DJ50" i="6"/>
  <c r="DJ49" i="6"/>
  <c r="DJ48" i="6"/>
  <c r="DJ47" i="6"/>
  <c r="DG46" i="6"/>
  <c r="DJ46" i="6" s="1"/>
  <c r="DG44" i="6"/>
  <c r="DJ44" i="6" s="1"/>
  <c r="DI42" i="6"/>
  <c r="DJ42" i="6" s="1"/>
  <c r="DI40" i="6"/>
  <c r="DJ40" i="6" s="1"/>
  <c r="DI39" i="6"/>
  <c r="DJ39" i="6" s="1"/>
  <c r="DI38" i="6"/>
  <c r="DJ38" i="6" s="1"/>
  <c r="DI37" i="6"/>
  <c r="DJ37" i="6" s="1"/>
  <c r="DI36" i="6"/>
  <c r="DJ36" i="6" s="1"/>
  <c r="DI35" i="6"/>
  <c r="DJ35" i="6" s="1"/>
  <c r="DI34" i="6"/>
  <c r="DJ34" i="6" s="1"/>
  <c r="DI33" i="6"/>
  <c r="DI30" i="6"/>
  <c r="DJ30" i="6" s="1"/>
  <c r="DO26" i="6"/>
  <c r="DO25" i="6"/>
  <c r="DL21" i="6"/>
  <c r="DO21" i="6" s="1"/>
  <c r="DL20" i="6"/>
  <c r="DO20" i="6" s="1"/>
  <c r="DL19" i="6"/>
  <c r="DO19" i="6" s="1"/>
  <c r="DM12" i="6"/>
  <c r="DO12" i="6" s="1"/>
  <c r="DO11" i="6"/>
  <c r="DO10" i="6"/>
  <c r="DL8" i="6"/>
  <c r="DK8" i="6"/>
  <c r="DK7" i="6"/>
  <c r="DL6" i="6"/>
  <c r="DK6" i="6"/>
  <c r="DK5" i="6"/>
  <c r="DO5" i="6" s="1"/>
  <c r="DK3" i="6"/>
  <c r="DO3" i="6" s="1"/>
  <c r="DO2" i="6"/>
  <c r="D11" i="6"/>
  <c r="CQ22" i="6"/>
  <c r="CQ21" i="6"/>
  <c r="CQ17" i="6"/>
  <c r="CQ16" i="6"/>
  <c r="CQ14" i="6"/>
  <c r="CQ13" i="6"/>
  <c r="CQ12" i="6"/>
  <c r="CQ10" i="6"/>
  <c r="CQ9" i="6"/>
  <c r="CE22" i="6"/>
  <c r="CE21" i="6"/>
  <c r="CE17" i="6"/>
  <c r="CE9" i="6"/>
  <c r="CE10" i="6"/>
  <c r="CE12" i="6"/>
  <c r="CE13" i="6"/>
  <c r="CE14" i="6"/>
  <c r="CE16" i="6"/>
  <c r="BS21" i="6"/>
  <c r="BS20" i="6"/>
  <c r="BS16" i="6"/>
  <c r="BS15" i="6"/>
  <c r="BS13" i="6"/>
  <c r="BS10" i="6"/>
  <c r="BS9" i="6"/>
  <c r="BG21" i="6"/>
  <c r="BG16" i="6"/>
  <c r="AU16" i="6"/>
  <c r="AI21" i="6"/>
  <c r="AI20" i="6"/>
  <c r="AI16" i="6"/>
  <c r="AI15" i="6"/>
  <c r="AI14" i="6"/>
  <c r="AI13" i="6"/>
  <c r="AI12" i="6"/>
  <c r="AI10" i="6"/>
  <c r="AI9" i="6"/>
  <c r="AU9" i="6"/>
  <c r="AU10" i="6"/>
  <c r="AU12" i="6"/>
  <c r="AU13" i="6"/>
  <c r="AU14" i="6"/>
  <c r="AU19" i="6"/>
  <c r="AU20" i="6"/>
  <c r="W21" i="6"/>
  <c r="W20" i="6"/>
  <c r="W16" i="6"/>
  <c r="W15" i="6"/>
  <c r="W14" i="6"/>
  <c r="W12" i="6"/>
  <c r="W10" i="6"/>
  <c r="W9" i="6"/>
  <c r="K21" i="6"/>
  <c r="K16" i="6"/>
  <c r="K14" i="6"/>
  <c r="K13" i="6"/>
  <c r="K12" i="6"/>
  <c r="BG15" i="6"/>
  <c r="K15" i="6"/>
  <c r="CL57" i="6"/>
  <c r="CL55" i="6"/>
  <c r="CI54" i="6"/>
  <c r="CL53" i="6"/>
  <c r="CL52" i="6"/>
  <c r="CL51" i="6"/>
  <c r="CL50" i="6"/>
  <c r="CL49" i="6"/>
  <c r="CL48" i="6"/>
  <c r="CL47" i="6"/>
  <c r="CL46" i="6"/>
  <c r="CL45" i="6"/>
  <c r="CI44" i="6"/>
  <c r="CL44" i="6" s="1"/>
  <c r="CI43" i="6"/>
  <c r="CL43" i="6" s="1"/>
  <c r="CI42" i="6"/>
  <c r="CL42" i="6" s="1"/>
  <c r="CI41" i="6"/>
  <c r="CL41" i="6" s="1"/>
  <c r="CK40" i="6"/>
  <c r="CL40" i="6" s="1"/>
  <c r="CL39" i="6"/>
  <c r="CK38" i="6"/>
  <c r="CL38" i="6" s="1"/>
  <c r="CK37" i="6"/>
  <c r="CL37" i="6" s="1"/>
  <c r="CK36" i="6"/>
  <c r="CL36" i="6" s="1"/>
  <c r="CK35" i="6"/>
  <c r="CL35" i="6" s="1"/>
  <c r="CK34" i="6"/>
  <c r="CL34" i="6" s="1"/>
  <c r="CK33" i="6"/>
  <c r="CL33" i="6" s="1"/>
  <c r="CK32" i="6"/>
  <c r="CL32" i="6" s="1"/>
  <c r="CK31" i="6"/>
  <c r="CL31" i="6" s="1"/>
  <c r="CK30" i="6"/>
  <c r="CL30" i="6" s="1"/>
  <c r="CK29" i="6"/>
  <c r="CL29" i="6" s="1"/>
  <c r="CK28" i="6"/>
  <c r="CL28" i="6" s="1"/>
  <c r="CK27" i="6"/>
  <c r="CJ27" i="6"/>
  <c r="CK26" i="6"/>
  <c r="CL26" i="6" s="1"/>
  <c r="CN20" i="6"/>
  <c r="CQ20" i="6" s="1"/>
  <c r="CN19" i="6"/>
  <c r="CQ19" i="6" s="1"/>
  <c r="CN18" i="6"/>
  <c r="CQ18" i="6" s="1"/>
  <c r="CK15" i="6"/>
  <c r="CQ15" i="6" s="1"/>
  <c r="CO11" i="6"/>
  <c r="CQ11" i="6" s="1"/>
  <c r="CK8" i="6"/>
  <c r="CJ8" i="6"/>
  <c r="CN7" i="6"/>
  <c r="CM7" i="6"/>
  <c r="CK7" i="6"/>
  <c r="CM6" i="6"/>
  <c r="CK6" i="6"/>
  <c r="CN5" i="6"/>
  <c r="CM5" i="6"/>
  <c r="CK5" i="6"/>
  <c r="CM4" i="6"/>
  <c r="CK4" i="6"/>
  <c r="CM3" i="6"/>
  <c r="CK3" i="6"/>
  <c r="CK2" i="6"/>
  <c r="CQ2" i="6" s="1"/>
  <c r="BZ57" i="6"/>
  <c r="BZ55" i="6"/>
  <c r="BW54" i="6"/>
  <c r="BZ53" i="6"/>
  <c r="BZ52" i="6"/>
  <c r="BZ51" i="6"/>
  <c r="BZ50" i="6"/>
  <c r="BZ49" i="6"/>
  <c r="BZ48" i="6"/>
  <c r="BZ47" i="6"/>
  <c r="BZ46" i="6"/>
  <c r="BZ45" i="6"/>
  <c r="BW44" i="6"/>
  <c r="BZ44" i="6" s="1"/>
  <c r="BW43" i="6"/>
  <c r="BZ43" i="6" s="1"/>
  <c r="BW42" i="6"/>
  <c r="BZ42" i="6" s="1"/>
  <c r="BW41" i="6"/>
  <c r="BZ41" i="6" s="1"/>
  <c r="BY40" i="6"/>
  <c r="BZ40" i="6" s="1"/>
  <c r="BZ39" i="6"/>
  <c r="BY38" i="6"/>
  <c r="BZ38" i="6" s="1"/>
  <c r="BY37" i="6"/>
  <c r="BZ37" i="6" s="1"/>
  <c r="BY36" i="6"/>
  <c r="BZ36" i="6" s="1"/>
  <c r="BY35" i="6"/>
  <c r="BZ35" i="6" s="1"/>
  <c r="BY34" i="6"/>
  <c r="BZ34" i="6" s="1"/>
  <c r="BY33" i="6"/>
  <c r="BZ33" i="6" s="1"/>
  <c r="BY32" i="6"/>
  <c r="BZ32" i="6" s="1"/>
  <c r="BY31" i="6"/>
  <c r="BZ31" i="6" s="1"/>
  <c r="BY30" i="6"/>
  <c r="BZ30" i="6" s="1"/>
  <c r="BY29" i="6"/>
  <c r="BZ29" i="6" s="1"/>
  <c r="BY28" i="6"/>
  <c r="BZ28" i="6" s="1"/>
  <c r="BY27" i="6"/>
  <c r="BX27" i="6"/>
  <c r="BY26" i="6"/>
  <c r="BZ26" i="6" s="1"/>
  <c r="CB20" i="6"/>
  <c r="CE20" i="6" s="1"/>
  <c r="CB19" i="6"/>
  <c r="CE19" i="6" s="1"/>
  <c r="CB18" i="6"/>
  <c r="CE18" i="6" s="1"/>
  <c r="BY15" i="6"/>
  <c r="CE15" i="6" s="1"/>
  <c r="CC11" i="6"/>
  <c r="CE11" i="6" s="1"/>
  <c r="BY8" i="6"/>
  <c r="BX8" i="6"/>
  <c r="CB7" i="6"/>
  <c r="CA7" i="6"/>
  <c r="BY7" i="6"/>
  <c r="CA6" i="6"/>
  <c r="BY6" i="6"/>
  <c r="CB5" i="6"/>
  <c r="CA5" i="6"/>
  <c r="BY5" i="6"/>
  <c r="CA4" i="6"/>
  <c r="BY4" i="6"/>
  <c r="CA3" i="6"/>
  <c r="BY3" i="6"/>
  <c r="BY2" i="6"/>
  <c r="CE2" i="6" s="1"/>
  <c r="BN53" i="6"/>
  <c r="BN52" i="6"/>
  <c r="BN50" i="6"/>
  <c r="BK49" i="6"/>
  <c r="BN48" i="6"/>
  <c r="BN47" i="6"/>
  <c r="BN46" i="6"/>
  <c r="BN45" i="6"/>
  <c r="BN44" i="6"/>
  <c r="BN43" i="6"/>
  <c r="BN42" i="6"/>
  <c r="BK41" i="6"/>
  <c r="BN41" i="6" s="1"/>
  <c r="BK40" i="6"/>
  <c r="BN40" i="6" s="1"/>
  <c r="BK39" i="6"/>
  <c r="BN39" i="6" s="1"/>
  <c r="BM38" i="6"/>
  <c r="BN38" i="6" s="1"/>
  <c r="BM37" i="6"/>
  <c r="BN37" i="6" s="1"/>
  <c r="BM36" i="6"/>
  <c r="BN36" i="6" s="1"/>
  <c r="BM35" i="6"/>
  <c r="BN35" i="6" s="1"/>
  <c r="BM34" i="6"/>
  <c r="BN34" i="6" s="1"/>
  <c r="BM33" i="6"/>
  <c r="BN33" i="6" s="1"/>
  <c r="BM32" i="6"/>
  <c r="BN32" i="6" s="1"/>
  <c r="BM31" i="6"/>
  <c r="BN31" i="6" s="1"/>
  <c r="BM30" i="6"/>
  <c r="BN30" i="6" s="1"/>
  <c r="BM29" i="6"/>
  <c r="BN29" i="6" s="1"/>
  <c r="BM28" i="6"/>
  <c r="BN28" i="6" s="1"/>
  <c r="BM27" i="6"/>
  <c r="BN27" i="6" s="1"/>
  <c r="BM26" i="6"/>
  <c r="BL26" i="6"/>
  <c r="BN25" i="6"/>
  <c r="BP19" i="6"/>
  <c r="BS19" i="6" s="1"/>
  <c r="BP18" i="6"/>
  <c r="BS18" i="6" s="1"/>
  <c r="BP17" i="6"/>
  <c r="BS17" i="6" s="1"/>
  <c r="BM14" i="6"/>
  <c r="BS14" i="6" s="1"/>
  <c r="BL12" i="6"/>
  <c r="BS12" i="6" s="1"/>
  <c r="BQ11" i="6"/>
  <c r="BS11" i="6" s="1"/>
  <c r="BM8" i="6"/>
  <c r="BL8" i="6"/>
  <c r="BP7" i="6"/>
  <c r="BO7" i="6"/>
  <c r="BM7" i="6"/>
  <c r="BO6" i="6"/>
  <c r="BM6" i="6"/>
  <c r="BP5" i="6"/>
  <c r="BO5" i="6"/>
  <c r="BM5" i="6"/>
  <c r="BO4" i="6"/>
  <c r="BM4" i="6"/>
  <c r="BO3" i="6"/>
  <c r="BM3" i="6"/>
  <c r="BM2" i="6"/>
  <c r="BS2" i="6" s="1"/>
  <c r="BB55" i="6"/>
  <c r="BB54" i="6"/>
  <c r="BB52" i="6"/>
  <c r="AY51" i="6"/>
  <c r="BB50" i="6"/>
  <c r="BB49" i="6"/>
  <c r="BB48" i="6"/>
  <c r="BB47" i="6"/>
  <c r="BB46" i="6"/>
  <c r="BB45" i="6"/>
  <c r="BB44" i="6"/>
  <c r="AY43" i="6"/>
  <c r="BB43" i="6" s="1"/>
  <c r="AY42" i="6"/>
  <c r="BB42" i="6" s="1"/>
  <c r="AY41" i="6"/>
  <c r="BB41" i="6" s="1"/>
  <c r="BA40" i="6"/>
  <c r="BB40" i="6" s="1"/>
  <c r="AY39" i="6"/>
  <c r="BB39" i="6" s="1"/>
  <c r="BA38" i="6"/>
  <c r="BB38" i="6" s="1"/>
  <c r="BB37" i="6"/>
  <c r="BA36" i="6"/>
  <c r="BB36" i="6" s="1"/>
  <c r="BA35" i="6"/>
  <c r="BB35" i="6" s="1"/>
  <c r="BA34" i="6"/>
  <c r="BB34" i="6" s="1"/>
  <c r="BA33" i="6"/>
  <c r="BB33" i="6" s="1"/>
  <c r="BA32" i="6"/>
  <c r="BB32" i="6" s="1"/>
  <c r="BA31" i="6"/>
  <c r="BB31" i="6" s="1"/>
  <c r="BA30" i="6"/>
  <c r="BB30" i="6" s="1"/>
  <c r="BA29" i="6"/>
  <c r="BB29" i="6" s="1"/>
  <c r="BA28" i="6"/>
  <c r="BB28" i="6" s="1"/>
  <c r="BA27" i="6"/>
  <c r="BB27" i="6" s="1"/>
  <c r="BA26" i="6"/>
  <c r="BB26" i="6" s="1"/>
  <c r="BB25" i="6"/>
  <c r="BG20" i="6"/>
  <c r="BD19" i="6"/>
  <c r="BG19" i="6" s="1"/>
  <c r="BD18" i="6"/>
  <c r="BG18" i="6" s="1"/>
  <c r="BD17" i="6"/>
  <c r="BG17" i="6" s="1"/>
  <c r="BG14" i="6"/>
  <c r="BG13" i="6"/>
  <c r="BG12" i="6"/>
  <c r="BE11" i="6"/>
  <c r="BG11" i="6" s="1"/>
  <c r="BG10" i="6"/>
  <c r="BG9" i="6"/>
  <c r="BA8" i="6"/>
  <c r="AZ8" i="6"/>
  <c r="BD7" i="6"/>
  <c r="BC7" i="6"/>
  <c r="BA7" i="6"/>
  <c r="BC6" i="6"/>
  <c r="BA6" i="6"/>
  <c r="BD5" i="6"/>
  <c r="BC5" i="6"/>
  <c r="BA5" i="6"/>
  <c r="BC4" i="6"/>
  <c r="BA4" i="6"/>
  <c r="BC3" i="6"/>
  <c r="BA3" i="6"/>
  <c r="BA2" i="6"/>
  <c r="BG2" i="6" s="1"/>
  <c r="AP54" i="6"/>
  <c r="AP53" i="6"/>
  <c r="AP51" i="6"/>
  <c r="AM50" i="6"/>
  <c r="AP49" i="6"/>
  <c r="AP48" i="6"/>
  <c r="AP47" i="6"/>
  <c r="AP46" i="6"/>
  <c r="AP45" i="6"/>
  <c r="AP44" i="6"/>
  <c r="AP43" i="6"/>
  <c r="AM42" i="6"/>
  <c r="AP42" i="6" s="1"/>
  <c r="AM41" i="6"/>
  <c r="AP41" i="6" s="1"/>
  <c r="AM40" i="6"/>
  <c r="AP40" i="6" s="1"/>
  <c r="AO39" i="6"/>
  <c r="AP39" i="6" s="1"/>
  <c r="AM38" i="6"/>
  <c r="AP38" i="6" s="1"/>
  <c r="AO37" i="6"/>
  <c r="AP37" i="6" s="1"/>
  <c r="AP36" i="6"/>
  <c r="AO35" i="6"/>
  <c r="AP35" i="6" s="1"/>
  <c r="AO34" i="6"/>
  <c r="AP34" i="6" s="1"/>
  <c r="AO33" i="6"/>
  <c r="AP33" i="6" s="1"/>
  <c r="AO32" i="6"/>
  <c r="AP32" i="6" s="1"/>
  <c r="AO31" i="6"/>
  <c r="AP31" i="6" s="1"/>
  <c r="AO30" i="6"/>
  <c r="AP30" i="6" s="1"/>
  <c r="AO29" i="6"/>
  <c r="AP29" i="6" s="1"/>
  <c r="AO28" i="6"/>
  <c r="AP28" i="6" s="1"/>
  <c r="AO27" i="6"/>
  <c r="AP27" i="6" s="1"/>
  <c r="AO26" i="6"/>
  <c r="AP26" i="6" s="1"/>
  <c r="AO25" i="6"/>
  <c r="AP25" i="6" s="1"/>
  <c r="AP24" i="6"/>
  <c r="AR18" i="6"/>
  <c r="AU18" i="6" s="1"/>
  <c r="AR17" i="6"/>
  <c r="AU17" i="6" s="1"/>
  <c r="AN15" i="6"/>
  <c r="AU15" i="6" s="1"/>
  <c r="AS11" i="6"/>
  <c r="AU11" i="6" s="1"/>
  <c r="AO8" i="6"/>
  <c r="AN8" i="6"/>
  <c r="AR7" i="6"/>
  <c r="AQ7" i="6"/>
  <c r="AO7" i="6"/>
  <c r="AQ6" i="6"/>
  <c r="AO6" i="6"/>
  <c r="AR5" i="6"/>
  <c r="AQ5" i="6"/>
  <c r="AO5" i="6"/>
  <c r="AQ4" i="6"/>
  <c r="AO4" i="6"/>
  <c r="AQ3" i="6"/>
  <c r="AO3" i="6"/>
  <c r="AO2" i="6"/>
  <c r="AU2" i="6" s="1"/>
  <c r="AD55" i="6"/>
  <c r="AD54" i="6"/>
  <c r="AD52" i="6"/>
  <c r="AA51" i="6"/>
  <c r="AD50" i="6"/>
  <c r="AD49" i="6"/>
  <c r="AD48" i="6"/>
  <c r="AD47" i="6"/>
  <c r="AD46" i="6"/>
  <c r="AD45" i="6"/>
  <c r="AD44" i="6"/>
  <c r="AA43" i="6"/>
  <c r="AD43" i="6" s="1"/>
  <c r="AA42" i="6"/>
  <c r="AD42" i="6" s="1"/>
  <c r="AA41" i="6"/>
  <c r="AD41" i="6" s="1"/>
  <c r="AC40" i="6"/>
  <c r="AD40" i="6" s="1"/>
  <c r="AA39" i="6"/>
  <c r="AD39" i="6" s="1"/>
  <c r="AC38" i="6"/>
  <c r="AD38" i="6" s="1"/>
  <c r="AD37" i="6"/>
  <c r="AC36" i="6"/>
  <c r="AD36" i="6" s="1"/>
  <c r="AC35" i="6"/>
  <c r="AD35" i="6" s="1"/>
  <c r="AC34" i="6"/>
  <c r="AD34" i="6" s="1"/>
  <c r="AC33" i="6"/>
  <c r="AD33" i="6" s="1"/>
  <c r="AC32" i="6"/>
  <c r="AD32" i="6" s="1"/>
  <c r="AC31" i="6"/>
  <c r="AD31" i="6" s="1"/>
  <c r="AC30" i="6"/>
  <c r="AD30" i="6" s="1"/>
  <c r="AC29" i="6"/>
  <c r="AD29" i="6" s="1"/>
  <c r="AC28" i="6"/>
  <c r="AD28" i="6" s="1"/>
  <c r="AC27" i="6"/>
  <c r="AD27" i="6" s="1"/>
  <c r="AC26" i="6"/>
  <c r="AD26" i="6" s="1"/>
  <c r="AD25" i="6"/>
  <c r="AF19" i="6"/>
  <c r="AI19" i="6" s="1"/>
  <c r="AF18" i="6"/>
  <c r="AI18" i="6" s="1"/>
  <c r="AF17" i="6"/>
  <c r="AI17" i="6" s="1"/>
  <c r="AG11" i="6"/>
  <c r="AI11" i="6" s="1"/>
  <c r="AC8" i="6"/>
  <c r="AB8" i="6"/>
  <c r="AF7" i="6"/>
  <c r="AE7" i="6"/>
  <c r="AC7" i="6"/>
  <c r="AE6" i="6"/>
  <c r="AC6" i="6"/>
  <c r="AF5" i="6"/>
  <c r="AE5" i="6"/>
  <c r="AC5" i="6"/>
  <c r="AE4" i="6"/>
  <c r="AC4" i="6"/>
  <c r="AE3" i="6"/>
  <c r="AC3" i="6"/>
  <c r="AC2" i="6"/>
  <c r="AI2" i="6" s="1"/>
  <c r="P13" i="6"/>
  <c r="W13" i="6" s="1"/>
  <c r="R54" i="6"/>
  <c r="R53" i="6"/>
  <c r="R51" i="6"/>
  <c r="O50" i="6"/>
  <c r="R49" i="6"/>
  <c r="R48" i="6"/>
  <c r="R47" i="6"/>
  <c r="R46" i="6"/>
  <c r="R45" i="6"/>
  <c r="R44" i="6"/>
  <c r="R43" i="6"/>
  <c r="O42" i="6"/>
  <c r="R42" i="6" s="1"/>
  <c r="O41" i="6"/>
  <c r="R41" i="6" s="1"/>
  <c r="O40" i="6"/>
  <c r="R40" i="6" s="1"/>
  <c r="Q39" i="6"/>
  <c r="R39" i="6" s="1"/>
  <c r="O38" i="6"/>
  <c r="R38" i="6" s="1"/>
  <c r="R37" i="6"/>
  <c r="Q36" i="6"/>
  <c r="R36" i="6" s="1"/>
  <c r="Q35" i="6"/>
  <c r="R35" i="6" s="1"/>
  <c r="Q34" i="6"/>
  <c r="R34" i="6" s="1"/>
  <c r="Q33" i="6"/>
  <c r="R33" i="6" s="1"/>
  <c r="Q32" i="6"/>
  <c r="R32" i="6" s="1"/>
  <c r="Q31" i="6"/>
  <c r="R31" i="6" s="1"/>
  <c r="Q30" i="6"/>
  <c r="R30" i="6" s="1"/>
  <c r="Q29" i="6"/>
  <c r="R29" i="6" s="1"/>
  <c r="Q28" i="6"/>
  <c r="R28" i="6" s="1"/>
  <c r="Q27" i="6"/>
  <c r="R27" i="6" s="1"/>
  <c r="Q26" i="6"/>
  <c r="R26" i="6" s="1"/>
  <c r="Q25" i="6"/>
  <c r="R25" i="6" s="1"/>
  <c r="T19" i="6"/>
  <c r="W19" i="6" s="1"/>
  <c r="T18" i="6"/>
  <c r="W18" i="6" s="1"/>
  <c r="T17" i="6"/>
  <c r="W17" i="6" s="1"/>
  <c r="U11" i="6"/>
  <c r="W11" i="6" s="1"/>
  <c r="Q8" i="6"/>
  <c r="P8" i="6"/>
  <c r="T7" i="6"/>
  <c r="S7" i="6"/>
  <c r="Q7" i="6"/>
  <c r="S6" i="6"/>
  <c r="Q6" i="6"/>
  <c r="T5" i="6"/>
  <c r="S5" i="6"/>
  <c r="Q5" i="6"/>
  <c r="S4" i="6"/>
  <c r="Q4" i="6"/>
  <c r="S3" i="6"/>
  <c r="Q3" i="6"/>
  <c r="Q2" i="6"/>
  <c r="W2" i="6" s="1"/>
  <c r="F54" i="6"/>
  <c r="F53" i="6"/>
  <c r="F51" i="6"/>
  <c r="C50" i="6"/>
  <c r="F49" i="6"/>
  <c r="F48" i="6"/>
  <c r="F47" i="6"/>
  <c r="F46" i="6"/>
  <c r="F45" i="6"/>
  <c r="C44" i="6"/>
  <c r="F44" i="6" s="1"/>
  <c r="F43" i="6"/>
  <c r="C42" i="6"/>
  <c r="F42" i="6" s="1"/>
  <c r="C41" i="6"/>
  <c r="F41" i="6" s="1"/>
  <c r="C40" i="6"/>
  <c r="F40" i="6" s="1"/>
  <c r="E39" i="6"/>
  <c r="F39" i="6" s="1"/>
  <c r="C38" i="6"/>
  <c r="F38" i="6" s="1"/>
  <c r="F37" i="6"/>
  <c r="E36" i="6"/>
  <c r="F36" i="6" s="1"/>
  <c r="E35" i="6"/>
  <c r="F35" i="6" s="1"/>
  <c r="E34" i="6"/>
  <c r="F34" i="6" s="1"/>
  <c r="E33" i="6"/>
  <c r="F33" i="6" s="1"/>
  <c r="E32" i="6"/>
  <c r="F32" i="6" s="1"/>
  <c r="E31" i="6"/>
  <c r="F31" i="6" s="1"/>
  <c r="E30" i="6"/>
  <c r="F30" i="6" s="1"/>
  <c r="E29" i="6"/>
  <c r="F29" i="6" s="1"/>
  <c r="E28" i="6"/>
  <c r="F28" i="6" s="1"/>
  <c r="E27" i="6"/>
  <c r="F27" i="6" s="1"/>
  <c r="E26" i="6"/>
  <c r="F26" i="6" s="1"/>
  <c r="E25" i="6"/>
  <c r="F25" i="6" s="1"/>
  <c r="K20" i="6"/>
  <c r="H19" i="6"/>
  <c r="K19" i="6" s="1"/>
  <c r="H18" i="6"/>
  <c r="K18" i="6" s="1"/>
  <c r="H17" i="6"/>
  <c r="K17" i="6" s="1"/>
  <c r="I11" i="6"/>
  <c r="K10" i="6"/>
  <c r="K9" i="6"/>
  <c r="E8" i="6"/>
  <c r="D8" i="6"/>
  <c r="H7" i="6"/>
  <c r="G7" i="6"/>
  <c r="E7" i="6"/>
  <c r="G6" i="6"/>
  <c r="E6" i="6"/>
  <c r="H5" i="6"/>
  <c r="G5" i="6"/>
  <c r="E5" i="6"/>
  <c r="G4" i="6"/>
  <c r="E4" i="6"/>
  <c r="G3" i="6"/>
  <c r="E3" i="6"/>
  <c r="E2" i="6"/>
  <c r="K2" i="6" s="1"/>
  <c r="DO4" i="6" l="1"/>
  <c r="EA12" i="6"/>
  <c r="DO16" i="6"/>
  <c r="DO7" i="6"/>
  <c r="EA7" i="6"/>
  <c r="DC3" i="6"/>
  <c r="DC6" i="6"/>
  <c r="DC8" i="6"/>
  <c r="DC7" i="6"/>
  <c r="DC4" i="6"/>
  <c r="DC5" i="6"/>
  <c r="CX58" i="6"/>
  <c r="DO9" i="6"/>
  <c r="DV34" i="6"/>
  <c r="DV60" i="6" s="1"/>
  <c r="EA9" i="6"/>
  <c r="DJ33" i="6"/>
  <c r="DO8" i="6"/>
  <c r="EA6" i="6"/>
  <c r="EA8" i="6"/>
  <c r="DO6" i="6"/>
  <c r="BS8" i="6"/>
  <c r="DJ31" i="6"/>
  <c r="W3" i="6"/>
  <c r="CQ7" i="6"/>
  <c r="CQ6" i="6"/>
  <c r="W6" i="6"/>
  <c r="CQ4" i="6"/>
  <c r="AI8" i="6"/>
  <c r="K6" i="6"/>
  <c r="AI4" i="6"/>
  <c r="CE4" i="6"/>
  <c r="CQ8" i="6"/>
  <c r="K3" i="6"/>
  <c r="K8" i="6"/>
  <c r="AU6" i="6"/>
  <c r="AI7" i="6"/>
  <c r="CE7" i="6"/>
  <c r="BZ27" i="6"/>
  <c r="BZ59" i="6" s="1"/>
  <c r="W4" i="6"/>
  <c r="AI3" i="6"/>
  <c r="CE3" i="6"/>
  <c r="AU8" i="6"/>
  <c r="AI5" i="6"/>
  <c r="BS6" i="6"/>
  <c r="CE5" i="6"/>
  <c r="BS7" i="6"/>
  <c r="AI6" i="6"/>
  <c r="CE6" i="6"/>
  <c r="CQ5" i="6"/>
  <c r="AU4" i="6"/>
  <c r="BS5" i="6"/>
  <c r="CE8" i="6"/>
  <c r="K4" i="6"/>
  <c r="AU5" i="6"/>
  <c r="W7" i="6"/>
  <c r="CQ3" i="6"/>
  <c r="K5" i="6"/>
  <c r="K11" i="6"/>
  <c r="W8" i="6"/>
  <c r="AU7" i="6"/>
  <c r="BS3" i="6"/>
  <c r="W5" i="6"/>
  <c r="AU3" i="6"/>
  <c r="BS4" i="6"/>
  <c r="BG4" i="6"/>
  <c r="CL27" i="6"/>
  <c r="CL59" i="6" s="1"/>
  <c r="BN26" i="6"/>
  <c r="BN55" i="6" s="1"/>
  <c r="BG3" i="6"/>
  <c r="BG7" i="6"/>
  <c r="BG6" i="6"/>
  <c r="BG8" i="6"/>
  <c r="K7" i="6"/>
  <c r="BG5" i="6"/>
  <c r="BB57" i="6"/>
  <c r="AP56" i="6"/>
  <c r="AD57" i="6"/>
  <c r="R56" i="6"/>
  <c r="F56" i="6"/>
  <c r="DC23" i="6" l="1"/>
  <c r="EA26" i="6"/>
  <c r="EA60" i="6" s="1"/>
  <c r="DQ3" i="6" s="1"/>
  <c r="DC58" i="6"/>
  <c r="CS3" i="6" s="1"/>
  <c r="DO27" i="6"/>
  <c r="DJ61" i="6"/>
  <c r="AI22" i="6"/>
  <c r="AI58" i="6" s="1"/>
  <c r="Y3" i="6" s="1"/>
  <c r="CQ23" i="6"/>
  <c r="CQ59" i="6" s="1"/>
  <c r="CG3" i="6" s="1"/>
  <c r="CE23" i="6"/>
  <c r="CE59" i="6" s="1"/>
  <c r="BU3" i="6" s="1"/>
  <c r="W22" i="6"/>
  <c r="W57" i="6" s="1"/>
  <c r="M3" i="6" s="1"/>
  <c r="BS22" i="6"/>
  <c r="BS56" i="6" s="1"/>
  <c r="BI3" i="6" s="1"/>
  <c r="AU21" i="6"/>
  <c r="AU57" i="6" s="1"/>
  <c r="AK3" i="6" s="1"/>
  <c r="BG22" i="6"/>
  <c r="BG58" i="6" s="1"/>
  <c r="AW3" i="6" s="1"/>
  <c r="K22" i="6"/>
  <c r="K57" i="6" s="1"/>
  <c r="A3" i="6" s="1"/>
  <c r="DO61" i="6" l="1"/>
  <c r="DE3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tc={F1F3AA6F-4590-764B-B02A-FBD6DDEADC46}</author>
    <author>tc={26D1FA45-9A0D-3846-BFF4-53EF4CD31628}</author>
    <author>tc={62F2FB81-51AA-104D-9863-AE2607DC3615}</author>
    <author>tc={708336C4-6645-6E4C-87A5-4C24D08F8C47}</author>
    <author>tc={B6D43D02-6473-B74C-9200-0532FE9467CF}</author>
    <author>tc={5CC38F39-E13F-3545-9AFC-478DAEB7C480}</author>
    <author>tc={0DDF068B-E02E-5343-95FD-77986C1EBDC2}</author>
    <author>tc={C67F6FE9-F23C-124A-8F0C-5951E4B433A6}</author>
    <author>tc={CFA194D6-277E-1D46-A42A-19646741760B}</author>
    <author>tc={E624752C-7972-F74F-9797-31555071CABD}</author>
    <author>tc={6355A16D-CCF4-B64A-8BCA-2CFB074E661F}</author>
    <author>tc={9CB3A3AA-5E69-8240-A1A9-8BB0D41B34E8}</author>
    <author>tc={1FBF3711-E12B-AD4D-B07A-88862F88DEDF}</author>
    <author>tc={909E3FB5-00AB-6348-BA1B-6B94D0C338AC}</author>
    <author>tc={80BDF1E3-DDE1-B841-9E11-1604927025E2}</author>
    <author>tc={1DD13ABB-36A4-D244-B18C-A4F39F848D33}</author>
    <author>tc={6D43623B-40FD-4D4A-9F01-44AC7B70B285}</author>
    <author>tc={F8DCCE91-B81B-1C43-BC3A-375F77CE86B0}</author>
    <author>tc={C1572A42-3F91-5A46-B8DF-9CCA39E9B2B9}</author>
    <author>tc={CF9F3226-0FE2-564D-A4A9-7F2784F3C46A}</author>
    <author>tc={ED67CD47-C12A-874E-AB1D-359CEFA17367}</author>
    <author>tc={43186F23-93D1-C943-830D-71C4CB21528E}</author>
    <author>tc={6517B263-D802-1147-9B1B-A335C469572D}</author>
    <author>tc={043E8456-734D-744A-B43C-5652517C0775}</author>
    <author>tc={C39A13E5-D41C-894D-9636-D3092126B91C}</author>
    <author>tc={87B111FE-DA8A-7948-BF16-5D2E3FE687D2}</author>
    <author>tc={6427A08C-1FC2-154E-8768-C05906E4F1C2}</author>
    <author>tc={0534C49A-1C5C-CC40-BDE1-7F6FA712CDE2}</author>
    <author>tc={BADDD6D1-FB9B-4043-9D36-69EA9C3A457A}</author>
    <author>tc={BCCBDB0C-2A5C-F14E-8C36-2A365A443FDF}</author>
    <author>tc={582348FC-B84B-9848-B28F-5791AE5CA795}</author>
    <author>tc={B095131F-B64A-754E-A9BC-EC9055B51626}</author>
    <author>tc={777B35E5-F6A5-5644-B255-D558CD40AB52}</author>
    <author>tc={6B2FA69F-0631-424D-A86D-B0664F08F49F}</author>
    <author>tc={655181B7-551B-CB4B-8764-6666CA29B234}</author>
    <author>tc={EB41F9F4-4D4A-6940-B504-DABE272C78AA}</author>
    <author>tc={8634A33D-DB85-1F48-8D62-2A0B1CD719E3}</author>
    <author>tc={A0FB5430-1B01-A248-B9AA-336C52DC8144}</author>
    <author>tc={B6501974-8F13-7F42-AAAA-9BC13EE6EB75}</author>
    <author>tc={93773CDA-9240-3C43-966B-4502AD66A4B9}</author>
    <author>tc={0220B67D-35F6-3945-A7A4-381D53BE04CD}</author>
    <author>tc={FAB815FA-A7DD-424C-B2DE-4927EFE99C16}</author>
    <author>tc={1CB333D2-D642-7346-8967-8B7E2A60DFE2}</author>
    <author>tc={306BE2F1-E246-0D4A-84E8-878362AEEEB7}</author>
    <author>tc={9F980799-7A9B-AD4B-BD7F-8B8291370A7F}</author>
    <author>tc={834FAFCF-C6B7-9543-A0E7-BD685CC36F84}</author>
    <author>tc={D5F3AC6E-2EBA-104A-A93C-252090FBA12A}</author>
    <author>tc={15B9CA3D-6782-C845-8041-0C3493FB6183}</author>
    <author>tc={18C50115-0D71-E149-A74C-81BA331B4604}</author>
    <author>tc={2DCD4715-96A9-074E-9A32-D5B004BE2D12}</author>
    <author>tc={0714A2B9-4B4F-2B47-90C0-AE9808D97C0D}</author>
    <author>tc={1F9C1C6B-BB69-C742-BE7B-68A9C05B71C7}</author>
    <author>tc={9B3E2667-7804-6C43-9F59-4449D612E5E5}</author>
    <author>tc={82FD747E-E2CB-A943-A9F8-7FA14085F9FB}</author>
    <author>tc={5D690A74-5AAC-6745-94CF-5FC2F65030C9}</author>
    <author>tc={21E754EE-2A54-2F44-92E0-9C5C19EF46E1}</author>
    <author>tc={D2BDA15D-DE6A-F740-ABC9-593DBA0F817C}</author>
    <author>tc={C501B7FC-BDBC-8C4A-B82C-90096B2BC182}</author>
    <author>tc={AF4BF46C-247A-264A-8AB8-CE3A145BCA32}</author>
    <author>tc={E4A9DB4A-9BB7-4D47-8562-A4A19239296D}</author>
    <author>tc={6D81BD73-8251-F047-8696-5FCE690650FC}</author>
  </authors>
  <commentList>
    <comment ref="AY1" authorId="0" shapeId="0" xr:uid="{F1F3AA6F-4590-764B-B02A-FBD6DDEADC46}">
      <text>
        <t>[Threaded comment]
Your version of Excel allows you to read this threaded comment; however, any edits to it will get removed if the file is opened in a newer version of Excel. Learn more: https://go.microsoft.com/fwlink/?linkid=870924
Comment:
    금융인증서발급수수료 4,400</t>
      </text>
    </comment>
    <comment ref="BR1" authorId="1" shapeId="0" xr:uid="{26D1FA45-9A0D-3846-BFF4-53EF4CD31628}">
      <text>
        <t>[Threaded comment]
Your version of Excel allows you to read this threaded comment; however, any edits to it will get removed if the file is opened in a newer version of Excel. Learn more: https://go.microsoft.com/fwlink/?linkid=870924
Comment:
    금융인증서발급수수료 4,400</t>
      </text>
    </comment>
    <comment ref="AA2" authorId="2" shapeId="0" xr:uid="{62F2FB81-51AA-104D-9863-AE2607DC3615}">
      <text>
        <t>[Threaded comment]
Your version of Excel allows you to read this threaded comment; however, any edits to it will get removed if the file is opened in a newer version of Excel. Learn more: https://go.microsoft.com/fwlink/?linkid=870924
Comment:
    안병규</t>
      </text>
    </comment>
    <comment ref="AA3" authorId="3" shapeId="0" xr:uid="{708336C4-6645-6E4C-87A5-4C24D08F8C47}">
      <text>
        <t>[Threaded comment]
Your version of Excel allows you to read this threaded comment; however, any edits to it will get removed if the file is opened in a newer version of Excel. Learn more: https://go.microsoft.com/fwlink/?linkid=870924
Comment:
    김명선 3000
Reply:
    김경현 3000
Reply:
    신선민 6000
Reply:
    문철호 6000
Reply:
    김기현 12000
Reply:
    문현성 6000
Reply:
    최솔잎 6000
Reply:
    김소영 6000.5
Reply:
    안병규 6000
Reply:
    류주영 6000</t>
      </text>
    </comment>
    <comment ref="AI3" authorId="4" shapeId="0" xr:uid="{B6D43D02-6473-B74C-9200-0532FE9467CF}">
      <text>
        <t>[Threaded comment]
Your version of Excel allows you to read this threaded comment; however, any edits to it will get removed if the file is opened in a newer version of Excel. Learn more: https://go.microsoft.com/fwlink/?linkid=870924
Comment:
    변호사 (계약서 작성) 5,500,000
Reply:
    세무사 495,000
Reply:
    0718 법무사 증자
Reply:
    0720 세무기장 165000
Reply:
    0729 공인중개수수료</t>
      </text>
    </comment>
    <comment ref="AJ3" authorId="5" shapeId="0" xr:uid="{5CC38F39-E13F-3545-9AFC-478DAEB7C480}">
      <text>
        <t>[Threaded comment]
Your version of Excel allows you to read this threaded comment; however, any edits to it will get removed if the file is opened in a newer version of Excel. Learn more: https://go.microsoft.com/fwlink/?linkid=870924
Comment:
    1375000 두번나감 확인 필요</t>
      </text>
    </comment>
    <comment ref="AY4" authorId="6" shapeId="0" xr:uid="{0DDF068B-E02E-5343-95FD-77986C1EBDC2}">
      <text>
        <t>[Threaded comment]
Your version of Excel allows you to read this threaded comment; however, any edits to it will get removed if the file is opened in a newer version of Excel. Learn more: https://go.microsoft.com/fwlink/?linkid=870924
Comment:
    0817 농협주식회사비에이</t>
      </text>
    </comment>
    <comment ref="AI5" authorId="7" shapeId="0" xr:uid="{C67F6FE9-F23C-124A-8F0C-5951E4B433A6}">
      <text>
        <t>[Threaded comment]
Your version of Excel allows you to read this threaded comment; however, any edits to it will get removed if the file is opened in a newer version of Excel. Learn more: https://go.microsoft.com/fwlink/?linkid=870924
Comment:
    0929 중개수수료 330,000</t>
      </text>
    </comment>
    <comment ref="AJ5" authorId="8" shapeId="0" xr:uid="{CFA194D6-277E-1D46-A42A-19646741760B}">
      <text>
        <t>[Threaded comment]
Your version of Excel allows you to read this threaded comment; however, any edits to it will get removed if the file is opened in a newer version of Excel. Learn more: https://go.microsoft.com/fwlink/?linkid=870924
Comment:
    냉장고</t>
      </text>
    </comment>
    <comment ref="AJ6" authorId="9" shapeId="0" xr:uid="{E624752C-7972-F74F-9797-31555071CABD}">
      <text>
        <t>[Threaded comment]
Your version of Excel allows you to read this threaded comment; however, any edits to it will get removed if the file is opened in a newer version of Excel. Learn more: https://go.microsoft.com/fwlink/?linkid=870924
Comment:
    1003 김소영 사무실 가구 287500
Reply:
    1003 김소영 현관매트 15400
Reply:
    1003 김소영 책장 318500
Reply:
    1003 김소영 커피머신 90400
Reply:
    1004 마또 착수금 73,500,000
Reply:
    1006 프린터 217500</t>
      </text>
    </comment>
    <comment ref="AI7" authorId="10" shapeId="0" xr:uid="{6355A16D-CCF4-B64A-8BCA-2CFB074E661F}">
      <text>
        <t>[Threaded comment]
Your version of Excel allows you to read this threaded comment; however, any edits to it will get removed if the file is opened in a newer version of Excel. Learn more: https://go.microsoft.com/fwlink/?linkid=870924
Comment:
    부동산 + 본점이전등기
Reply:
    법인설립비용
Reply:
    모네 리쿠르팅 CHOEJENNIF</t>
      </text>
    </comment>
    <comment ref="AG8" authorId="11" shapeId="0" xr:uid="{9CB3A3AA-5E69-8240-A1A9-8BB0D41B34E8}">
      <text>
        <t>[Threaded comment]
Your version of Excel allows you to read this threaded comment; however, any edits to it will get removed if the file is opened in a newer version of Excel. Learn more: https://go.microsoft.com/fwlink/?linkid=870924
Comment:
    이자</t>
      </text>
    </comment>
    <comment ref="AI9" authorId="12" shapeId="0" xr:uid="{1FBF3711-E12B-AD4D-B07A-88862F88DEDF}">
      <text>
        <t>[Threaded comment]
Your version of Excel allows you to read this threaded comment; however, any edits to it will get removed if the file is opened in a newer version of Excel. Learn more: https://go.microsoft.com/fwlink/?linkid=870924
Comment:
    이사</t>
      </text>
    </comment>
    <comment ref="AA10" authorId="13" shapeId="0" xr:uid="{909E3FB5-00AB-6348-BA1B-6B94D0C338AC}">
      <text>
        <t>[Threaded comment]
Your version of Excel allows you to read this threaded comment; however, any edits to it will get removed if the file is opened in a newer version of Excel. Learn more: https://go.microsoft.com/fwlink/?linkid=870924
Comment:
    문현성 최솔잎 김희경 김희경 김희경 김경현 김명선
Reply:
    -김희경*3</t>
      </text>
    </comment>
    <comment ref="AG10" authorId="14" shapeId="0" xr:uid="{80BDF1E3-DDE1-B841-9E11-1604927025E2}">
      <text>
        <t>[Threaded comment]
Your version of Excel allows you to read this threaded comment; however, any edits to it will get removed if the file is opened in a newer version of Excel. Learn more: https://go.microsoft.com/fwlink/?linkid=870924
Comment:
    신한은행 출처를 모름</t>
      </text>
    </comment>
    <comment ref="AG11" authorId="15" shapeId="0" xr:uid="{1DD13ABB-36A4-D244-B18C-A4F39F848D33}">
      <text>
        <t>[Threaded comment]
Your version of Excel allows you to read this threaded comment; however, any edits to it will get removed if the file is opened in a newer version of Excel. Learn more: https://go.microsoft.com/fwlink/?linkid=870924
Comment:
    이자
Reply:
    관리비환급</t>
      </text>
    </comment>
    <comment ref="BH11" authorId="16" shapeId="0" xr:uid="{6D43623B-40FD-4D4A-9F01-44AC7B70B28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이자 및 SH우대환급
</t>
      </text>
    </comment>
    <comment ref="AF12" authorId="17" shapeId="0" xr:uid="{F8DCCE91-B81B-1C43-BC3A-375F77CE86B0}">
      <text>
        <t>[Threaded comment]
Your version of Excel allows you to read this threaded comment; however, any edits to it will get removed if the file is opened in a newer version of Excel. Learn more: https://go.microsoft.com/fwlink/?linkid=870924
Comment:
    워릭프랭클린 6085000(본사?)</t>
      </text>
    </comment>
    <comment ref="AG12" authorId="18" shapeId="0" xr:uid="{C1572A42-3F91-5A46-B8DF-9CCA39E9B2B9}">
      <text>
        <t>[Threaded comment]
Your version of Excel allows you to read this threaded comment; however, any edits to it will get removed if the file is opened in a newer version of Excel. Learn more: https://go.microsoft.com/fwlink/?linkid=870924
Comment:
    0422 잘못옴?</t>
      </text>
    </comment>
    <comment ref="AY12" authorId="19" shapeId="0" xr:uid="{CF9F3226-0FE2-564D-A4A9-7F2784F3C46A}">
      <text>
        <t>[Threaded comment]
Your version of Excel allows you to read this threaded comment; however, any edits to it will get removed if the file is opened in a newer version of Excel. Learn more: https://go.microsoft.com/fwlink/?linkid=870924
Comment:
    김연송 16만원</t>
      </text>
    </comment>
    <comment ref="BC12" authorId="20" shapeId="0" xr:uid="{ED67CD47-C12A-874E-AB1D-359CEFA17367}">
      <text>
        <t>[Threaded comment]
Your version of Excel allows you to read this threaded comment; however, any edits to it will get removed if the file is opened in a newer version of Excel. Learn more: https://go.microsoft.com/fwlink/?linkid=870924
Comment:
    김소영
Reply:
    안병규 19000 + 28800</t>
      </text>
    </comment>
    <comment ref="BL12" authorId="21" shapeId="0" xr:uid="{43186F23-93D1-C943-830D-71C4CB21528E}">
      <text>
        <t>[Threaded comment]
Your version of Excel allows you to read this threaded comment; however, any edits to it will get removed if the file is opened in a newer version of Excel. Learn more: https://go.microsoft.com/fwlink/?linkid=870924
Comment:
    법인이 내야할돈</t>
      </text>
    </comment>
    <comment ref="AF13" authorId="22" shapeId="0" xr:uid="{6517B263-D802-1147-9B1B-A335C469572D}">
      <text>
        <t>[Threaded comment]
Your version of Excel allows you to read this threaded comment; however, any edits to it will get removed if the file is opened in a newer version of Excel. Learn more: https://go.microsoft.com/fwlink/?linkid=870924
Comment:
    신한은행 900</t>
      </text>
    </comment>
    <comment ref="BR13" authorId="23" shapeId="0" xr:uid="{043E8456-734D-744A-B43C-5652517C0775}">
      <text>
        <t>[Threaded comment]
Your version of Excel allows you to read this threaded comment; however, any edits to it will get removed if the file is opened in a newer version of Excel. Learn more: https://go.microsoft.com/fwlink/?linkid=870924
Comment:
    56950원 법인이 내야함
Reply:
    110250
Reply:
    프린터 100,000 305,000</t>
      </text>
    </comment>
    <comment ref="AG14" authorId="24" shapeId="0" xr:uid="{C39A13E5-D41C-894D-9636-D3092126B91C}">
      <text>
        <t>[Threaded comment]
Your version of Excel allows you to read this threaded comment; however, any edits to it will get removed if the file is opened in a newer version of Excel. Learn more: https://go.microsoft.com/fwlink/?linkid=870924
Comment:
    이자</t>
      </text>
    </comment>
    <comment ref="BH14" authorId="25" shapeId="0" xr:uid="{87B111FE-DA8A-7948-BF16-5D2E3FE687D2}">
      <text>
        <t>[Threaded comment]
Your version of Excel allows you to read this threaded comment; however, any edits to it will get removed if the file is opened in a newer version of Excel. Learn more: https://go.microsoft.com/fwlink/?linkid=870924
Comment:
    이자</t>
      </text>
    </comment>
    <comment ref="AS15" authorId="26" shapeId="0" xr:uid="{6427A08C-1FC2-154E-8768-C05906E4F1C2}">
      <text>
        <t>[Threaded comment]
Your version of Excel allows you to read this threaded comment; however, any edits to it will get removed if the file is opened in a newer version of Excel. Learn more: https://go.microsoft.com/fwlink/?linkid=870924
Comment:
    개인사업자부담</t>
      </text>
    </comment>
    <comment ref="BR15" authorId="27" shapeId="0" xr:uid="{0534C49A-1C5C-CC40-BDE1-7F6FA712CDE2}">
      <text>
        <t>[Threaded comment]
Your version of Excel allows you to read this threaded comment; however, any edits to it will get removed if the file is opened in a newer version of Excel. Learn more: https://go.microsoft.com/fwlink/?linkid=870924
Comment:
    하복</t>
      </text>
    </comment>
    <comment ref="AA16" authorId="28" shapeId="0" xr:uid="{BADDD6D1-FB9B-4043-9D36-69EA9C3A457A}">
      <text>
        <t>[Threaded comment]
Your version of Excel allows you to read this threaded comment; however, any edits to it will get removed if the file is opened in a newer version of Excel. Learn more: https://go.microsoft.com/fwlink/?linkid=870924
Comment:
    김소영
Reply:
    안병규 4천모자라게 넣음</t>
      </text>
    </comment>
    <comment ref="AG16" authorId="29" shapeId="0" xr:uid="{BCCBDB0C-2A5C-F14E-8C36-2A365A443FDF}">
      <text>
        <t>[Threaded comment]
Your version of Excel allows you to read this threaded comment; however, any edits to it will get removed if the file is opened in a newer version of Excel. Learn more: https://go.microsoft.com/fwlink/?linkid=870924
Comment:
    앗빙수 기타소득
Reply:
    관리비정산</t>
      </text>
    </comment>
    <comment ref="BH17" authorId="30" shapeId="0" xr:uid="{582348FC-B84B-9848-B28F-5791AE5CA795}">
      <text>
        <t>[Threaded comment]
Your version of Excel allows you to read this threaded comment; however, any edits to it will get removed if the file is opened in a newer version of Excel. Learn more: https://go.microsoft.com/fwlink/?linkid=870924
Comment:
    카드 환불
Reply:
    이자</t>
      </text>
    </comment>
    <comment ref="AA18" authorId="31" shapeId="0" xr:uid="{B095131F-B64A-754E-A9BC-EC9055B51626}">
      <text>
        <t>[Threaded comment]
Your version of Excel allows you to read this threaded comment; however, any edits to it will get removed if the file is opened in a newer version of Excel. Learn more: https://go.microsoft.com/fwlink/?linkid=870924
Comment:
    4천모자라던거 2천넣음
Reply:
    2천모자라던거 5백넣음 = 1.5천</t>
      </text>
    </comment>
    <comment ref="AG18" authorId="32" shapeId="0" xr:uid="{777B35E5-F6A5-5644-B255-D558CD40AB52}">
      <text>
        <t>[Threaded comment]
Your version of Excel allows you to read this threaded comment; however, any edits to it will get removed if the file is opened in a newer version of Excel. Learn more: https://go.microsoft.com/fwlink/?linkid=870924
Comment:
    청년도약장려금</t>
      </text>
    </comment>
    <comment ref="AG19" authorId="33" shapeId="0" xr:uid="{6B2FA69F-0631-424D-A86D-B0664F08F49F}">
      <text>
        <t>[Threaded comment]
Your version of Excel allows you to read this threaded comment; however, any edits to it will get removed if the file is opened in a newer version of Excel. Learn more: https://go.microsoft.com/fwlink/?linkid=870924
Comment:
    이자</t>
      </text>
    </comment>
    <comment ref="AA20" authorId="34" shapeId="0" xr:uid="{655181B7-551B-CB4B-8764-6666CA29B234}">
      <text>
        <t>[Threaded comment]
Your version of Excel allows you to read this threaded comment; however, any edits to it will get removed if the file is opened in a newer version of Excel. Learn more: https://go.microsoft.com/fwlink/?linkid=870924
Comment:
    돈 마저 넣음</t>
      </text>
    </comment>
    <comment ref="AG20" authorId="35" shapeId="0" xr:uid="{EB41F9F4-4D4A-6940-B504-DABE272C78AA}">
      <text>
        <t>[Threaded comment]
Your version of Excel allows you to read this threaded comment; however, any edits to it will get removed if the file is opened in a newer version of Excel. Learn more: https://go.microsoft.com/fwlink/?linkid=870924
Comment:
    이자</t>
      </text>
    </comment>
    <comment ref="BH20" authorId="36" shapeId="0" xr:uid="{8634A33D-DB85-1F48-8D62-2A0B1CD719E3}">
      <text>
        <t>[Threaded comment]
Your version of Excel allows you to read this threaded comment; however, any edits to it will get removed if the file is opened in a newer version of Excel. Learn more: https://go.microsoft.com/fwlink/?linkid=870924
Comment:
    이자</t>
      </text>
    </comment>
    <comment ref="BR20" authorId="37" shapeId="0" xr:uid="{A0FB5430-1B01-A248-B9AA-336C52DC8144}">
      <text>
        <t>[Threaded comment]
Your version of Excel allows you to read this threaded comment; however, any edits to it will get removed if the file is opened in a newer version of Excel. Learn more: https://go.microsoft.com/fwlink/?linkid=870924
Comment:
    티비설치 4만
Reply:
    헤더 침대 배송 6만</t>
      </text>
    </comment>
    <comment ref="AG21" authorId="38" shapeId="0" xr:uid="{B6501974-8F13-7F42-AAAA-9BC13EE6EB75}">
      <text>
        <t>[Threaded comment]
Your version of Excel allows you to read this threaded comment; however, any edits to it will get removed if the file is opened in a newer version of Excel. Learn more: https://go.microsoft.com/fwlink/?linkid=870924
Comment:
    청년도약장려금</t>
      </text>
    </comment>
    <comment ref="AN23" authorId="39" shapeId="0" xr:uid="{93773CDA-9240-3C43-966B-4502AD66A4B9}">
      <text>
        <t>[Threaded comment]
Your version of Excel allows you to read this threaded comment; however, any edits to it will get removed if the file is opened in a newer version of Excel. Learn more: https://go.microsoft.com/fwlink/?linkid=870924
Comment:
    자스민 퇴직금</t>
      </text>
    </comment>
    <comment ref="BH23" authorId="40" shapeId="0" xr:uid="{0220B67D-35F6-3945-A7A4-381D53BE04CD}">
      <text>
        <t>[Threaded comment]
Your version of Excel allows you to read this threaded comment; however, any edits to it will get removed if the file is opened in a newer version of Excel. Learn more: https://go.microsoft.com/fwlink/?linkid=870924
Comment:
    이자 + 신한카드 환불</t>
      </text>
    </comment>
    <comment ref="AG24" authorId="41" shapeId="0" xr:uid="{FAB815FA-A7DD-424C-B2DE-4927EFE99C16}">
      <text>
        <t>[Threaded comment]
Your version of Excel allows you to read this threaded comment; however, any edits to it will get removed if the file is opened in a newer version of Excel. Learn more: https://go.microsoft.com/fwlink/?linkid=870924
Comment:
    신보 보증 환급</t>
      </text>
    </comment>
    <comment ref="BH24" authorId="42" shapeId="0" xr:uid="{1CB333D2-D642-7346-8967-8B7E2A60DFE2}">
      <text>
        <t>[Threaded comment]
Your version of Excel allows you to read this threaded comment; however, any edits to it will get removed if the file is opened in a newer version of Excel. Learn more: https://go.microsoft.com/fwlink/?linkid=870924
Comment:
    신한카드 캐시백
Reply:
    보증료 환급</t>
      </text>
    </comment>
    <comment ref="AN25" authorId="43" shapeId="0" xr:uid="{306BE2F1-E246-0D4A-84E8-878362AEEEB7}">
      <text>
        <t>[Threaded comment]
Your version of Excel allows you to read this threaded comment; however, any edits to it will get removed if the file is opened in a newer version of Excel. Learn more: https://go.microsoft.com/fwlink/?linkid=870924
Comment:
    정혜민 퇴직위로금</t>
      </text>
    </comment>
    <comment ref="AJ26" authorId="44" shapeId="0" xr:uid="{9F980799-7A9B-AD4B-BD7F-8B8291370A7F}">
      <text>
        <t>[Threaded comment]
Your version of Excel allows you to read this threaded comment; however, any edits to it will get removed if the file is opened in a newer version of Excel. Learn more: https://go.microsoft.com/fwlink/?linkid=870924
Comment:
    에어컨</t>
      </text>
    </comment>
    <comment ref="AY27" authorId="45" shapeId="0" xr:uid="{834FAFCF-C6B7-9543-A0E7-BD685CC36F84}">
      <text>
        <t>[Threaded comment]
Your version of Excel allows you to read this threaded comment; however, any edits to it will get removed if the file is opened in a newer version of Excel. Learn more: https://go.microsoft.com/fwlink/?linkid=870924
Comment:
    프린트 5개월 1,925,000</t>
      </text>
    </comment>
    <comment ref="BN31" authorId="46" shapeId="0" xr:uid="{D5F3AC6E-2EBA-104A-A93C-252090FBA12A}">
      <text>
        <t>[Threaded comment]
Your version of Excel allows you to read this threaded comment; however, any edits to it will get removed if the file is opened in a newer version of Excel. Learn more: https://go.microsoft.com/fwlink/?linkid=870924
Comment:
    446050 가이디드 리딩 법인꺼</t>
      </text>
    </comment>
    <comment ref="BR31" authorId="47" shapeId="0" xr:uid="{15B9CA3D-6782-C845-8041-0C3493FB6183}">
      <text>
        <t>[Threaded comment]
Your version of Excel allows you to read this threaded comment; however, any edits to it will get removed if the file is opened in a newer version of Excel. Learn more: https://go.microsoft.com/fwlink/?linkid=870924
Comment:
    김민설 병원비</t>
      </text>
    </comment>
    <comment ref="AJ32" authorId="48" shapeId="0" xr:uid="{18C50115-0D71-E149-A74C-81BA331B4604}">
      <text>
        <t>[Threaded comment]
Your version of Excel allows you to read this threaded comment; however, any edits to it will get removed if the file is opened in a newer version of Excel. Learn more: https://go.microsoft.com/fwlink/?linkid=870924
Comment:
    에어컨</t>
      </text>
    </comment>
    <comment ref="BJ32" authorId="49" shapeId="0" xr:uid="{2DCD4715-96A9-074E-9A32-D5B004BE2D12}">
      <text>
        <t>[Threaded comment]
Your version of Excel allows you to read this threaded comment; however, any edits to it will get removed if the file is opened in a newer version of Excel. Learn more: https://go.microsoft.com/fwlink/?linkid=870924
Comment:
    냉난방 법인꺼</t>
      </text>
    </comment>
    <comment ref="AN35" authorId="50" shapeId="0" xr:uid="{0714A2B9-4B4F-2B47-90C0-AE9808D97C0D}">
      <text>
        <t>[Threaded comment]
Your version of Excel allows you to read this threaded comment; however, any edits to it will get removed if the file is opened in a newer version of Excel. Learn more: https://go.microsoft.com/fwlink/?linkid=870924
Comment:
    이보람 퇴직금 2,656,840
Reply:
    헤더 퇴직금 260
Reply:
    에이시아 퇴직금 2,575,360
Reply:
    벤자민 퇴직금 5,194,720</t>
      </text>
    </comment>
    <comment ref="BL35" authorId="51" shapeId="0" xr:uid="{1F9C1C6B-BB69-C742-BE7B-68A9C05B71C7}">
      <text>
        <t>[Threaded comment]
Your version of Excel allows you to read this threaded comment; however, any edits to it will get removed if the file is opened in a newer version of Excel. Learn more: https://go.microsoft.com/fwlink/?linkid=870924
Comment:
    155,960 토리 법인꺼
Reply:
    483,500 토리 법인꺼
Reply:
    224,374 포샤 법인꺼</t>
      </text>
    </comment>
    <comment ref="AN36" authorId="52" shapeId="0" xr:uid="{9B3E2667-7804-6C43-9F59-4449D612E5E5}">
      <text>
        <t>[Threaded comment]
Your version of Excel allows you to read this threaded comment; however, any edits to it will get removed if the file is opened in a newer version of Excel. Learn more: https://go.microsoft.com/fwlink/?linkid=870924
Comment:
    김예은 퇴직금 4,675,616
Reply:
    김예은 잔여 연차 1,258,840
Reply:
    한유진 퇴직금 3,198,470</t>
      </text>
    </comment>
    <comment ref="BL36" authorId="53" shapeId="0" xr:uid="{82FD747E-E2CB-A943-A9F8-7FA14085F9FB}">
      <text>
        <t>[Threaded comment]
Your version of Excel allows you to read this threaded comment; however, any edits to it will get removed if the file is opened in a newer version of Excel. Learn more: https://go.microsoft.com/fwlink/?linkid=870924
Comment:
    토리
Reply:
    마야
Reply:
    조연우</t>
      </text>
    </comment>
    <comment ref="AJ37" authorId="54" shapeId="0" xr:uid="{5D690A74-5AAC-6745-94CF-5FC2F65030C9}">
      <text>
        <t>[Threaded comment]
Your version of Excel allows you to read this threaded comment; however, any edits to it will get removed if the file is opened in a newer version of Excel. Learn more: https://go.microsoft.com/fwlink/?linkid=870924
Comment:
    임차지 도배</t>
      </text>
    </comment>
    <comment ref="BL37" authorId="55" shapeId="0" xr:uid="{21E754EE-2A54-2F44-92E0-9C5C19EF46E1}">
      <text>
        <t>[Threaded comment]
Your version of Excel allows you to read this threaded comment; however, any edits to it will get removed if the file is opened in a newer version of Excel. Learn more: https://go.microsoft.com/fwlink/?linkid=870924
Comment:
    조연우
Reply:
    마야</t>
      </text>
    </comment>
    <comment ref="AN38" authorId="56" shapeId="0" xr:uid="{D2BDA15D-DE6A-F740-ABC9-593DBA0F817C}">
      <text>
        <t>[Threaded comment]
Your version of Excel allows you to read this threaded comment; however, any edits to it will get removed if the file is opened in a newer version of Excel. Learn more: https://go.microsoft.com/fwlink/?linkid=870924
Comment:
    Jevon 대출</t>
      </text>
    </comment>
    <comment ref="BL38" authorId="57" shapeId="0" xr:uid="{C501B7FC-BDBC-8C4A-B82C-90096B2BC182}">
      <text>
        <t>[Threaded comment]
Your version of Excel allows you to read this threaded comment; however, any edits to it will get removed if the file is opened in a newer version of Excel. Learn more: https://go.microsoft.com/fwlink/?linkid=870924
Comment:
    마야
Reply:
    조연우</t>
      </text>
    </comment>
    <comment ref="BM38" authorId="58" shapeId="0" xr:uid="{AF4BF46C-247A-264A-8AB8-CE3A145BCA32}">
      <text>
        <t>[Threaded comment]
Your version of Excel allows you to read this threaded comment; however, any edits to it will get removed if the file is opened in a newer version of Excel. Learn more: https://go.microsoft.com/fwlink/?linkid=870924
Comment:
    33040 법인꺼</t>
      </text>
    </comment>
    <comment ref="BN40" authorId="59" shapeId="0" xr:uid="{E4A9DB4A-9BB7-4D47-8562-A4A19239296D}">
      <text>
        <t>[Threaded comment]
Your version of Excel allows you to read this threaded comment; however, any edits to it will get removed if the file is opened in a newer version of Excel. Learn more: https://go.microsoft.com/fwlink/?linkid=870924
Comment:
    1,669,150 SKPAY 체크카드결제 뭔지?</t>
      </text>
    </comment>
    <comment ref="BN41" authorId="60" shapeId="0" xr:uid="{6D81BD73-8251-F047-8696-5FCE690650FC}">
      <text>
        <t>[Threaded comment]
Your version of Excel allows you to read this threaded comment; however, any edits to it will get removed if the file is opened in a newer version of Excel. Learn more: https://go.microsoft.com/fwlink/?linkid=870924
Comment:
    1,669,150 SKPAY 체크카드결제 뭔지?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tc={F238DA54-D652-4E2E-81B9-ECCB1141D100}</author>
    <author>tc={E211C6B0-C7FE-446A-A26A-CE549C6EDA85}</author>
    <author>tc={2CD33EDA-7A9F-45E9-A5F8-22DF10F0AFDC}</author>
    <author>tc={4B1664A0-C9DC-4528-B8A9-292F4E7B4640}</author>
    <author>tc={A69FFA88-1120-4E68-B44B-0BBB493AADB4}</author>
    <author>tc={68AFE29B-A741-4A31-897E-B9768F4D71B5}</author>
    <author>tc={A4A03BAE-5B8A-45FC-9931-D1394C92475D}</author>
    <author>tc={C26D4D8F-2532-4482-AC7C-B617BE60A141}</author>
    <author>tc={BF6C3A94-DEFD-4BE4-96F3-8C084083546F}</author>
    <author>tc={5DFA6350-26AE-4BF4-BA92-CD4DF9BE1730}</author>
    <author>tc={AE245741-97BA-43E3-9EB3-CF85AEA63291}</author>
    <author>tc={AFF18D9F-9D80-4DD9-8E70-65883B41E223}</author>
    <author>tc={6297AECD-CB0F-4B7D-A24B-5CFD458BF3BE}</author>
    <author>tc={0C228C26-D41C-4433-A7C6-02A1B0084E47}</author>
    <author>tc={09FB5D96-0D96-4501-AC4D-2D18746AE90B}</author>
    <author>tc={7FD6DA99-1C9C-42C8-85F6-02188DC47611}</author>
    <author>tc={86227F63-9C02-4364-B660-DCBCE8280AE6}</author>
    <author>tc={EC68268C-963B-44EC-8A58-70200434A52E}</author>
    <author>tc={A584F660-BCF6-4FE1-90AC-85D9A9EF8417}</author>
    <author>tc={3F664E56-515C-4341-BFEB-54BF8DAC4DAF}</author>
    <author>tc={6E608908-FD28-47E9-B4BA-5DA3E9963C85}</author>
    <author>tc={95B4DDAA-9849-429B-BA11-C38A843A8767}</author>
    <author>tc={4227256E-33B6-4889-B988-B5CFE7498509}</author>
    <author>tc={19F20929-F6A1-415F-B242-269DFF94B1B8}</author>
    <author>tc={4C4192C4-F93A-4783-A3EA-A2398C499B5C}</author>
    <author>tc={14F1E580-7CDB-4A0B-BD66-CF5A1C40A7A6}</author>
    <author>tc={341359FC-62D2-45E2-A1C3-1138D4F8EF3C}</author>
    <author>tc={0A10DF92-6AC0-476B-9BE3-1A6232BD12AA}</author>
    <author>tc={A4BE3DDB-2792-4898-911A-B94D2A8ED6EA}</author>
    <author>tc={9D3E1A02-33AA-4FAC-B0DB-1FEA8E3BF8CD}</author>
    <author>tc={BAD6A922-0D71-4445-9C0A-E1DC3F6E45ED}</author>
    <author>tc={AC57AFB7-A478-400A-8A2D-2D486679124F}</author>
    <author>tc={F26907C1-9407-48C0-9D71-5D390D7159B1}</author>
    <author>tc={41756B55-326F-427F-AE16-073424CED83D}</author>
    <author>tc={2017257C-BCAA-429F-BD05-8D7A76DD3D18}</author>
    <author>tc={A87828A5-2099-4443-AD41-D23DDF7CB24E}</author>
    <author>tc={611B1F09-B546-4CD1-939B-877BDE8CFD6D}</author>
    <author>tc={84E96F43-3642-4B7B-A3AA-7ED6A3418A4D}</author>
    <author>tc={C3DA6986-8E62-409A-A268-D4E5FB6DB5BF}</author>
    <author>tc={A5A8879E-823E-4061-BCBF-2DF85032197C}</author>
    <author>tc={C4E4ACFE-AE4E-4694-BACB-587454F45280}</author>
    <author>tc={88D35DB6-8782-49AF-9F34-C2A950086CB5}</author>
    <author>tc={8A654465-7FF5-4DDA-BCF4-B66B60EC25E9}</author>
    <author>tc={B7101B4C-8253-432A-A0F0-E347DCC2A4F6}</author>
    <author>tc={3CA68B00-4B51-44DA-AC88-D0D3CB3D54BE}</author>
    <author>tc={DFBD6CEA-AD2A-4F28-A0F0-69F86BEF5A93}</author>
    <author>tc={9571C051-EEAC-412E-8463-72CDAD4468D6}</author>
    <author>tc={F572B02A-3D65-4C20-9ED8-072063CD4598}</author>
    <author>tc={257278B0-8F6D-41F1-A670-3FA5D6D6AE6E}</author>
    <author>tc={DBE36B58-4519-4E43-B6FB-923FBB023DBD}</author>
    <author>tc={C13188FD-6F12-4E1A-8D50-A498FFC6ADB0}</author>
    <author>tc={B8927422-DC2D-574D-B3EA-A23A42896604}</author>
    <author>tc={66BEC7DB-D00D-4A63-B4DA-9ABCD97AB3E7}</author>
    <author>tc={FA7FF1B4-0079-2341-A2AB-36FF18060EDD}</author>
    <author>tc={56B2ABCF-AD1F-4D4B-8426-FE824A853073}</author>
    <author>tc={2D18FB49-311E-4443-964C-17BD015662EB}</author>
    <author>tc={FADD0E06-A2B5-4F33-AB3B-787C49CF81C1}</author>
    <author>tc={C0874F8B-58CA-4732-B14D-E44343CFC0DE}</author>
    <author>tc={5CAC3F36-8904-448E-8C70-4DA34201A8D8}</author>
    <author>tc={A787F4B7-9DB4-4B3D-A3C9-1775846F007D}</author>
    <author>tc={5045F27F-1113-4D28-BF48-F312E096CF09}</author>
  </authors>
  <commentList>
    <comment ref="AV1" authorId="0" shapeId="0" xr:uid="{F238DA54-D652-4E2E-81B9-ECCB1141D100}">
      <text>
        <t>[Threaded comment]
Your version of Excel allows you to read this threaded comment; however, any edits to it will get removed if the file is opened in a newer version of Excel. Learn more: https://go.microsoft.com/fwlink/?linkid=870924
Comment:
    금융인증서발급수수료 4,400</t>
      </text>
    </comment>
    <comment ref="BO1" authorId="1" shapeId="0" xr:uid="{E211C6B0-C7FE-446A-A26A-CE549C6EDA85}">
      <text>
        <t>[Threaded comment]
Your version of Excel allows you to read this threaded comment; however, any edits to it will get removed if the file is opened in a newer version of Excel. Learn more: https://go.microsoft.com/fwlink/?linkid=870924
Comment:
    금융인증서발급수수료 4,400</t>
      </text>
    </comment>
    <comment ref="W2" authorId="2" shapeId="0" xr:uid="{2CD33EDA-7A9F-45E9-A5F8-22DF10F0AFDC}">
      <text>
        <t>[Threaded comment]
Your version of Excel allows you to read this threaded comment; however, any edits to it will get removed if the file is opened in a newer version of Excel. Learn more: https://go.microsoft.com/fwlink/?linkid=870924
Comment:
    안병규</t>
      </text>
    </comment>
    <comment ref="W3" authorId="3" shapeId="0" xr:uid="{4B1664A0-C9DC-4528-B8A9-292F4E7B4640}">
      <text>
        <t>[Threaded comment]
Your version of Excel allows you to read this threaded comment; however, any edits to it will get removed if the file is opened in a newer version of Excel. Learn more: https://go.microsoft.com/fwlink/?linkid=870924
Comment:
    김명선 3000
Reply:
    김경현 3000
Reply:
    신선민 6000
Reply:
    문철호 6000
Reply:
    김기현 12000
Reply:
    문현성 6000
Reply:
    최솔잎 6000
Reply:
    김소영 6000.5
Reply:
    안병규 6000
Reply:
    류주영 6000</t>
      </text>
    </comment>
    <comment ref="AE3" authorId="4" shapeId="0" xr:uid="{A69FFA88-1120-4E68-B44B-0BBB493AADB4}">
      <text>
        <t>[Threaded comment]
Your version of Excel allows you to read this threaded comment; however, any edits to it will get removed if the file is opened in a newer version of Excel. Learn more: https://go.microsoft.com/fwlink/?linkid=870924
Comment:
    변호사 (계약서 작성) 5,500,000
Reply:
    세무사 495,000
Reply:
    0718 법무사 증자
Reply:
    0720 세무기장 165000
Reply:
    0729 공인중개수수료</t>
      </text>
    </comment>
    <comment ref="AF3" authorId="5" shapeId="0" xr:uid="{68AFE29B-A741-4A31-897E-B9768F4D71B5}">
      <text>
        <t>[Threaded comment]
Your version of Excel allows you to read this threaded comment; however, any edits to it will get removed if the file is opened in a newer version of Excel. Learn more: https://go.microsoft.com/fwlink/?linkid=870924
Comment:
    1375000 두번나감 확인 필요</t>
      </text>
    </comment>
    <comment ref="AU3" authorId="6" shapeId="0" xr:uid="{A4A03BAE-5B8A-45FC-9931-D1394C92475D}">
      <text>
        <t>[Threaded comment]
Your version of Excel allows you to read this threaded comment; however, any edits to it will get removed if the file is opened in a newer version of Excel. Learn more: https://go.microsoft.com/fwlink/?linkid=870924
Comment:
    07.07 안병규 33,000,000 워릭 가맹비
Reply:
    0712 안병규 106,000
Reply:
    0704 안병규 189700</t>
      </text>
    </comment>
    <comment ref="AU4" authorId="7" shapeId="0" xr:uid="{C26D4D8F-2532-4482-AC7C-B617BE60A141}">
      <text>
        <t>[Threaded comment]
Your version of Excel allows you to read this threaded comment; however, any edits to it will get removed if the file is opened in a newer version of Excel. Learn more: https://go.microsoft.com/fwlink/?linkid=870924
Comment:
    0817 농협주식회사비에이
Reply:
    0830 안병규 25000</t>
      </text>
    </comment>
    <comment ref="AE5" authorId="8" shapeId="0" xr:uid="{BF6C3A94-DEFD-4BE4-96F3-8C084083546F}">
      <text>
        <t>[Threaded comment]
Your version of Excel allows you to read this threaded comment; however, any edits to it will get removed if the file is opened in a newer version of Excel. Learn more: https://go.microsoft.com/fwlink/?linkid=870924
Comment:
    0929 중개수수료 330,000</t>
      </text>
    </comment>
    <comment ref="AF5" authorId="9" shapeId="0" xr:uid="{5DFA6350-26AE-4BF4-BA92-CD4DF9BE1730}">
      <text>
        <t>[Threaded comment]
Your version of Excel allows you to read this threaded comment; however, any edits to it will get removed if the file is opened in a newer version of Excel. Learn more: https://go.microsoft.com/fwlink/?linkid=870924
Comment:
    냉장고</t>
      </text>
    </comment>
    <comment ref="AU5" authorId="10" shapeId="0" xr:uid="{AE245741-97BA-43E3-9EB3-CF85AEA63291}">
      <text>
        <t>[Threaded comment]
Your version of Excel allows you to read this threaded comment; however, any edits to it will get removed if the file is opened in a newer version of Excel. Learn more: https://go.microsoft.com/fwlink/?linkid=870924
Comment:
    0901 김동혁 500000</t>
      </text>
    </comment>
    <comment ref="AF6" authorId="11" shapeId="0" xr:uid="{AFF18D9F-9D80-4DD9-8E70-65883B41E223}">
      <text>
        <t>[Threaded comment]
Your version of Excel allows you to read this threaded comment; however, any edits to it will get removed if the file is opened in a newer version of Excel. Learn more: https://go.microsoft.com/fwlink/?linkid=870924
Comment:
    1003 김소영 사무실 가구 287500
Reply:
    1003 김소영 현관매트 15400
Reply:
    1003 김소영 책장 318500
Reply:
    1003 김소영 커피머신 90400
Reply:
    1004 마또 착수금 73,500,000
Reply:
    1006 프린터 217500</t>
      </text>
    </comment>
    <comment ref="AE7" authorId="12" shapeId="0" xr:uid="{6297AECD-CB0F-4B7D-A24B-5CFD458BF3BE}">
      <text>
        <t>[Threaded comment]
Your version of Excel allows you to read this threaded comment; however, any edits to it will get removed if the file is opened in a newer version of Excel. Learn more: https://go.microsoft.com/fwlink/?linkid=870924
Comment:
    부동산 + 본점이전등기
Reply:
    법인설립비용
Reply:
    모네 리쿠르팅 CHOEJENNIF</t>
      </text>
    </comment>
    <comment ref="AC8" authorId="13" shapeId="0" xr:uid="{0C228C26-D41C-4433-A7C6-02A1B0084E47}">
      <text>
        <t>[Threaded comment]
Your version of Excel allows you to read this threaded comment; however, any edits to it will get removed if the file is opened in a newer version of Excel. Learn more: https://go.microsoft.com/fwlink/?linkid=870924
Comment:
    이자</t>
      </text>
    </comment>
    <comment ref="AE9" authorId="14" shapeId="0" xr:uid="{09FB5D96-0D96-4501-AC4D-2D18746AE90B}">
      <text>
        <t>[Threaded comment]
Your version of Excel allows you to read this threaded comment; however, any edits to it will get removed if the file is opened in a newer version of Excel. Learn more: https://go.microsoft.com/fwlink/?linkid=870924
Comment:
    이사</t>
      </text>
    </comment>
    <comment ref="W10" authorId="15" shapeId="0" xr:uid="{7FD6DA99-1C9C-42C8-85F6-02188DC47611}">
      <text>
        <t>[Threaded comment]
Your version of Excel allows you to read this threaded comment; however, any edits to it will get removed if the file is opened in a newer version of Excel. Learn more: https://go.microsoft.com/fwlink/?linkid=870924
Comment:
    문현성 최솔잎 김희경 김희경 김희경 김경현 김명선
Reply:
    -김희경*3</t>
      </text>
    </comment>
    <comment ref="AC10" authorId="16" shapeId="0" xr:uid="{86227F63-9C02-4364-B660-DCBCE8280AE6}">
      <text>
        <t>[Threaded comment]
Your version of Excel allows you to read this threaded comment; however, any edits to it will get removed if the file is opened in a newer version of Excel. Learn more: https://go.microsoft.com/fwlink/?linkid=870924
Comment:
    신한은행 출처를 모름</t>
      </text>
    </comment>
    <comment ref="AC11" authorId="17" shapeId="0" xr:uid="{EC68268C-963B-44EC-8A58-70200434A52E}">
      <text>
        <t>[Threaded comment]
Your version of Excel allows you to read this threaded comment; however, any edits to it will get removed if the file is opened in a newer version of Excel. Learn more: https://go.microsoft.com/fwlink/?linkid=870924
Comment:
    이자
Reply:
    관리비환급</t>
      </text>
    </comment>
    <comment ref="BE11" authorId="18" shapeId="0" xr:uid="{A584F660-BCF6-4FE1-90AC-85D9A9EF841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이자 및 SH우대환급
</t>
      </text>
    </comment>
    <comment ref="AC12" authorId="19" shapeId="0" xr:uid="{3F664E56-515C-4341-BFEB-54BF8DAC4DAF}">
      <text>
        <t>[Threaded comment]
Your version of Excel allows you to read this threaded comment; however, any edits to it will get removed if the file is opened in a newer version of Excel. Learn more: https://go.microsoft.com/fwlink/?linkid=870924
Comment:
    0422 잘못옴?</t>
      </text>
    </comment>
    <comment ref="AU12" authorId="20" shapeId="0" xr:uid="{6E608908-FD28-47E9-B4BA-5DA3E9963C85}">
      <text>
        <t>[Threaded comment]
Your version of Excel allows you to read this threaded comment; however, any edits to it will get removed if the file is opened in a newer version of Excel. Learn more: https://go.microsoft.com/fwlink/?linkid=870924
Comment:
    김연송</t>
      </text>
    </comment>
    <comment ref="AZ12" authorId="21" shapeId="0" xr:uid="{95B4DDAA-9849-429B-BA11-C38A843A8767}">
      <text>
        <t>[Threaded comment]
Your version of Excel allows you to read this threaded comment; however, any edits to it will get removed if the file is opened in a newer version of Excel. Learn more: https://go.microsoft.com/fwlink/?linkid=870924
Comment:
    김소영
Reply:
    안병규 19000 + 28800</t>
      </text>
    </comment>
    <comment ref="BI12" authorId="22" shapeId="0" xr:uid="{4227256E-33B6-4889-B988-B5CFE7498509}">
      <text>
        <t>[Threaded comment]
Your version of Excel allows you to read this threaded comment; however, any edits to it will get removed if the file is opened in a newer version of Excel. Learn more: https://go.microsoft.com/fwlink/?linkid=870924
Comment:
    법인이 내야할돈</t>
      </text>
    </comment>
    <comment ref="AB13" authorId="23" shapeId="0" xr:uid="{19F20929-F6A1-415F-B242-269DFF94B1B8}">
      <text>
        <t>[Threaded comment]
Your version of Excel allows you to read this threaded comment; however, any edits to it will get removed if the file is opened in a newer version of Excel. Learn more: https://go.microsoft.com/fwlink/?linkid=870924
Comment:
    신한은행 900</t>
      </text>
    </comment>
    <comment ref="BO13" authorId="24" shapeId="0" xr:uid="{4C4192C4-F93A-4783-A3EA-A2398C499B5C}">
      <text>
        <t>[Threaded comment]
Your version of Excel allows you to read this threaded comment; however, any edits to it will get removed if the file is opened in a newer version of Excel. Learn more: https://go.microsoft.com/fwlink/?linkid=870924
Comment:
    56950원 법인이 내야함
Reply:
    110250
Reply:
    프린터 100,000 305,000</t>
      </text>
    </comment>
    <comment ref="AC14" authorId="25" shapeId="0" xr:uid="{14F1E580-7CDB-4A0B-BD66-CF5A1C40A7A6}">
      <text>
        <t>[Threaded comment]
Your version of Excel allows you to read this threaded comment; however, any edits to it will get removed if the file is opened in a newer version of Excel. Learn more: https://go.microsoft.com/fwlink/?linkid=870924
Comment:
    이자</t>
      </text>
    </comment>
    <comment ref="BE14" authorId="26" shapeId="0" xr:uid="{341359FC-62D2-45E2-A1C3-1138D4F8EF3C}">
      <text>
        <t>[Threaded comment]
Your version of Excel allows you to read this threaded comment; however, any edits to it will get removed if the file is opened in a newer version of Excel. Learn more: https://go.microsoft.com/fwlink/?linkid=870924
Comment:
    이자</t>
      </text>
    </comment>
    <comment ref="AO15" authorId="27" shapeId="0" xr:uid="{0A10DF92-6AC0-476B-9BE3-1A6232BD12AA}">
      <text>
        <t>[Threaded comment]
Your version of Excel allows you to read this threaded comment; however, any edits to it will get removed if the file is opened in a newer version of Excel. Learn more: https://go.microsoft.com/fwlink/?linkid=870924
Comment:
    개인사업자부담</t>
      </text>
    </comment>
    <comment ref="BO15" authorId="28" shapeId="0" xr:uid="{A4BE3DDB-2792-4898-911A-B94D2A8ED6EA}">
      <text>
        <t>[Threaded comment]
Your version of Excel allows you to read this threaded comment; however, any edits to it will get removed if the file is opened in a newer version of Excel. Learn more: https://go.microsoft.com/fwlink/?linkid=870924
Comment:
    하복</t>
      </text>
    </comment>
    <comment ref="W16" authorId="29" shapeId="0" xr:uid="{9D3E1A02-33AA-4FAC-B0DB-1FEA8E3BF8CD}">
      <text>
        <t>[Threaded comment]
Your version of Excel allows you to read this threaded comment; however, any edits to it will get removed if the file is opened in a newer version of Excel. Learn more: https://go.microsoft.com/fwlink/?linkid=870924
Comment:
    김소영
Reply:
    안병규 4천모자라게 넣음</t>
      </text>
    </comment>
    <comment ref="AC16" authorId="30" shapeId="0" xr:uid="{BAD6A922-0D71-4445-9C0A-E1DC3F6E45ED}">
      <text>
        <t>[Threaded comment]
Your version of Excel allows you to read this threaded comment; however, any edits to it will get removed if the file is opened in a newer version of Excel. Learn more: https://go.microsoft.com/fwlink/?linkid=870924
Comment:
    앗빙수 기타소득
Reply:
    관리비정산</t>
      </text>
    </comment>
    <comment ref="BE17" authorId="31" shapeId="0" xr:uid="{AC57AFB7-A478-400A-8A2D-2D486679124F}">
      <text>
        <t>[Threaded comment]
Your version of Excel allows you to read this threaded comment; however, any edits to it will get removed if the file is opened in a newer version of Excel. Learn more: https://go.microsoft.com/fwlink/?linkid=870924
Comment:
    카드 환불
Reply:
    이자</t>
      </text>
    </comment>
    <comment ref="W18" authorId="32" shapeId="0" xr:uid="{F26907C1-9407-48C0-9D71-5D390D7159B1}">
      <text>
        <t>[Threaded comment]
Your version of Excel allows you to read this threaded comment; however, any edits to it will get removed if the file is opened in a newer version of Excel. Learn more: https://go.microsoft.com/fwlink/?linkid=870924
Comment:
    4천모자라던거 2천넣음
Reply:
    2천모자라던거 5백넣음 = 1.5천</t>
      </text>
    </comment>
    <comment ref="AC18" authorId="33" shapeId="0" xr:uid="{41756B55-326F-427F-AE16-073424CED83D}">
      <text>
        <t>[Threaded comment]
Your version of Excel allows you to read this threaded comment; however, any edits to it will get removed if the file is opened in a newer version of Excel. Learn more: https://go.microsoft.com/fwlink/?linkid=870924
Comment:
    청년도약장려금</t>
      </text>
    </comment>
    <comment ref="AC19" authorId="34" shapeId="0" xr:uid="{2017257C-BCAA-429F-BD05-8D7A76DD3D18}">
      <text>
        <t>[Threaded comment]
Your version of Excel allows you to read this threaded comment; however, any edits to it will get removed if the file is opened in a newer version of Excel. Learn more: https://go.microsoft.com/fwlink/?linkid=870924
Comment:
    이자</t>
      </text>
    </comment>
    <comment ref="W20" authorId="35" shapeId="0" xr:uid="{A87828A5-2099-4443-AD41-D23DDF7CB24E}">
      <text>
        <t>[Threaded comment]
Your version of Excel allows you to read this threaded comment; however, any edits to it will get removed if the file is opened in a newer version of Excel. Learn more: https://go.microsoft.com/fwlink/?linkid=870924
Comment:
    돈 마저 넣음</t>
      </text>
    </comment>
    <comment ref="AC20" authorId="36" shapeId="0" xr:uid="{611B1F09-B546-4CD1-939B-877BDE8CFD6D}">
      <text>
        <t>[Threaded comment]
Your version of Excel allows you to read this threaded comment; however, any edits to it will get removed if the file is opened in a newer version of Excel. Learn more: https://go.microsoft.com/fwlink/?linkid=870924
Comment:
    이자</t>
      </text>
    </comment>
    <comment ref="BE20" authorId="37" shapeId="0" xr:uid="{84E96F43-3642-4B7B-A3AA-7ED6A3418A4D}">
      <text>
        <t>[Threaded comment]
Your version of Excel allows you to read this threaded comment; however, any edits to it will get removed if the file is opened in a newer version of Excel. Learn more: https://go.microsoft.com/fwlink/?linkid=870924
Comment:
    이자</t>
      </text>
    </comment>
    <comment ref="BO20" authorId="38" shapeId="0" xr:uid="{C3DA6986-8E62-409A-A268-D4E5FB6DB5BF}">
      <text>
        <t>[Threaded comment]
Your version of Excel allows you to read this threaded comment; however, any edits to it will get removed if the file is opened in a newer version of Excel. Learn more: https://go.microsoft.com/fwlink/?linkid=870924
Comment:
    티비설치 4만
Reply:
    헤더 침대 배송 6만</t>
      </text>
    </comment>
    <comment ref="AC21" authorId="39" shapeId="0" xr:uid="{A5A8879E-823E-4061-BCBF-2DF85032197C}">
      <text>
        <t>[Threaded comment]
Your version of Excel allows you to read this threaded comment; however, any edits to it will get removed if the file is opened in a newer version of Excel. Learn more: https://go.microsoft.com/fwlink/?linkid=870924
Comment:
    청년도약장려금</t>
      </text>
    </comment>
    <comment ref="AJ23" authorId="40" shapeId="0" xr:uid="{C4E4ACFE-AE4E-4694-BACB-587454F45280}">
      <text>
        <t>[Threaded comment]
Your version of Excel allows you to read this threaded comment; however, any edits to it will get removed if the file is opened in a newer version of Excel. Learn more: https://go.microsoft.com/fwlink/?linkid=870924
Comment:
    자스민 퇴직금</t>
      </text>
    </comment>
    <comment ref="BE23" authorId="41" shapeId="0" xr:uid="{88D35DB6-8782-49AF-9F34-C2A950086CB5}">
      <text>
        <t>[Threaded comment]
Your version of Excel allows you to read this threaded comment; however, any edits to it will get removed if the file is opened in a newer version of Excel. Learn more: https://go.microsoft.com/fwlink/?linkid=870924
Comment:
    이자 + 신한카드 환불</t>
      </text>
    </comment>
    <comment ref="AC24" authorId="42" shapeId="0" xr:uid="{8A654465-7FF5-4DDA-BCF4-B66B60EC25E9}">
      <text>
        <t>[Threaded comment]
Your version of Excel allows you to read this threaded comment; however, any edits to it will get removed if the file is opened in a newer version of Excel. Learn more: https://go.microsoft.com/fwlink/?linkid=870924
Comment:
    신보 보증 환급</t>
      </text>
    </comment>
    <comment ref="BE24" authorId="43" shapeId="0" xr:uid="{B7101B4C-8253-432A-A0F0-E347DCC2A4F6}">
      <text>
        <t>[Threaded comment]
Your version of Excel allows you to read this threaded comment; however, any edits to it will get removed if the file is opened in a newer version of Excel. Learn more: https://go.microsoft.com/fwlink/?linkid=870924
Comment:
    신한카드 캐시백
Reply:
    보증료 환급</t>
      </text>
    </comment>
    <comment ref="AJ25" authorId="44" shapeId="0" xr:uid="{3CA68B00-4B51-44DA-AC88-D0D3CB3D54BE}">
      <text>
        <t>[Threaded comment]
Your version of Excel allows you to read this threaded comment; however, any edits to it will get removed if the file is opened in a newer version of Excel. Learn more: https://go.microsoft.com/fwlink/?linkid=870924
Comment:
    정혜민 퇴직위로금</t>
      </text>
    </comment>
    <comment ref="AF26" authorId="45" shapeId="0" xr:uid="{DFBD6CEA-AD2A-4F28-A0F0-69F86BEF5A93}">
      <text>
        <t>[Threaded comment]
Your version of Excel allows you to read this threaded comment; however, any edits to it will get removed if the file is opened in a newer version of Excel. Learn more: https://go.microsoft.com/fwlink/?linkid=870924
Comment:
    에어컨</t>
      </text>
    </comment>
    <comment ref="AV27" authorId="46" shapeId="0" xr:uid="{9571C051-EEAC-412E-8463-72CDAD4468D6}">
      <text>
        <t>[Threaded comment]
Your version of Excel allows you to read this threaded comment; however, any edits to it will get removed if the file is opened in a newer version of Excel. Learn more: https://go.microsoft.com/fwlink/?linkid=870924
Comment:
    프린트 5개월 1,925,000</t>
      </text>
    </comment>
    <comment ref="BK31" authorId="47" shapeId="0" xr:uid="{F572B02A-3D65-4C20-9ED8-072063CD4598}">
      <text>
        <t>[Threaded comment]
Your version of Excel allows you to read this threaded comment; however, any edits to it will get removed if the file is opened in a newer version of Excel. Learn more: https://go.microsoft.com/fwlink/?linkid=870924
Comment:
    446050 가이디드 리딩 법인꺼</t>
      </text>
    </comment>
    <comment ref="BO31" authorId="48" shapeId="0" xr:uid="{257278B0-8F6D-41F1-A670-3FA5D6D6AE6E}">
      <text>
        <t>[Threaded comment]
Your version of Excel allows you to read this threaded comment; however, any edits to it will get removed if the file is opened in a newer version of Excel. Learn more: https://go.microsoft.com/fwlink/?linkid=870924
Comment:
    김민설 병원비</t>
      </text>
    </comment>
    <comment ref="AF32" authorId="49" shapeId="0" xr:uid="{DBE36B58-4519-4E43-B6FB-923FBB023DBD}">
      <text>
        <t>[Threaded comment]
Your version of Excel allows you to read this threaded comment; however, any edits to it will get removed if the file is opened in a newer version of Excel. Learn more: https://go.microsoft.com/fwlink/?linkid=870924
Comment:
    에어컨</t>
      </text>
    </comment>
    <comment ref="BG32" authorId="50" shapeId="0" xr:uid="{C13188FD-6F12-4E1A-8D50-A498FFC6ADB0}">
      <text>
        <t>[Threaded comment]
Your version of Excel allows you to read this threaded comment; however, any edits to it will get removed if the file is opened in a newer version of Excel. Learn more: https://go.microsoft.com/fwlink/?linkid=870924
Comment:
    냉난방 법인꺼</t>
      </text>
    </comment>
    <comment ref="AJ35" authorId="51" shapeId="0" xr:uid="{B8927422-DC2D-574D-B3EA-A23A42896604}">
      <text>
        <t>[Threaded comment]
Your version of Excel allows you to read this threaded comment; however, any edits to it will get removed if the file is opened in a newer version of Excel. Learn more: https://go.microsoft.com/fwlink/?linkid=870924
Comment:
    이보람 퇴직금 2,656,840
Reply:
    헤더 퇴직금 260
Reply:
    에이시아 퇴직금 2,575,360
Reply:
    벤자민 퇴직금 5,194,720</t>
      </text>
    </comment>
    <comment ref="BI35" authorId="52" shapeId="0" xr:uid="{66BEC7DB-D00D-4A63-B4DA-9ABCD97AB3E7}">
      <text>
        <t>[Threaded comment]
Your version of Excel allows you to read this threaded comment; however, any edits to it will get removed if the file is opened in a newer version of Excel. Learn more: https://go.microsoft.com/fwlink/?linkid=870924
Comment:
    155,960 토리 법인꺼
Reply:
    483,500 토리 법인꺼
Reply:
    224,374 포샤 법인꺼</t>
      </text>
    </comment>
    <comment ref="AJ36" authorId="53" shapeId="0" xr:uid="{FA7FF1B4-0079-2341-A2AB-36FF18060EDD}">
      <text>
        <t>[Threaded comment]
Your version of Excel allows you to read this threaded comment; however, any edits to it will get removed if the file is opened in a newer version of Excel. Learn more: https://go.microsoft.com/fwlink/?linkid=870924
Comment:
    김예은 퇴직금 4,675,616
Reply:
    김예은 잔여 연차 1,258,840
Reply:
    한유진 퇴직금 3,198,470</t>
      </text>
    </comment>
    <comment ref="BI36" authorId="54" shapeId="0" xr:uid="{56B2ABCF-AD1F-4D4B-8426-FE824A853073}">
      <text>
        <t>[Threaded comment]
Your version of Excel allows you to read this threaded comment; however, any edits to it will get removed if the file is opened in a newer version of Excel. Learn more: https://go.microsoft.com/fwlink/?linkid=870924
Comment:
    토리
Reply:
    마야
Reply:
    조연우</t>
      </text>
    </comment>
    <comment ref="AF37" authorId="55" shapeId="0" xr:uid="{2D18FB49-311E-4443-964C-17BD015662EB}">
      <text>
        <t>[Threaded comment]
Your version of Excel allows you to read this threaded comment; however, any edits to it will get removed if the file is opened in a newer version of Excel. Learn more: https://go.microsoft.com/fwlink/?linkid=870924
Comment:
    임차지 도배</t>
      </text>
    </comment>
    <comment ref="BI37" authorId="56" shapeId="0" xr:uid="{FADD0E06-A2B5-4F33-AB3B-787C49CF81C1}">
      <text>
        <t>[Threaded comment]
Your version of Excel allows you to read this threaded comment; however, any edits to it will get removed if the file is opened in a newer version of Excel. Learn more: https://go.microsoft.com/fwlink/?linkid=870924
Comment:
    조연우
Reply:
    마야</t>
      </text>
    </comment>
    <comment ref="AJ38" authorId="57" shapeId="0" xr:uid="{C0874F8B-58CA-4732-B14D-E44343CFC0DE}">
      <text>
        <t>[Threaded comment]
Your version of Excel allows you to read this threaded comment; however, any edits to it will get removed if the file is opened in a newer version of Excel. Learn more: https://go.microsoft.com/fwlink/?linkid=870924
Comment:
    Jevon 대출</t>
      </text>
    </comment>
    <comment ref="BI38" authorId="58" shapeId="0" xr:uid="{5CAC3F36-8904-448E-8C70-4DA34201A8D8}">
      <text>
        <t>[Threaded comment]
Your version of Excel allows you to read this threaded comment; however, any edits to it will get removed if the file is opened in a newer version of Excel. Learn more: https://go.microsoft.com/fwlink/?linkid=870924
Comment:
    마야
Reply:
    조연우</t>
      </text>
    </comment>
    <comment ref="BJ38" authorId="59" shapeId="0" xr:uid="{A787F4B7-9DB4-4B3D-A3C9-1775846F007D}">
      <text>
        <t>[Threaded comment]
Your version of Excel allows you to read this threaded comment; however, any edits to it will get removed if the file is opened in a newer version of Excel. Learn more: https://go.microsoft.com/fwlink/?linkid=870924
Comment:
    33040 법인꺼</t>
      </text>
    </comment>
    <comment ref="BK40" authorId="60" shapeId="0" xr:uid="{5045F27F-1113-4D28-BF48-F312E096CF09}">
      <text>
        <t>[Threaded comment]
Your version of Excel allows you to read this threaded comment; however, any edits to it will get removed if the file is opened in a newer version of Excel. Learn more: https://go.microsoft.com/fwlink/?linkid=870924
Comment:
    1,669,150 SKPAY 체크카드결제 뭔지?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tc={8556A34F-7190-4040-B356-A11102142EA1}</author>
    <author>tc={14D8C004-3A08-5B48-8933-FD750315B6D4}</author>
    <author>tc={783DCBCB-AC16-564E-A120-72244C2E48CE}</author>
    <author>tc={6C47589C-2562-1340-B930-94D291534B5B}</author>
    <author>tc={B786F7E7-8F1C-D04B-B1DF-52135E7A1281}</author>
    <author>tc={EEBA4066-65D7-324A-A5AC-9E483FBBC3FA}</author>
    <author>tc={698C7A5A-5D3C-524F-9AA2-40DBD51FFC41}</author>
    <author>tc={39A67076-973F-454C-8D7F-9D2B93C5340C}</author>
    <author>tc={4EC3473A-05F2-504F-AE97-0150AAD2B41E}</author>
    <author>tc={234299EC-CC76-AF46-B2C8-62A75281B5ED}</author>
    <author>tc={769FD0E8-A95E-0F44-BB64-C67E700EAC49}</author>
    <author>tc={6847FAD3-CBB7-AA42-8D1C-75E9F22975B9}</author>
    <author>tc={5DFDBD2D-04FD-AF41-911E-8FD4800B0E59}</author>
    <author>tc={5011F9F3-3CE0-D941-8865-18EF8A48562B}</author>
    <author>tc={8CCAE87A-13C2-DA4E-AF7B-5608AA225AA9}</author>
    <author>tc={46118A11-B6F7-6446-AE07-050B0107BBAA}</author>
    <author>tc={0F16A722-0A8D-B74A-B367-C5DAF10CE93A}</author>
    <author>tc={A6BF8C67-32D1-F643-87EA-E0890CACA9A3}</author>
    <author>tc={5CA6037B-CA39-F440-884C-00AB57FC8715}</author>
    <author>tc={C571173B-654D-7845-8D06-DA083B0570A8}</author>
    <author>tc={1864144D-EF28-3845-9025-6BABA32F09F8}</author>
    <author>tc={B5AE7C3D-D4C8-0847-9114-462EC3006FC2}</author>
    <author>tc={2AE1D60E-A074-3C42-93DF-6221F2347E27}</author>
    <author>tc={2E2D5345-E553-2F40-A192-01139AE59D48}</author>
    <author>tc={10E410FC-FCC1-994F-B867-416B433DE137}</author>
    <author>tc={0849DE5F-A788-9842-AFE6-CC5110294EBB}</author>
    <author>tc={904DADD2-188C-F34A-A477-078434FE5531}</author>
    <author>tc={A4A2DF2A-974B-A044-B08B-FF3D780DA08B}</author>
    <author>tc={C385596D-405A-E24F-95C1-8FF454AC940B}</author>
    <author>tc={0D3BBAB5-CBB6-204D-861B-C18F0C3C1624}</author>
    <author>tc={B4296C03-7DD2-D744-953F-F133C07EC3F0}</author>
    <author>tc={8771E088-3381-4F49-A1CE-1867CB2EF31D}</author>
    <author>tc={CD1026F4-42B9-DA44-8786-92D9E51B4E55}</author>
    <author>tc={9EC4B8E0-6831-DE4B-84F8-04B229595732}</author>
    <author>tc={8C4DE17F-8458-B74C-BC1B-B42972C4F005}</author>
    <author>tc={211EA2F1-E00B-A643-BA9A-A3396C76BCE4}</author>
    <author>tc={C2B34CBC-3792-444B-A121-CFFD54DE96FF}</author>
    <author>tc={5BE379EB-B59E-1F41-BE06-2481375638C1}</author>
    <author>tc={880A3EBA-0ADE-E94C-8ABB-12EBB7A0B237}</author>
    <author>tc={BA29E69F-B601-594C-B98E-717DA4E9C515}</author>
    <author>tc={85FF9E85-06C5-6344-A547-9A2DEDB868A1}</author>
    <author>tc={742BECEA-CCD6-A44E-8962-4EF5BC0A82CC}</author>
    <author>tc={530FF2C6-6616-5F4F-962F-E6E642847D8C}</author>
    <author>tc={CEEEF17F-286D-1C49-9FCB-1D93C639705A}</author>
    <author>tc={E4940C14-E00F-A244-A6AE-3E5E7BF9DBC4}</author>
    <author>tc={29570CB7-8B87-314A-B120-55D2CF8A6C6D}</author>
    <author>tc={1167874C-08CD-1949-8B09-5694DAB0F070}</author>
    <author>tc={E99F65A2-8C1B-324B-AD66-2107B66F6C70}</author>
    <author>tc={F3E8C311-D409-1649-AE92-60B3634BC0C6}</author>
    <author>tc={42128A8A-7E60-5743-B6D4-1C2E07EDCF00}</author>
    <author>tc={FBAC21E4-9442-43DC-B9ED-5C38115B02D1}</author>
    <author>tc={0D2CB8D7-2ABD-49D4-9D0D-D19AB81E83A8}</author>
    <author>tc={A090A223-E4CC-480B-A059-BBFF2B75E286}</author>
    <author>tc={96B01A5D-7C55-42CC-961A-15A5B032AD6D}</author>
    <author>tc={B46D4B24-B4EB-4626-BBE8-93A5041F6795}</author>
    <author>tc={C9735876-EAF2-4799-B463-83A7CB22385A}</author>
    <author>tc={91AA5006-E9A5-4E88-9C8D-88E337316DE0}</author>
    <author>tc={A956694D-F21C-4C8B-81B6-9FA60FD2C253}</author>
    <author>tc={DD591518-D158-5346-BECB-465B6E810586}</author>
    <author>안병규</author>
    <author>tc={5B520F9D-EC4F-B846-828F-ADA32752D2F8}</author>
  </authors>
  <commentList>
    <comment ref="DH2" authorId="0" shapeId="0" xr:uid="{8556A34F-7190-4040-B356-A11102142EA1}">
      <text>
        <t>[Threaded comment]
Your version of Excel allows you to read this threaded comment; however, any edits to it will get removed if the file is opened in a newer version of Excel. Learn more: https://go.microsoft.com/fwlink/?linkid=870924
Comment:
    정하늬
차지우
이승주 50퍼</t>
      </text>
    </comment>
    <comment ref="DT2" authorId="1" shapeId="0" xr:uid="{14D8C004-3A08-5B48-8933-FD750315B6D4}">
      <text>
        <t>[Threaded comment]
Your version of Excel allows you to read this threaded comment; however, any edits to it will get removed if the file is opened in a newer version of Excel. Learn more: https://go.microsoft.com/fwlink/?linkid=870924
Comment:
    정하늬
차지우
이승주 50퍼
김한비 30퍼</t>
      </text>
    </comment>
    <comment ref="EF2" authorId="2" shapeId="0" xr:uid="{783DCBCB-AC16-564E-A120-72244C2E48CE}">
      <text>
        <t>[Threaded comment]
Your version of Excel allows you to read this threaded comment; however, any edits to it will get removed if the file is opened in a newer version of Excel. Learn more: https://go.microsoft.com/fwlink/?linkid=870924
Comment:
    정하늬
차지우
이승주 50퍼
김한비 30퍼</t>
      </text>
    </comment>
    <comment ref="ER2" authorId="3" shapeId="0" xr:uid="{6C47589C-2562-1340-B930-94D291534B5B}">
      <text>
        <t>[Threaded comment]
Your version of Excel allows you to read this threaded comment; however, any edits to it will get removed if the file is opened in a newer version of Excel. Learn more: https://go.microsoft.com/fwlink/?linkid=870924
Comment:
    정하늬
차지우
이승주 50퍼
김한비 30퍼</t>
      </text>
    </comment>
    <comment ref="FD2" authorId="4" shapeId="0" xr:uid="{B786F7E7-8F1C-D04B-B1DF-52135E7A1281}">
      <text>
        <t>[Threaded comment]
Your version of Excel allows you to read this threaded comment; however, any edits to it will get removed if the file is opened in a newer version of Excel. Learn more: https://go.microsoft.com/fwlink/?linkid=870924
Comment:
    정하늬
차지우
김한비 30퍼</t>
      </text>
    </comment>
    <comment ref="FP2" authorId="5" shapeId="0" xr:uid="{EEBA4066-65D7-324A-A5AC-9E483FBBC3FA}">
      <text>
        <t>[Threaded comment]
Your version of Excel allows you to read this threaded comment; however, any edits to it will get removed if the file is opened in a newer version of Excel. Learn more: https://go.microsoft.com/fwlink/?linkid=870924
Comment:
    정하늬
차지우
김한비 30퍼</t>
      </text>
    </comment>
    <comment ref="GB2" authorId="6" shapeId="0" xr:uid="{698C7A5A-5D3C-524F-9AA2-40DBD51FFC41}">
      <text>
        <t>[Threaded comment]
Your version of Excel allows you to read this threaded comment; however, any edits to it will get removed if the file is opened in a newer version of Excel. Learn more: https://go.microsoft.com/fwlink/?linkid=870924
Comment:
    정하늬
차지우
김한비 30퍼</t>
      </text>
    </comment>
    <comment ref="GN2" authorId="7" shapeId="0" xr:uid="{39A67076-973F-454C-8D7F-9D2B93C5340C}">
      <text>
        <t>[Threaded comment]
Your version of Excel allows you to read this threaded comment; however, any edits to it will get removed if the file is opened in a newer version of Excel. Learn more: https://go.microsoft.com/fwlink/?linkid=870924
Comment:
    정하늬
차지우
이승주</t>
      </text>
    </comment>
    <comment ref="GZ2" authorId="8" shapeId="0" xr:uid="{4EC3473A-05F2-504F-AE97-0150AAD2B41E}">
      <text>
        <t>[Threaded comment]
Your version of Excel allows you to read this threaded comment; however, any edits to it will get removed if the file is opened in a newer version of Excel. Learn more: https://go.microsoft.com/fwlink/?linkid=870924
Comment:
    정하늬
차지우
이승주</t>
      </text>
    </comment>
    <comment ref="HL2" authorId="9" shapeId="0" xr:uid="{234299EC-CC76-AF46-B2C8-62A75281B5ED}">
      <text>
        <t>[Threaded comment]
Your version of Excel allows you to read this threaded comment; however, any edits to it will get removed if the file is opened in a newer version of Excel. Learn more: https://go.microsoft.com/fwlink/?linkid=870924
Comment:
    정하늬
차지우
이승주</t>
      </text>
    </comment>
    <comment ref="HX2" authorId="10" shapeId="0" xr:uid="{769FD0E8-A95E-0F44-BB64-C67E700EAC49}">
      <text>
        <t>[Threaded comment]
Your version of Excel allows you to read this threaded comment; however, any edits to it will get removed if the file is opened in a newer version of Excel. Learn more: https://go.microsoft.com/fwlink/?linkid=870924
Comment:
    정하늬
차지우
이승주</t>
      </text>
    </comment>
    <comment ref="IJ2" authorId="11" shapeId="0" xr:uid="{6847FAD3-CBB7-AA42-8D1C-75E9F22975B9}">
      <text>
        <t>[Threaded comment]
Your version of Excel allows you to read this threaded comment; however, any edits to it will get removed if the file is opened in a newer version of Excel. Learn more: https://go.microsoft.com/fwlink/?linkid=870924
Comment:
    정하늬
차지우
이승주</t>
      </text>
    </comment>
    <comment ref="DH3" authorId="12" shapeId="0" xr:uid="{5DFDBD2D-04FD-AF41-911E-8FD4800B0E59}">
      <text>
        <t>[Threaded comment]
Your version of Excel allows you to read this threaded comment; however, any edits to it will get removed if the file is opened in a newer version of Excel. Learn more: https://go.microsoft.com/fwlink/?linkid=870924
Comment:
    신다경
황민하
박지유
김도윤
우도진
방시우</t>
      </text>
    </comment>
    <comment ref="DT3" authorId="13" shapeId="0" xr:uid="{5011F9F3-3CE0-D941-8865-18EF8A48562B}">
      <text>
        <t>[Threaded comment]
Your version of Excel allows you to read this threaded comment; however, any edits to it will get removed if the file is opened in a newer version of Excel. Learn more: https://go.microsoft.com/fwlink/?linkid=870924
Comment:
    신다경
황민하
우도진
방시우
박찬호
우주아
조은우
임조이</t>
      </text>
    </comment>
    <comment ref="EF3" authorId="14" shapeId="0" xr:uid="{8CCAE87A-13C2-DA4E-AF7B-5608AA225AA9}">
      <text>
        <t>[Threaded comment]
Your version of Excel allows you to read this threaded comment; however, any edits to it will get removed if the file is opened in a newer version of Excel. Learn more: https://go.microsoft.com/fwlink/?linkid=870924
Comment:
    신다경
황민하
우도진
방시우
박찬호
임조이
조은우
우주아</t>
      </text>
    </comment>
    <comment ref="ER3" authorId="15" shapeId="0" xr:uid="{46118A11-B6F7-6446-AE07-050B0107BBAA}">
      <text>
        <t>[Threaded comment]
Your version of Excel allows you to read this threaded comment; however, any edits to it will get removed if the file is opened in a newer version of Excel. Learn more: https://go.microsoft.com/fwlink/?linkid=870924
Comment:
    신다경
황민하
우도진
방시우
박찬호
우주아
조은우
임조이</t>
      </text>
    </comment>
    <comment ref="FD3" authorId="16" shapeId="0" xr:uid="{0F16A722-0A8D-B74A-B367-C5DAF10CE93A}">
      <text>
        <t>[Threaded comment]
Your version of Excel allows you to read this threaded comment; however, any edits to it will get removed if the file is opened in a newer version of Excel. Learn more: https://go.microsoft.com/fwlink/?linkid=870924
Comment:
    신다경
황민하
우도진
방시우
박찬호
우주아 5
조은우 5
임조이 10</t>
      </text>
    </comment>
    <comment ref="FP3" authorId="17" shapeId="0" xr:uid="{A6BF8C67-32D1-F643-87EA-E0890CACA9A3}">
      <text>
        <t>[Threaded comment]
Your version of Excel allows you to read this threaded comment; however, any edits to it will get removed if the file is opened in a newer version of Excel. Learn more: https://go.microsoft.com/fwlink/?linkid=870924
Comment:
    신다경
황민하
우도진
방시우
박찬호
우주아 5
조은우 5
임조이 10</t>
      </text>
    </comment>
    <comment ref="GB3" authorId="18" shapeId="0" xr:uid="{5CA6037B-CA39-F440-884C-00AB57FC8715}">
      <text>
        <t>[Threaded comment]
Your version of Excel allows you to read this threaded comment; however, any edits to it will get removed if the file is opened in a newer version of Excel. Learn more: https://go.microsoft.com/fwlink/?linkid=870924
Comment:
    신다경
황민하
우도진
방시우
박찬호
우주아 5
조은우 5
임조이 10</t>
      </text>
    </comment>
    <comment ref="GN3" authorId="19" shapeId="0" xr:uid="{C571173B-654D-7845-8D06-DA083B0570A8}">
      <text>
        <t>[Threaded comment]
Your version of Excel allows you to read this threaded comment; however, any edits to it will get removed if the file is opened in a newer version of Excel. Learn more: https://go.microsoft.com/fwlink/?linkid=870924
Comment:
    신다경
황민하
우도진
방시우
박찬호
우주아 5
조은우 5
임조이 10</t>
      </text>
    </comment>
    <comment ref="GZ3" authorId="20" shapeId="0" xr:uid="{1864144D-EF28-3845-9025-6BABA32F09F8}">
      <text>
        <t>[Threaded comment]
Your version of Excel allows you to read this threaded comment; however, any edits to it will get removed if the file is opened in a newer version of Excel. Learn more: https://go.microsoft.com/fwlink/?linkid=870924
Comment:
    신다경
황민하
우도진
방시우
박찬호
우주아 5
조은우 5
임조이 10</t>
      </text>
    </comment>
    <comment ref="HL3" authorId="21" shapeId="0" xr:uid="{B5AE7C3D-D4C8-0847-9114-462EC3006FC2}">
      <text>
        <t>[Threaded comment]
Your version of Excel allows you to read this threaded comment; however, any edits to it will get removed if the file is opened in a newer version of Excel. Learn more: https://go.microsoft.com/fwlink/?linkid=870924
Comment:
    신다경
황민하
우도진
방시우
박찬호
우주아 5
조은우 5
임조이 10</t>
      </text>
    </comment>
    <comment ref="HX3" authorId="22" shapeId="0" xr:uid="{2AE1D60E-A074-3C42-93DF-6221F2347E27}">
      <text>
        <t>[Threaded comment]
Your version of Excel allows you to read this threaded comment; however, any edits to it will get removed if the file is opened in a newer version of Excel. Learn more: https://go.microsoft.com/fwlink/?linkid=870924
Comment:
    신다경
황민하
우도진
방시우
박찬호
우주아 5
조은우 5
임조이 10</t>
      </text>
    </comment>
    <comment ref="IJ3" authorId="23" shapeId="0" xr:uid="{2E2D5345-E553-2F40-A192-01139AE59D48}">
      <text>
        <t>[Threaded comment]
Your version of Excel allows you to read this threaded comment; however, any edits to it will get removed if the file is opened in a newer version of Excel. Learn more: https://go.microsoft.com/fwlink/?linkid=870924
Comment:
    신다경
황민하
우도진
방시우
박찬호
우주아 5
조은우 5
임조이 10</t>
      </text>
    </comment>
    <comment ref="DT5" authorId="24" shapeId="0" xr:uid="{10E410FC-FCC1-994F-B867-416B433DE137}">
      <text>
        <t>[Threaded comment]
Your version of Excel allows you to read this threaded comment; however, any edits to it will get removed if the file is opened in a newer version of Excel. Learn more: https://go.microsoft.com/fwlink/?linkid=870924
Comment:
    박시연 50
김도현 50
양태윤 50</t>
      </text>
    </comment>
    <comment ref="EF5" authorId="25" shapeId="0" xr:uid="{0849DE5F-A788-9842-AFE6-CC5110294EBB}">
      <text>
        <t>[Threaded comment]
Your version of Excel allows you to read this threaded comment; however, any edits to it will get removed if the file is opened in a newer version of Excel. Learn more: https://go.microsoft.com/fwlink/?linkid=870924
Comment:
    박시연 50
양태윤 50
정우진
송지우
주아린
김도현 50</t>
      </text>
    </comment>
    <comment ref="DH6" authorId="26" shapeId="0" xr:uid="{904DADD2-188C-F34A-A477-078434FE5531}">
      <text>
        <t>[Threaded comment]
Your version of Excel allows you to read this threaded comment; however, any edits to it will get removed if the file is opened in a newer version of Excel. Learn more: https://go.microsoft.com/fwlink/?linkid=870924
Comment:
    황윤하 20퍼
손승운 10퍼</t>
      </text>
    </comment>
    <comment ref="DT6" authorId="27" shapeId="0" xr:uid="{A4A2DF2A-974B-A044-B08B-FF3D780DA08B}">
      <text>
        <t>[Threaded comment]
Your version of Excel allows you to read this threaded comment; however, any edits to it will get removed if the file is opened in a newer version of Excel. Learn more: https://go.microsoft.com/fwlink/?linkid=870924
Comment:
    황윤하 20퍼
손승운 10퍼</t>
      </text>
    </comment>
    <comment ref="EF6" authorId="28" shapeId="0" xr:uid="{C385596D-405A-E24F-95C1-8FF454AC940B}">
      <text>
        <t>[Threaded comment]
Your version of Excel allows you to read this threaded comment; however, any edits to it will get removed if the file is opened in a newer version of Excel. Learn more: https://go.microsoft.com/fwlink/?linkid=870924
Comment:
    황윤하 20퍼
손승운 10퍼</t>
      </text>
    </comment>
    <comment ref="ER6" authorId="29" shapeId="0" xr:uid="{0D3BBAB5-CBB6-204D-861B-C18F0C3C1624}">
      <text>
        <t>[Threaded comment]
Your version of Excel allows you to read this threaded comment; however, any edits to it will get removed if the file is opened in a newer version of Excel. Learn more: https://go.microsoft.com/fwlink/?linkid=870924
Comment:
    황윤하 20퍼
손승운 10퍼</t>
      </text>
    </comment>
    <comment ref="FD6" authorId="30" shapeId="0" xr:uid="{B4296C03-7DD2-D744-953F-F133C07EC3F0}">
      <text>
        <t>[Threaded comment]
Your version of Excel allows you to read this threaded comment; however, any edits to it will get removed if the file is opened in a newer version of Excel. Learn more: https://go.microsoft.com/fwlink/?linkid=870924
Comment:
    황윤하 20퍼
손승운 10퍼</t>
      </text>
    </comment>
    <comment ref="FP6" authorId="31" shapeId="0" xr:uid="{8771E088-3381-4F49-A1CE-1867CB2EF31D}">
      <text>
        <t>[Threaded comment]
Your version of Excel allows you to read this threaded comment; however, any edits to it will get removed if the file is opened in a newer version of Excel. Learn more: https://go.microsoft.com/fwlink/?linkid=870924
Comment:
    황윤하 20퍼
손승운 10퍼</t>
      </text>
    </comment>
    <comment ref="GB6" authorId="32" shapeId="0" xr:uid="{CD1026F4-42B9-DA44-8786-92D9E51B4E55}">
      <text>
        <t>[Threaded comment]
Your version of Excel allows you to read this threaded comment; however, any edits to it will get removed if the file is opened in a newer version of Excel. Learn more: https://go.microsoft.com/fwlink/?linkid=870924
Comment:
    황윤하 20퍼
손승운 10퍼</t>
      </text>
    </comment>
    <comment ref="GN6" authorId="33" shapeId="0" xr:uid="{9EC4B8E0-6831-DE4B-84F8-04B229595732}">
      <text>
        <t>[Threaded comment]
Your version of Excel allows you to read this threaded comment; however, any edits to it will get removed if the file is opened in a newer version of Excel. Learn more: https://go.microsoft.com/fwlink/?linkid=870924
Comment:
    황윤하 20퍼
손승운 10퍼</t>
      </text>
    </comment>
    <comment ref="GZ6" authorId="34" shapeId="0" xr:uid="{8C4DE17F-8458-B74C-BC1B-B42972C4F005}">
      <text>
        <t>[Threaded comment]
Your version of Excel allows you to read this threaded comment; however, any edits to it will get removed if the file is opened in a newer version of Excel. Learn more: https://go.microsoft.com/fwlink/?linkid=870924
Comment:
    황윤하 20퍼
손승운 10퍼</t>
      </text>
    </comment>
    <comment ref="HL6" authorId="35" shapeId="0" xr:uid="{211EA2F1-E00B-A643-BA9A-A3396C76BCE4}">
      <text>
        <t>[Threaded comment]
Your version of Excel allows you to read this threaded comment; however, any edits to it will get removed if the file is opened in a newer version of Excel. Learn more: https://go.microsoft.com/fwlink/?linkid=870924
Comment:
    황윤하 20퍼
손승운 10퍼</t>
      </text>
    </comment>
    <comment ref="HX6" authorId="36" shapeId="0" xr:uid="{C2B34CBC-3792-444B-A121-CFFD54DE96FF}">
      <text>
        <t>[Threaded comment]
Your version of Excel allows you to read this threaded comment; however, any edits to it will get removed if the file is opened in a newer version of Excel. Learn more: https://go.microsoft.com/fwlink/?linkid=870924
Comment:
    황윤하 20퍼
손승운 10퍼</t>
      </text>
    </comment>
    <comment ref="IJ6" authorId="37" shapeId="0" xr:uid="{5BE379EB-B59E-1F41-BE06-2481375638C1}">
      <text>
        <t>[Threaded comment]
Your version of Excel allows you to read this threaded comment; however, any edits to it will get removed if the file is opened in a newer version of Excel. Learn more: https://go.microsoft.com/fwlink/?linkid=870924
Comment:
    황윤하 20퍼
손승운 10퍼</t>
      </text>
    </comment>
    <comment ref="DH7" authorId="38" shapeId="0" xr:uid="{880A3EBA-0ADE-E94C-8ABB-12EBB7A0B237}">
      <text>
        <t>[Threaded comment]
Your version of Excel allows you to read this threaded comment; however, any edits to it will get removed if the file is opened in a newer version of Excel. Learn more: https://go.microsoft.com/fwlink/?linkid=870924
Comment:
    이나엘 50퍼</t>
      </text>
    </comment>
    <comment ref="DT7" authorId="39" shapeId="0" xr:uid="{BA29E69F-B601-594C-B98E-717DA4E9C515}">
      <text>
        <t>[Threaded comment]
Your version of Excel allows you to read this threaded comment; however, any edits to it will get removed if the file is opened in a newer version of Excel. Learn more: https://go.microsoft.com/fwlink/?linkid=870924
Comment:
    이나엘 50퍼</t>
      </text>
    </comment>
    <comment ref="EF7" authorId="40" shapeId="0" xr:uid="{85FF9E85-06C5-6344-A547-9A2DEDB868A1}">
      <text>
        <t>[Threaded comment]
Your version of Excel allows you to read this threaded comment; however, any edits to it will get removed if the file is opened in a newer version of Excel. Learn more: https://go.microsoft.com/fwlink/?linkid=870924
Comment:
    이나엘 50퍼</t>
      </text>
    </comment>
    <comment ref="ER7" authorId="41" shapeId="0" xr:uid="{742BECEA-CCD6-A44E-8962-4EF5BC0A82CC}">
      <text>
        <t>[Threaded comment]
Your version of Excel allows you to read this threaded comment; however, any edits to it will get removed if the file is opened in a newer version of Excel. Learn more: https://go.microsoft.com/fwlink/?linkid=870924
Comment:
    이나엘 50퍼</t>
      </text>
    </comment>
    <comment ref="FD7" authorId="42" shapeId="0" xr:uid="{530FF2C6-6616-5F4F-962F-E6E642847D8C}">
      <text>
        <t>[Threaded comment]
Your version of Excel allows you to read this threaded comment; however, any edits to it will get removed if the file is opened in a newer version of Excel. Learn more: https://go.microsoft.com/fwlink/?linkid=870924
Comment:
    이나엘 50퍼</t>
      </text>
    </comment>
    <comment ref="FP7" authorId="43" shapeId="0" xr:uid="{CEEEF17F-286D-1C49-9FCB-1D93C639705A}">
      <text>
        <t>[Threaded comment]
Your version of Excel allows you to read this threaded comment; however, any edits to it will get removed if the file is opened in a newer version of Excel. Learn more: https://go.microsoft.com/fwlink/?linkid=870924
Comment:
    이나엘 50퍼</t>
      </text>
    </comment>
    <comment ref="GB7" authorId="44" shapeId="0" xr:uid="{E4940C14-E00F-A244-A6AE-3E5E7BF9DBC4}">
      <text>
        <t>[Threaded comment]
Your version of Excel allows you to read this threaded comment; however, any edits to it will get removed if the file is opened in a newer version of Excel. Learn more: https://go.microsoft.com/fwlink/?linkid=870924
Comment:
    이나엘 50퍼</t>
      </text>
    </comment>
    <comment ref="DT8" authorId="45" shapeId="0" xr:uid="{29570CB7-8B87-314A-B120-55D2CF8A6C6D}">
      <text>
        <t>[Threaded comment]
Your version of Excel allows you to read this threaded comment; however, any edits to it will get removed if the file is opened in a newer version of Excel. Learn more: https://go.microsoft.com/fwlink/?linkid=870924
Comment:
    Austin 10</t>
      </text>
    </comment>
    <comment ref="ER8" authorId="46" shapeId="0" xr:uid="{1167874C-08CD-1949-8B09-5694DAB0F070}">
      <text>
        <t>[Threaded comment]
Your version of Excel allows you to read this threaded comment; however, any edits to it will get removed if the file is opened in a newer version of Excel. Learn more: https://go.microsoft.com/fwlink/?linkid=870924
Comment:
    Austin 10</t>
      </text>
    </comment>
    <comment ref="FD8" authorId="47" shapeId="0" xr:uid="{E99F65A2-8C1B-324B-AD66-2107B66F6C70}">
      <text>
        <t>[Threaded comment]
Your version of Excel allows you to read this threaded comment; however, any edits to it will get removed if the file is opened in a newer version of Excel. Learn more: https://go.microsoft.com/fwlink/?linkid=870924
Comment:
    Austin 10</t>
      </text>
    </comment>
    <comment ref="FP8" authorId="48" shapeId="0" xr:uid="{F3E8C311-D409-1649-AE92-60B3634BC0C6}">
      <text>
        <t>[Threaded comment]
Your version of Excel allows you to read this threaded comment; however, any edits to it will get removed if the file is opened in a newer version of Excel. Learn more: https://go.microsoft.com/fwlink/?linkid=870924
Comment:
    Austin 10</t>
      </text>
    </comment>
    <comment ref="GB8" authorId="49" shapeId="0" xr:uid="{42128A8A-7E60-5743-B6D4-1C2E07EDCF00}">
      <text>
        <t>[Threaded comment]
Your version of Excel allows you to read this threaded comment; however, any edits to it will get removed if the file is opened in a newer version of Excel. Learn more: https://go.microsoft.com/fwlink/?linkid=870924
Comment:
    Austin 10</t>
      </text>
    </comment>
    <comment ref="I11" authorId="50" shapeId="0" xr:uid="{FBAC21E4-9442-43DC-B9ED-5C38115B02D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댄스 5*4
중국어 6*4
반음 10*4
쿠킹재료비 2*4
</t>
      </text>
    </comment>
    <comment ref="U11" authorId="51" shapeId="0" xr:uid="{0D2CB8D7-2ABD-49D4-9D0D-D19AB81E83A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댄스 5*4
중국어 6*4
반음 10*4
쿠킹재료비 2*4
</t>
      </text>
    </comment>
    <comment ref="AG11" authorId="52" shapeId="0" xr:uid="{A090A223-E4CC-480B-A059-BBFF2B75E28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댄스 5*4
중국어 6*4
반음 10*4
쿠킹재료비 2*4
</t>
      </text>
    </comment>
    <comment ref="AS11" authorId="53" shapeId="0" xr:uid="{96B01A5D-7C55-42CC-961A-15A5B032AD6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댄스 5*4
중국어 6*4
반음 10*4
쿠킹재료비 2*4
</t>
      </text>
    </comment>
    <comment ref="BE11" authorId="54" shapeId="0" xr:uid="{B46D4B24-B4EB-4626-BBE8-93A5041F679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댄스 5*4
중국어 6*4
반음 10*4
쿠킹재료비 2*4
</t>
      </text>
    </comment>
    <comment ref="BQ11" authorId="55" shapeId="0" xr:uid="{C9735876-EAF2-4799-B463-83A7CB22385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댄스 5*4
중국어 6*4
반음 10*4
쿠킹재료비 2*4
</t>
      </text>
    </comment>
    <comment ref="CC11" authorId="56" shapeId="0" xr:uid="{91AA5006-E9A5-4E88-9C8D-88E337316DE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댄스 5*4
중국어 6*4
반음 10*4
쿠킹재료비 2*4
</t>
      </text>
    </comment>
    <comment ref="CO11" authorId="57" shapeId="0" xr:uid="{A956694D-F21C-4C8B-81B6-9FA60FD2C25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댄스 5*4
중국어 6*4
반음 10*4
쿠킹재료비 2*4
</t>
      </text>
    </comment>
    <comment ref="DA11" authorId="58" shapeId="0" xr:uid="{DD591518-D158-5346-BECB-465B6E81058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댄스 5*4
중국어 6*4
반음 10*4
쿠킹재료비 2*4
</t>
      </text>
    </comment>
    <comment ref="BL12" authorId="59" shapeId="0" xr:uid="{A89A9896-D015-4CA7-AFD5-698D93FFCE34}">
      <text>
        <r>
          <rPr>
            <b/>
            <sz val="10"/>
            <color rgb="FF000000"/>
            <rFont val="Tahoma"/>
            <family val="2"/>
          </rPr>
          <t>안병규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베이징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송윤재</t>
        </r>
      </text>
    </comment>
    <comment ref="DM12" authorId="60" shapeId="0" xr:uid="{5B520F9D-EC4F-B846-828F-ADA32752D2F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댄스 5*4
중국어 6*4
반음 10*4
쿠킹재료비 2*4
</t>
      </text>
    </comment>
  </commentList>
</comments>
</file>

<file path=xl/sharedStrings.xml><?xml version="1.0" encoding="utf-8"?>
<sst xmlns="http://schemas.openxmlformats.org/spreadsheetml/2006/main" count="1976" uniqueCount="193">
  <si>
    <t>수익</t>
    <phoneticPr fontId="1" type="noConversion"/>
  </si>
  <si>
    <t>정규</t>
    <phoneticPr fontId="1" type="noConversion"/>
  </si>
  <si>
    <t>원비</t>
    <phoneticPr fontId="1" type="noConversion"/>
  </si>
  <si>
    <t>명수</t>
    <phoneticPr fontId="1" type="noConversion"/>
  </si>
  <si>
    <t>나이</t>
    <phoneticPr fontId="1" type="noConversion"/>
  </si>
  <si>
    <t>재료비</t>
    <phoneticPr fontId="1" type="noConversion"/>
  </si>
  <si>
    <t>교재비</t>
    <phoneticPr fontId="1" type="noConversion"/>
  </si>
  <si>
    <t>식비</t>
    <phoneticPr fontId="1" type="noConversion"/>
  </si>
  <si>
    <t>방과후</t>
    <phoneticPr fontId="1" type="noConversion"/>
  </si>
  <si>
    <t>오후반</t>
    <phoneticPr fontId="1" type="noConversion"/>
  </si>
  <si>
    <t>초등</t>
    <phoneticPr fontId="1" type="noConversion"/>
  </si>
  <si>
    <t>통합</t>
    <phoneticPr fontId="1" type="noConversion"/>
  </si>
  <si>
    <t>합계</t>
    <phoneticPr fontId="1" type="noConversion"/>
  </si>
  <si>
    <t>비용</t>
    <phoneticPr fontId="1" type="noConversion"/>
  </si>
  <si>
    <t>원장</t>
    <phoneticPr fontId="1" type="noConversion"/>
  </si>
  <si>
    <t>급여</t>
    <phoneticPr fontId="1" type="noConversion"/>
  </si>
  <si>
    <t>수당</t>
    <phoneticPr fontId="1" type="noConversion"/>
  </si>
  <si>
    <t>보험,세금</t>
    <phoneticPr fontId="1" type="noConversion"/>
  </si>
  <si>
    <t>안전지도</t>
    <phoneticPr fontId="1" type="noConversion"/>
  </si>
  <si>
    <t>셔틀</t>
    <phoneticPr fontId="1" type="noConversion"/>
  </si>
  <si>
    <t>보안</t>
    <phoneticPr fontId="1" type="noConversion"/>
  </si>
  <si>
    <t>인터넷</t>
    <phoneticPr fontId="1" type="noConversion"/>
  </si>
  <si>
    <t>관리비</t>
    <phoneticPr fontId="1" type="noConversion"/>
  </si>
  <si>
    <t>본사가맹비</t>
    <phoneticPr fontId="1" type="noConversion"/>
  </si>
  <si>
    <t>월세</t>
    <phoneticPr fontId="1" type="noConversion"/>
  </si>
  <si>
    <t>라즈키즈</t>
    <phoneticPr fontId="1" type="noConversion"/>
  </si>
  <si>
    <t>르네상스</t>
    <phoneticPr fontId="1" type="noConversion"/>
  </si>
  <si>
    <t>돌봄</t>
    <phoneticPr fontId="1" type="noConversion"/>
  </si>
  <si>
    <t>늘품</t>
    <phoneticPr fontId="1" type="noConversion"/>
  </si>
  <si>
    <t>공청기등 렌탈료</t>
    <phoneticPr fontId="1" type="noConversion"/>
  </si>
  <si>
    <t>행사비 재료비</t>
    <phoneticPr fontId="1" type="noConversion"/>
  </si>
  <si>
    <t>할인</t>
  </si>
  <si>
    <t>음악</t>
  </si>
  <si>
    <t>6,7</t>
  </si>
  <si>
    <t>4-1</t>
  </si>
  <si>
    <t>5-1</t>
  </si>
  <si>
    <t>6-1</t>
  </si>
  <si>
    <t>7-1</t>
  </si>
  <si>
    <t>6-2</t>
  </si>
  <si>
    <t>7-2</t>
  </si>
  <si>
    <t>청소</t>
  </si>
  <si>
    <t>Benjamin</t>
  </si>
  <si>
    <t>Heather</t>
  </si>
  <si>
    <t>Texas</t>
  </si>
  <si>
    <t>Tori</t>
  </si>
  <si>
    <t>Daisy</t>
  </si>
  <si>
    <t>Annie</t>
  </si>
  <si>
    <t>Lia</t>
  </si>
  <si>
    <t>Aysia</t>
  </si>
  <si>
    <t>Janie</t>
  </si>
  <si>
    <t>5세 화목</t>
  </si>
  <si>
    <t>6,7세 5일반</t>
  </si>
  <si>
    <t>화목반</t>
  </si>
  <si>
    <t>Hailey</t>
  </si>
  <si>
    <t>FLB</t>
    <phoneticPr fontId="1" type="noConversion"/>
  </si>
  <si>
    <t>FLI</t>
    <phoneticPr fontId="1" type="noConversion"/>
  </si>
  <si>
    <t>FLU</t>
    <phoneticPr fontId="1" type="noConversion"/>
  </si>
  <si>
    <t>FLA</t>
    <phoneticPr fontId="1" type="noConversion"/>
  </si>
  <si>
    <t>자가등하원</t>
    <phoneticPr fontId="1" type="noConversion"/>
  </si>
  <si>
    <t>Clara</t>
    <phoneticPr fontId="1" type="noConversion"/>
  </si>
  <si>
    <t>Celine</t>
    <phoneticPr fontId="1" type="noConversion"/>
  </si>
  <si>
    <t>Layla</t>
    <phoneticPr fontId="1" type="noConversion"/>
  </si>
  <si>
    <t>Quincy</t>
    <phoneticPr fontId="1" type="noConversion"/>
  </si>
  <si>
    <t>전자출결</t>
    <phoneticPr fontId="1" type="noConversion"/>
  </si>
  <si>
    <t>프린트</t>
    <phoneticPr fontId="1" type="noConversion"/>
  </si>
  <si>
    <t>7-3</t>
  </si>
  <si>
    <t>6,7세 화목</t>
  </si>
  <si>
    <t>연와</t>
  </si>
  <si>
    <t>Potia</t>
  </si>
  <si>
    <t>Rozi</t>
  </si>
  <si>
    <t>Olivia</t>
  </si>
  <si>
    <t>FLI(Paris)</t>
  </si>
  <si>
    <t>FLI(NY)</t>
  </si>
  <si>
    <t>Jevon</t>
  </si>
  <si>
    <t>댄스</t>
  </si>
  <si>
    <t>뮤앤무</t>
  </si>
  <si>
    <t>오후돌봄</t>
  </si>
  <si>
    <t>Eun</t>
  </si>
  <si>
    <t>Trudy</t>
  </si>
  <si>
    <t>FLU</t>
  </si>
  <si>
    <t>2024.10.</t>
    <phoneticPr fontId="1" type="noConversion"/>
  </si>
  <si>
    <t>est</t>
    <phoneticPr fontId="1" type="noConversion"/>
  </si>
  <si>
    <t>5-2</t>
  </si>
  <si>
    <t>FLI 1,2</t>
  </si>
  <si>
    <t>FLI 3,4</t>
  </si>
  <si>
    <t>FLU Beijing</t>
  </si>
  <si>
    <t>FLA NY</t>
  </si>
  <si>
    <t>FLU NY</t>
  </si>
  <si>
    <t>New</t>
  </si>
  <si>
    <t>2024.11.</t>
  </si>
  <si>
    <t>Greene</t>
  </si>
  <si>
    <t>6,7세 월수금 신규</t>
  </si>
  <si>
    <t>Maria</t>
  </si>
  <si>
    <t>Asher</t>
  </si>
  <si>
    <t>New2</t>
  </si>
  <si>
    <t>이경희</t>
  </si>
  <si>
    <t>이세영</t>
  </si>
  <si>
    <t>6,7 2년차</t>
  </si>
  <si>
    <t>Shine</t>
  </si>
  <si>
    <t>Maya</t>
  </si>
  <si>
    <t>Amy</t>
  </si>
  <si>
    <t>Layla</t>
  </si>
  <si>
    <t>6,7세 월수금 2년차</t>
  </si>
  <si>
    <t>FLU Bejing</t>
  </si>
  <si>
    <t>FLA</t>
  </si>
  <si>
    <t>FLA-3</t>
  </si>
  <si>
    <t>FLU-3</t>
  </si>
  <si>
    <t>William</t>
  </si>
  <si>
    <t>Victoria</t>
  </si>
  <si>
    <t>Esther</t>
  </si>
  <si>
    <t>FLL</t>
  </si>
  <si>
    <t>Jason</t>
  </si>
  <si>
    <t>Sera</t>
  </si>
  <si>
    <t>9월부터</t>
  </si>
  <si>
    <t>이승아</t>
  </si>
  <si>
    <t>??</t>
  </si>
  <si>
    <t>김은경</t>
  </si>
  <si>
    <t>6-1 닫을때</t>
  </si>
  <si>
    <t>영도</t>
  </si>
  <si>
    <t>영도1</t>
  </si>
  <si>
    <t>영도2</t>
  </si>
  <si>
    <t>축구</t>
  </si>
  <si>
    <t>과외</t>
  </si>
  <si>
    <t>한비 도윤 빠진거</t>
  </si>
  <si>
    <t>6-1 없앤버전</t>
  </si>
  <si>
    <t>7-2 뺀버전</t>
  </si>
  <si>
    <t>9.21 하임이 친구온거</t>
  </si>
  <si>
    <t>손승운 빠지는거</t>
  </si>
  <si>
    <t>월</t>
    <phoneticPr fontId="1" type="noConversion"/>
  </si>
  <si>
    <t>오전</t>
    <phoneticPr fontId="1" type="noConversion"/>
  </si>
  <si>
    <t>오후</t>
    <phoneticPr fontId="1" type="noConversion"/>
  </si>
  <si>
    <t>기타 일반 비용</t>
    <phoneticPr fontId="1" type="noConversion"/>
  </si>
  <si>
    <t>투자</t>
    <phoneticPr fontId="1" type="noConversion"/>
  </si>
  <si>
    <t>전문가 비용</t>
    <phoneticPr fontId="1" type="noConversion"/>
  </si>
  <si>
    <t>인테리어</t>
    <phoneticPr fontId="1" type="noConversion"/>
  </si>
  <si>
    <t>의문 출금</t>
    <phoneticPr fontId="1" type="noConversion"/>
  </si>
  <si>
    <t>카드값</t>
    <phoneticPr fontId="1" type="noConversion"/>
  </si>
  <si>
    <t>홍보</t>
    <phoneticPr fontId="1" type="noConversion"/>
  </si>
  <si>
    <t>임대보증금</t>
    <phoneticPr fontId="1" type="noConversion"/>
  </si>
  <si>
    <t>임대료</t>
    <phoneticPr fontId="1" type="noConversion"/>
  </si>
  <si>
    <t>인건비</t>
    <phoneticPr fontId="1" type="noConversion"/>
  </si>
  <si>
    <t>원복</t>
    <phoneticPr fontId="1" type="noConversion"/>
  </si>
  <si>
    <t>가맹</t>
    <phoneticPr fontId="1" type="noConversion"/>
  </si>
  <si>
    <t>세금</t>
    <phoneticPr fontId="1" type="noConversion"/>
  </si>
  <si>
    <t>환불</t>
    <phoneticPr fontId="1" type="noConversion"/>
  </si>
  <si>
    <t>도서</t>
    <phoneticPr fontId="1" type="noConversion"/>
  </si>
  <si>
    <t>총입금</t>
    <phoneticPr fontId="1" type="noConversion"/>
  </si>
  <si>
    <t>총출금</t>
    <phoneticPr fontId="1" type="noConversion"/>
  </si>
  <si>
    <t>총잔액</t>
    <phoneticPr fontId="1" type="noConversion"/>
  </si>
  <si>
    <t>안병규 입금</t>
    <phoneticPr fontId="1" type="noConversion"/>
  </si>
  <si>
    <t>법인 입금</t>
    <phoneticPr fontId="1" type="noConversion"/>
  </si>
  <si>
    <t>법인 출금</t>
    <phoneticPr fontId="1" type="noConversion"/>
  </si>
  <si>
    <t>법인 잔액</t>
    <phoneticPr fontId="1" type="noConversion"/>
  </si>
  <si>
    <t>계좌간 이동</t>
    <phoneticPr fontId="1" type="noConversion"/>
  </si>
  <si>
    <t>대출</t>
    <phoneticPr fontId="1" type="noConversion"/>
  </si>
  <si>
    <t>대출이자</t>
    <phoneticPr fontId="1" type="noConversion"/>
  </si>
  <si>
    <t>기타소득</t>
    <phoneticPr fontId="1" type="noConversion"/>
  </si>
  <si>
    <t>중고차</t>
    <phoneticPr fontId="1" type="noConversion"/>
  </si>
  <si>
    <t>인건비_급여외</t>
    <phoneticPr fontId="1" type="noConversion"/>
  </si>
  <si>
    <t>개인 잔액</t>
    <phoneticPr fontId="1" type="noConversion"/>
  </si>
  <si>
    <t>개인 입금</t>
    <phoneticPr fontId="1" type="noConversion"/>
  </si>
  <si>
    <t>개인 출금</t>
    <phoneticPr fontId="1" type="noConversion"/>
  </si>
  <si>
    <t>계좌간거래</t>
    <phoneticPr fontId="1" type="noConversion"/>
  </si>
  <si>
    <t>개인사업자 입금</t>
    <phoneticPr fontId="1" type="noConversion"/>
  </si>
  <si>
    <t>법인 매출</t>
  </si>
  <si>
    <t>법인 비용</t>
  </si>
  <si>
    <t>법인 영업이익</t>
  </si>
  <si>
    <t>총매출</t>
  </si>
  <si>
    <t>총비용</t>
  </si>
  <si>
    <t>총영업이익</t>
  </si>
  <si>
    <t>총차액</t>
  </si>
  <si>
    <t>법인 차액</t>
  </si>
  <si>
    <t>연도</t>
  </si>
  <si>
    <t>총대출</t>
  </si>
  <si>
    <t>총안병규입금</t>
  </si>
  <si>
    <t>총입금</t>
  </si>
  <si>
    <t>총출금</t>
  </si>
  <si>
    <t>총잔액</t>
  </si>
  <si>
    <t>FLI</t>
  </si>
  <si>
    <t>FLI+</t>
  </si>
  <si>
    <t>FLA+</t>
  </si>
  <si>
    <t>순이익</t>
  </si>
  <si>
    <t>Eysis</t>
  </si>
  <si>
    <t>이애리</t>
  </si>
  <si>
    <t>Jinny</t>
  </si>
  <si>
    <t>Rosie</t>
  </si>
  <si>
    <t>영업매출</t>
  </si>
  <si>
    <t>기타매출</t>
  </si>
  <si>
    <t>고정비용</t>
  </si>
  <si>
    <t>변동비용</t>
  </si>
  <si>
    <t>예산잡기</t>
  </si>
  <si>
    <t>계획하기</t>
  </si>
  <si>
    <t>6,7세를 학습적인거 강조 --&gt; 인스타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</si>
</sst>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_-;\-* #,##0_-;_-* &quot;-&quot;_-;_-@_-"/>
    <numFmt numFmtId="165" formatCode="###,##0"/>
    <numFmt numFmtId="166" formatCode="#,###"/>
  </numFmts>
  <fonts count="11">
    <font>
      <sz val="12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theme="1"/>
      <name val="Calibri"/>
      <family val="2"/>
      <charset val="129"/>
      <scheme val="minor"/>
    </font>
    <font>
      <sz val="10"/>
      <name val="맑은 고딕"/>
      <family val="3"/>
      <charset val="129"/>
    </font>
    <font>
      <sz val="10"/>
      <name val="돋움"/>
      <family val="3"/>
      <charset val="129"/>
    </font>
    <font>
      <sz val="11"/>
      <color indexed="8"/>
      <name val="Calibri"/>
      <family val="2"/>
      <scheme val="minor"/>
    </font>
    <font>
      <sz val="11"/>
      <name val="맑은 고딕"/>
      <family val="3"/>
      <charset val="129"/>
    </font>
    <font>
      <sz val="10"/>
      <color rgb="FF000000"/>
      <name val="Malgun Gothic"/>
      <family val="2"/>
      <charset val="129"/>
    </font>
    <font>
      <sz val="11"/>
      <color rgb="FF000000"/>
      <name val="pd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164" fontId="4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9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quotePrefix="1">
      <alignment vertical="center"/>
    </xf>
    <xf numFmtId="16" fontId="0" fillId="0" borderId="0" xfId="0" applyNumberFormat="1">
      <alignment vertical="center"/>
    </xf>
    <xf numFmtId="16" fontId="0" fillId="0" borderId="0" xfId="0" quotePrefix="1" applyNumberFormat="1">
      <alignment vertical="center"/>
    </xf>
    <xf numFmtId="164" fontId="0" fillId="0" borderId="0" xfId="1" applyFont="1">
      <alignment vertical="center"/>
    </xf>
    <xf numFmtId="164" fontId="0" fillId="2" borderId="0" xfId="1" applyFont="1" applyFill="1">
      <alignment vertical="center"/>
    </xf>
    <xf numFmtId="164" fontId="0" fillId="0" borderId="0" xfId="1" applyFont="1" applyFill="1">
      <alignment vertical="center"/>
    </xf>
    <xf numFmtId="165" fontId="5" fillId="0" borderId="1" xfId="0" applyNumberFormat="1" applyFont="1" applyBorder="1" applyAlignment="1">
      <alignment horizontal="right"/>
    </xf>
    <xf numFmtId="166" fontId="6" fillId="3" borderId="1" xfId="0" applyNumberFormat="1" applyFont="1" applyFill="1" applyBorder="1" applyAlignment="1">
      <alignment horizontal="right" vertical="center" wrapText="1"/>
    </xf>
    <xf numFmtId="3" fontId="8" fillId="4" borderId="1" xfId="2" applyNumberFormat="1" applyFont="1" applyFill="1" applyBorder="1" applyAlignment="1">
      <alignment horizontal="right" vertical="center"/>
    </xf>
    <xf numFmtId="3" fontId="10" fillId="0" borderId="2" xfId="0" applyNumberFormat="1" applyFont="1" applyBorder="1" applyAlignment="1">
      <alignment horizontal="right" vertical="center" wrapText="1"/>
    </xf>
    <xf numFmtId="3" fontId="10" fillId="0" borderId="2" xfId="3" applyNumberFormat="1" applyFont="1" applyBorder="1" applyAlignment="1">
      <alignment horizontal="right" vertical="center" wrapText="1"/>
    </xf>
    <xf numFmtId="165" fontId="5" fillId="0" borderId="0" xfId="0" applyNumberFormat="1" applyFont="1" applyAlignment="1">
      <alignment horizontal="right"/>
    </xf>
    <xf numFmtId="3" fontId="8" fillId="4" borderId="0" xfId="2" applyNumberFormat="1" applyFont="1" applyFill="1" applyAlignment="1">
      <alignment horizontal="right" vertical="center"/>
    </xf>
    <xf numFmtId="3" fontId="10" fillId="0" borderId="0" xfId="0" applyNumberFormat="1" applyFont="1" applyAlignment="1">
      <alignment horizontal="right" vertical="center" wrapText="1"/>
    </xf>
    <xf numFmtId="3" fontId="10" fillId="0" borderId="0" xfId="3" applyNumberFormat="1" applyFont="1" applyAlignment="1">
      <alignment horizontal="right" vertical="center" wrapText="1"/>
    </xf>
  </cellXfs>
  <cellStyles count="4">
    <cellStyle name="Comma [0]" xfId="1" builtinId="6"/>
    <cellStyle name="Normal" xfId="0" builtinId="0"/>
    <cellStyle name="표준 2" xfId="2" xr:uid="{942D95C8-EADC-4EEF-9E8E-2A978CB84F8E}"/>
    <cellStyle name="표준 3" xfId="3" xr:uid="{58C99632-5F68-4061-A4E8-2AA73A577A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6319" id="{2088F17F-74E5-F44D-8FBB-FEA1C486048F}" userId="S::D6319@365f.me::c8723857-1479-4a1b-a375-e2f2a8810c79" providerId="AD"/>
  <person displayName="안병규" id="{692A8B36-8B69-8646-AD06-39CA596B7972}" userId="S::bkahn@pusan.ac.kr::f49abbe0-16e6-4b92-ae67-24435c54687e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Y1" dT="2025-08-29T13:06:28.12" personId="{2088F17F-74E5-F44D-8FBB-FEA1C486048F}" id="{F1F3AA6F-4590-764B-B02A-FBD6DDEADC46}">
    <text>금융인증서발급수수료 4,400</text>
  </threadedComment>
  <threadedComment ref="BR1" dT="2025-08-29T13:06:28.12" personId="{2088F17F-74E5-F44D-8FBB-FEA1C486048F}" id="{26D1FA45-9A0D-3846-BFF4-53EF4CD31628}">
    <text>금융인증서발급수수료 4,400</text>
  </threadedComment>
  <threadedComment ref="AA2" dT="2025-08-29T13:07:26.15" personId="{2088F17F-74E5-F44D-8FBB-FEA1C486048F}" id="{62F2FB81-51AA-104D-9863-AE2607DC3615}">
    <text>안병규</text>
  </threadedComment>
  <threadedComment ref="AA3" dT="2025-08-29T13:17:50.80" personId="{2088F17F-74E5-F44D-8FBB-FEA1C486048F}" id="{708336C4-6645-6E4C-87A5-4C24D08F8C47}">
    <text>김명선 3000</text>
  </threadedComment>
  <threadedComment ref="AA3" dT="2025-08-29T13:17:58.48" personId="{2088F17F-74E5-F44D-8FBB-FEA1C486048F}" id="{ED0A861A-7E2A-E446-AB66-68C4370754B5}" parentId="{708336C4-6645-6E4C-87A5-4C24D08F8C47}">
    <text>김경현 3000</text>
  </threadedComment>
  <threadedComment ref="AA3" dT="2025-08-29T13:18:05.96" personId="{2088F17F-74E5-F44D-8FBB-FEA1C486048F}" id="{4453A461-7D75-1849-AD63-DD71E6A59F60}" parentId="{708336C4-6645-6E4C-87A5-4C24D08F8C47}">
    <text>신선민 6000</text>
  </threadedComment>
  <threadedComment ref="AA3" dT="2025-08-29T13:18:16.01" personId="{2088F17F-74E5-F44D-8FBB-FEA1C486048F}" id="{81BB2966-C03B-5641-801F-BD4DFBB12663}" parentId="{708336C4-6645-6E4C-87A5-4C24D08F8C47}">
    <text>문철호 6000</text>
  </threadedComment>
  <threadedComment ref="AA3" dT="2025-08-29T13:18:23.85" personId="{2088F17F-74E5-F44D-8FBB-FEA1C486048F}" id="{01846BBD-44A8-344E-9E39-216CF9F04A95}" parentId="{708336C4-6645-6E4C-87A5-4C24D08F8C47}">
    <text>김기현 12000</text>
  </threadedComment>
  <threadedComment ref="AA3" dT="2025-08-29T13:18:33.52" personId="{2088F17F-74E5-F44D-8FBB-FEA1C486048F}" id="{4ACF3C8C-588A-714A-801C-996529594F80}" parentId="{708336C4-6645-6E4C-87A5-4C24D08F8C47}">
    <text>문현성 6000</text>
  </threadedComment>
  <threadedComment ref="AA3" dT="2025-08-29T13:18:37.66" personId="{2088F17F-74E5-F44D-8FBB-FEA1C486048F}" id="{65766A0D-D9D9-C44B-B0B9-92DF25614AD5}" parentId="{708336C4-6645-6E4C-87A5-4C24D08F8C47}">
    <text>최솔잎 6000</text>
  </threadedComment>
  <threadedComment ref="AA3" dT="2025-08-29T13:18:56.64" personId="{2088F17F-74E5-F44D-8FBB-FEA1C486048F}" id="{5A357445-59B1-4547-8062-E306B743C1F2}" parentId="{708336C4-6645-6E4C-87A5-4C24D08F8C47}">
    <text>김소영 6000.5</text>
  </threadedComment>
  <threadedComment ref="AA3" dT="2025-08-29T13:19:02.37" personId="{2088F17F-74E5-F44D-8FBB-FEA1C486048F}" id="{4706A4AC-6599-AF4D-8B62-6E3DB4FD289B}" parentId="{708336C4-6645-6E4C-87A5-4C24D08F8C47}">
    <text>안병규 6000</text>
  </threadedComment>
  <threadedComment ref="AA3" dT="2025-08-29T13:20:04.31" personId="{2088F17F-74E5-F44D-8FBB-FEA1C486048F}" id="{DDFE97F5-5140-6C49-894D-E26908A02B69}" parentId="{708336C4-6645-6E4C-87A5-4C24D08F8C47}">
    <text>류주영 6000</text>
  </threadedComment>
  <threadedComment ref="AI3" dT="2025-08-29T13:09:10.07" personId="{2088F17F-74E5-F44D-8FBB-FEA1C486048F}" id="{B6D43D02-6473-B74C-9200-0532FE9467CF}">
    <text>변호사 (계약서 작성) 5,500,000</text>
  </threadedComment>
  <threadedComment ref="AI3" dT="2025-08-29T13:09:37.21" personId="{2088F17F-74E5-F44D-8FBB-FEA1C486048F}" id="{C836DE4F-9AD5-2645-8F8D-58BAEC2447CB}" parentId="{B6D43D02-6473-B74C-9200-0532FE9467CF}">
    <text>세무사 495,000</text>
  </threadedComment>
  <threadedComment ref="AI3" dT="2025-08-29T13:20:54.66" personId="{2088F17F-74E5-F44D-8FBB-FEA1C486048F}" id="{6DF33901-B594-1E4A-8B0F-CCF005A853A6}" parentId="{B6D43D02-6473-B74C-9200-0532FE9467CF}">
    <text>0718 법무사 증자</text>
  </threadedComment>
  <threadedComment ref="AI3" dT="2025-08-29T13:21:09.16" personId="{2088F17F-74E5-F44D-8FBB-FEA1C486048F}" id="{64B3CB3C-3FEE-BC4F-8550-254462BCE296}" parentId="{B6D43D02-6473-B74C-9200-0532FE9467CF}">
    <text>0720 세무기장 165000</text>
  </threadedComment>
  <threadedComment ref="AI3" dT="2025-08-29T13:23:04.92" personId="{2088F17F-74E5-F44D-8FBB-FEA1C486048F}" id="{089F4B78-7C16-2843-A21C-1A2F50B05A33}" parentId="{B6D43D02-6473-B74C-9200-0532FE9467CF}">
    <text>0729 공인중개수수료</text>
  </threadedComment>
  <threadedComment ref="AJ3" dT="2025-08-29T13:22:39.51" personId="{2088F17F-74E5-F44D-8FBB-FEA1C486048F}" id="{5CC38F39-E13F-3545-9AFC-478DAEB7C480}">
    <text>1375000 두번나감 확인 필요</text>
  </threadedComment>
  <threadedComment ref="AY4" dT="2025-09-22T01:21:01.85" personId="{2088F17F-74E5-F44D-8FBB-FEA1C486048F}" id="{0DDF068B-E02E-5343-95FD-77986C1EBDC2}">
    <text>0817 농협주식회사비에이</text>
  </threadedComment>
  <threadedComment ref="AI5" dT="2025-08-29T13:30:12.98" personId="{2088F17F-74E5-F44D-8FBB-FEA1C486048F}" id="{C67F6FE9-F23C-124A-8F0C-5951E4B433A6}">
    <text>0929 중개수수료 330,000</text>
  </threadedComment>
  <threadedComment ref="AJ5" dT="2025-08-29T13:30:26.50" personId="{2088F17F-74E5-F44D-8FBB-FEA1C486048F}" id="{CFA194D6-277E-1D46-A42A-19646741760B}">
    <text>냉장고</text>
  </threadedComment>
  <threadedComment ref="AJ6" dT="2025-08-29T13:31:34.29" personId="{2088F17F-74E5-F44D-8FBB-FEA1C486048F}" id="{E624752C-7972-F74F-9797-31555071CABD}">
    <text>1003 김소영 사무실 가구 287500</text>
  </threadedComment>
  <threadedComment ref="AJ6" dT="2025-08-29T13:31:45.66" personId="{2088F17F-74E5-F44D-8FBB-FEA1C486048F}" id="{F91F4468-8FC3-C449-B64A-A1F2D95D3797}" parentId="{E624752C-7972-F74F-9797-31555071CABD}">
    <text>1003 김소영 현관매트 15400</text>
  </threadedComment>
  <threadedComment ref="AJ6" dT="2025-08-29T13:31:55.55" personId="{2088F17F-74E5-F44D-8FBB-FEA1C486048F}" id="{9A3A4B68-59A0-8541-8FC5-A460D3579950}" parentId="{E624752C-7972-F74F-9797-31555071CABD}">
    <text>1003 김소영 책장 318500</text>
  </threadedComment>
  <threadedComment ref="AJ6" dT="2025-08-29T13:32:10.69" personId="{2088F17F-74E5-F44D-8FBB-FEA1C486048F}" id="{7512D9CF-5466-7441-A0A6-9B3E672AA6EE}" parentId="{E624752C-7972-F74F-9797-31555071CABD}">
    <text>1003 김소영 커피머신 90400</text>
  </threadedComment>
  <threadedComment ref="AJ6" dT="2025-08-29T13:33:17.76" personId="{2088F17F-74E5-F44D-8FBB-FEA1C486048F}" id="{E7BE2205-20A4-3844-AF79-757D38E2BB8D}" parentId="{E624752C-7972-F74F-9797-31555071CABD}">
    <text>1004 마또 착수금 73,500,000</text>
  </threadedComment>
  <threadedComment ref="AJ6" dT="2025-08-29T13:34:17.74" personId="{2088F17F-74E5-F44D-8FBB-FEA1C486048F}" id="{9620FE6F-3981-FC43-B5DB-559A945D513F}" parentId="{E624752C-7972-F74F-9797-31555071CABD}">
    <text>1006 프린터 217500</text>
  </threadedComment>
  <threadedComment ref="AI7" dT="2025-08-29T13:44:39.13" personId="{2088F17F-74E5-F44D-8FBB-FEA1C486048F}" id="{6355A16D-CCF4-B64A-8BCA-2CFB074E661F}">
    <text>부동산 + 본점이전등기</text>
  </threadedComment>
  <threadedComment ref="AI7" dT="2025-08-29T13:47:13.82" personId="{2088F17F-74E5-F44D-8FBB-FEA1C486048F}" id="{BEB0880F-66C0-7841-9C98-F918AEAF601A}" parentId="{6355A16D-CCF4-B64A-8BCA-2CFB074E661F}">
    <text>법인설립비용</text>
  </threadedComment>
  <threadedComment ref="AI7" dT="2025-08-29T13:47:30.31" personId="{2088F17F-74E5-F44D-8FBB-FEA1C486048F}" id="{314C879F-4009-FD47-9D94-61F8CFD248DC}" parentId="{6355A16D-CCF4-B64A-8BCA-2CFB074E661F}">
    <text>모네 리쿠르팅 CHOEJENNIF</text>
  </threadedComment>
  <threadedComment ref="AG8" dT="2025-08-29T15:13:35.61" personId="{2088F17F-74E5-F44D-8FBB-FEA1C486048F}" id="{9CB3A3AA-5E69-8240-A1A9-8BB0D41B34E8}">
    <text>이자</text>
  </threadedComment>
  <threadedComment ref="AI9" dT="2025-08-29T14:23:38.23" personId="{2088F17F-74E5-F44D-8FBB-FEA1C486048F}" id="{1FBF3711-E12B-AD4D-B07A-88862F88DEDF}">
    <text>이사</text>
  </threadedComment>
  <threadedComment ref="AA10" dT="2025-08-29T15:34:05.76" personId="{2088F17F-74E5-F44D-8FBB-FEA1C486048F}" id="{909E3FB5-00AB-6348-BA1B-6B94D0C338AC}">
    <text>문현성 최솔잎 김희경 김희경 김희경 김경현 김명선</text>
  </threadedComment>
  <threadedComment ref="AA10" dT="2025-08-29T15:35:07.42" personId="{2088F17F-74E5-F44D-8FBB-FEA1C486048F}" id="{A2CA493F-9BBE-4A47-95DF-0C0CD63AEDF6}" parentId="{909E3FB5-00AB-6348-BA1B-6B94D0C338AC}">
    <text>-김희경*3</text>
  </threadedComment>
  <threadedComment ref="AG10" dT="2025-08-29T15:37:25.33" personId="{2088F17F-74E5-F44D-8FBB-FEA1C486048F}" id="{80BDF1E3-DDE1-B841-9E11-1604927025E2}">
    <text>신한은행 출처를 모름</text>
  </threadedComment>
  <threadedComment ref="AG11" dT="2025-08-29T15:13:40.48" personId="{2088F17F-74E5-F44D-8FBB-FEA1C486048F}" id="{1DD13ABB-36A4-D244-B18C-A4F39F848D33}">
    <text>이자</text>
  </threadedComment>
  <threadedComment ref="AG11" dT="2025-08-29T16:02:28.15" personId="{2088F17F-74E5-F44D-8FBB-FEA1C486048F}" id="{E61DD621-867B-2942-82EF-48C33C8FE2EC}" parentId="{1DD13ABB-36A4-D244-B18C-A4F39F848D33}">
    <text>관리비환급</text>
  </threadedComment>
  <threadedComment ref="BH11" dT="2025-08-29T17:48:58.41" personId="{2088F17F-74E5-F44D-8FBB-FEA1C486048F}" id="{6D43623B-40FD-4D4A-9F01-44AC7B70B285}">
    <text xml:space="preserve">이자 및 SH우대환급
</text>
  </threadedComment>
  <threadedComment ref="AF12" dT="2025-08-29T16:15:38.40" personId="{2088F17F-74E5-F44D-8FBB-FEA1C486048F}" id="{F8DCCE91-B81B-1C43-BC3A-375F77CE86B0}">
    <text>워릭프랭클린 6085000(본사?)</text>
  </threadedComment>
  <threadedComment ref="AG12" dT="2025-08-29T16:13:59.04" personId="{2088F17F-74E5-F44D-8FBB-FEA1C486048F}" id="{C1572A42-3F91-5A46-B8DF-9CCA39E9B2B9}">
    <text>0422 잘못옴?</text>
  </threadedComment>
  <threadedComment ref="AY12" dT="2025-09-22T01:21:57.34" personId="{2088F17F-74E5-F44D-8FBB-FEA1C486048F}" id="{CF9F3226-0FE2-564D-A4A9-7F2784F3C46A}">
    <text>김연송 16만원</text>
  </threadedComment>
  <threadedComment ref="BC12" dT="2025-08-29T17:53:33.28" personId="{2088F17F-74E5-F44D-8FBB-FEA1C486048F}" id="{ED67CD47-C12A-874E-AB1D-359CEFA17367}">
    <text>김소영</text>
  </threadedComment>
  <threadedComment ref="BC12" dT="2025-08-29T17:56:26.49" personId="{2088F17F-74E5-F44D-8FBB-FEA1C486048F}" id="{6CBE80FB-3B46-EC43-9723-C0F33B79983E}" parentId="{ED67CD47-C12A-874E-AB1D-359CEFA17367}">
    <text>안병규 19000 + 28800</text>
  </threadedComment>
  <threadedComment ref="BL12" dT="2025-08-29T17:56:53.10" personId="{2088F17F-74E5-F44D-8FBB-FEA1C486048F}" id="{43186F23-93D1-C943-830D-71C4CB21528E}">
    <text>법인이 내야할돈</text>
  </threadedComment>
  <threadedComment ref="AF13" dT="2025-08-29T16:21:07.89" personId="{2088F17F-74E5-F44D-8FBB-FEA1C486048F}" id="{6517B263-D802-1147-9B1B-A335C469572D}">
    <text>신한은행 900</text>
  </threadedComment>
  <threadedComment ref="BR13" dT="2025-08-29T18:03:49.75" personId="{2088F17F-74E5-F44D-8FBB-FEA1C486048F}" id="{043E8456-734D-744A-B43C-5652517C0775}">
    <text>56950원 법인이 내야함</text>
  </threadedComment>
  <threadedComment ref="BR13" dT="2025-08-29T18:05:03.73" personId="{2088F17F-74E5-F44D-8FBB-FEA1C486048F}" id="{F9498371-1D9D-3E4D-A4AE-ED1026B335FA}" parentId="{043E8456-734D-744A-B43C-5652517C0775}">
    <text>110250</text>
  </threadedComment>
  <threadedComment ref="BR13" dT="2025-08-29T18:06:13.10" personId="{2088F17F-74E5-F44D-8FBB-FEA1C486048F}" id="{2DAA9090-3816-C541-8419-9171ED529881}" parentId="{043E8456-734D-744A-B43C-5652517C0775}">
    <text>프린터 100,000 305,000</text>
  </threadedComment>
  <threadedComment ref="AG14" dT="2025-08-29T16:25:49.51" personId="{2088F17F-74E5-F44D-8FBB-FEA1C486048F}" id="{C39A13E5-D41C-894D-9636-D3092126B91C}">
    <text>이자</text>
  </threadedComment>
  <threadedComment ref="BH14" dT="2025-08-29T18:20:12.51" personId="{2088F17F-74E5-F44D-8FBB-FEA1C486048F}" id="{87B111FE-DA8A-7948-BF16-5D2E3FE687D2}">
    <text>이자</text>
  </threadedComment>
  <threadedComment ref="AS15" dT="2025-08-29T16:38:19.08" personId="{2088F17F-74E5-F44D-8FBB-FEA1C486048F}" id="{6427A08C-1FC2-154E-8768-C05906E4F1C2}">
    <text>개인사업자부담</text>
  </threadedComment>
  <threadedComment ref="BR15" dT="2025-08-29T18:25:28.18" personId="{2088F17F-74E5-F44D-8FBB-FEA1C486048F}" id="{0534C49A-1C5C-CC40-BDE1-7F6FA712CDE2}">
    <text>하복</text>
  </threadedComment>
  <threadedComment ref="AA16" dT="2025-08-29T16:42:30.61" personId="{2088F17F-74E5-F44D-8FBB-FEA1C486048F}" id="{BADDD6D1-FB9B-4043-9D36-69EA9C3A457A}">
    <text>김소영</text>
  </threadedComment>
  <threadedComment ref="AA16" dT="2025-08-29T17:00:43.90" personId="{2088F17F-74E5-F44D-8FBB-FEA1C486048F}" id="{86EA4CE6-6F05-D641-8B25-06E5D87CD504}" parentId="{BADDD6D1-FB9B-4043-9D36-69EA9C3A457A}">
    <text>안병규 4천모자라게 넣음</text>
  </threadedComment>
  <threadedComment ref="AG16" dT="2025-08-29T15:07:08.72" personId="{2088F17F-74E5-F44D-8FBB-FEA1C486048F}" id="{BCCBDB0C-2A5C-F14E-8C36-2A365A443FDF}">
    <text>앗빙수 기타소득</text>
  </threadedComment>
  <threadedComment ref="AG16" dT="2025-08-29T15:13:57.15" personId="{2088F17F-74E5-F44D-8FBB-FEA1C486048F}" id="{42A987C1-8F1E-B249-AD84-2E010CB61583}" parentId="{BCCBDB0C-2A5C-F14E-8C36-2A365A443FDF}">
    <text>관리비정산</text>
  </threadedComment>
  <threadedComment ref="BH17" dT="2025-08-29T18:48:51.74" personId="{2088F17F-74E5-F44D-8FBB-FEA1C486048F}" id="{582348FC-B84B-9848-B28F-5791AE5CA795}">
    <text>카드 환불</text>
  </threadedComment>
  <threadedComment ref="BH17" dT="2025-08-29T18:49:08.24" personId="{2088F17F-74E5-F44D-8FBB-FEA1C486048F}" id="{E2A1C449-87E9-DE4D-983E-2CA7E09D4A77}" parentId="{582348FC-B84B-9848-B28F-5791AE5CA795}">
    <text>이자</text>
  </threadedComment>
  <threadedComment ref="AA18" dT="2025-08-29T17:01:01.28" personId="{2088F17F-74E5-F44D-8FBB-FEA1C486048F}" id="{B095131F-B64A-754E-A9BC-EC9055B51626}">
    <text>4천모자라던거 2천넣음</text>
  </threadedComment>
  <threadedComment ref="AA18" dT="2025-08-29T17:02:35.41" personId="{2088F17F-74E5-F44D-8FBB-FEA1C486048F}" id="{AFE123B3-3FF8-7F42-A6CE-C9968D997175}" parentId="{B095131F-B64A-754E-A9BC-EC9055B51626}">
    <text>2천모자라던거 5백넣음 = 1.5천</text>
  </threadedComment>
  <threadedComment ref="AG18" dT="2025-08-29T17:01:48.34" personId="{2088F17F-74E5-F44D-8FBB-FEA1C486048F}" id="{777B35E5-F6A5-5644-B255-D558CD40AB52}">
    <text>청년도약장려금</text>
  </threadedComment>
  <threadedComment ref="AG19" dT="2025-08-29T17:29:06.17" personId="{2088F17F-74E5-F44D-8FBB-FEA1C486048F}" id="{6B2FA69F-0631-424D-A86D-B0664F08F49F}">
    <text>이자</text>
  </threadedComment>
  <threadedComment ref="AA20" dT="2025-08-29T17:23:10.34" personId="{2088F17F-74E5-F44D-8FBB-FEA1C486048F}" id="{655181B7-551B-CB4B-8764-6666CA29B234}">
    <text>돈 마저 넣음</text>
  </threadedComment>
  <threadedComment ref="AG20" dT="2025-08-29T15:22:49.36" personId="{2088F17F-74E5-F44D-8FBB-FEA1C486048F}" id="{EB41F9F4-4D4A-6940-B504-DABE272C78AA}">
    <text>이자</text>
  </threadedComment>
  <threadedComment ref="BH20" dT="2025-08-29T18:36:28.06" personId="{2088F17F-74E5-F44D-8FBB-FEA1C486048F}" id="{8634A33D-DB85-1F48-8D62-2A0B1CD719E3}">
    <text>이자</text>
  </threadedComment>
  <threadedComment ref="BR20" dT="2025-08-29T18:37:26.62" personId="{2088F17F-74E5-F44D-8FBB-FEA1C486048F}" id="{A0FB5430-1B01-A248-B9AA-336C52DC8144}">
    <text>티비설치 4만</text>
  </threadedComment>
  <threadedComment ref="BR20" dT="2025-08-29T18:38:20.28" personId="{2088F17F-74E5-F44D-8FBB-FEA1C486048F}" id="{E7569911-783E-1A42-B769-9993A48A1011}" parentId="{A0FB5430-1B01-A248-B9AA-336C52DC8144}">
    <text>헤더 침대 배송 6만</text>
  </threadedComment>
  <threadedComment ref="AG21" dT="2025-08-30T13:03:21.09" personId="{2088F17F-74E5-F44D-8FBB-FEA1C486048F}" id="{B6501974-8F13-7F42-AAAA-9BC13EE6EB75}">
    <text>청년도약장려금</text>
  </threadedComment>
  <threadedComment ref="AN23" dT="2025-08-30T14:19:40.50" personId="{2088F17F-74E5-F44D-8FBB-FEA1C486048F}" id="{93773CDA-9240-3C43-966B-4502AD66A4B9}">
    <text>자스민 퇴직금</text>
  </threadedComment>
  <threadedComment ref="BH23" dT="2025-08-30T16:15:42.63" personId="{2088F17F-74E5-F44D-8FBB-FEA1C486048F}" id="{0220B67D-35F6-3945-A7A4-381D53BE04CD}">
    <text>이자 + 신한카드 환불</text>
  </threadedComment>
  <threadedComment ref="AG24" dT="2025-08-30T13:55:47.16" personId="{2088F17F-74E5-F44D-8FBB-FEA1C486048F}" id="{FAB815FA-A7DD-424C-B2DE-4927EFE99C16}">
    <text>신보 보증 환급</text>
  </threadedComment>
  <threadedComment ref="BH24" dT="2025-08-30T16:16:56.79" personId="{2088F17F-74E5-F44D-8FBB-FEA1C486048F}" id="{1CB333D2-D642-7346-8967-8B7E2A60DFE2}">
    <text>신한카드 캐시백</text>
  </threadedComment>
  <threadedComment ref="BH24" dT="2025-08-30T16:17:32.97" personId="{2088F17F-74E5-F44D-8FBB-FEA1C486048F}" id="{9FAF91A9-CB75-7D41-A532-964D46D96D92}" parentId="{1CB333D2-D642-7346-8967-8B7E2A60DFE2}">
    <text>보증료 환급</text>
  </threadedComment>
  <threadedComment ref="AN25" dT="2025-08-30T14:19:26.10" personId="{2088F17F-74E5-F44D-8FBB-FEA1C486048F}" id="{306BE2F1-E246-0D4A-84E8-878362AEEEB7}">
    <text>정혜민 퇴직위로금</text>
  </threadedComment>
  <threadedComment ref="AJ26" dT="2025-08-30T14:35:03.16" personId="{2088F17F-74E5-F44D-8FBB-FEA1C486048F}" id="{9F980799-7A9B-AD4B-BD7F-8B8291370A7F}">
    <text>에어컨</text>
  </threadedComment>
  <threadedComment ref="AY27" dT="2025-08-30T15:08:39.44" personId="{2088F17F-74E5-F44D-8FBB-FEA1C486048F}" id="{834FAFCF-C6B7-9543-A0E7-BD685CC36F84}">
    <text>프린트 5개월 1,925,000</text>
  </threadedComment>
  <threadedComment ref="BN31" dT="2025-08-30T16:43:35.31" personId="{2088F17F-74E5-F44D-8FBB-FEA1C486048F}" id="{D5F3AC6E-2EBA-104A-A93C-252090FBA12A}">
    <text>446050 가이디드 리딩 법인꺼</text>
  </threadedComment>
  <threadedComment ref="BR31" dT="2025-08-30T16:44:16.74" personId="{2088F17F-74E5-F44D-8FBB-FEA1C486048F}" id="{15B9CA3D-6782-C845-8041-0C3493FB6183}">
    <text>김민설 병원비</text>
  </threadedComment>
  <threadedComment ref="AJ32" dT="2025-08-30T15:51:46.53" personId="{2088F17F-74E5-F44D-8FBB-FEA1C486048F}" id="{18C50115-0D71-E149-A74C-81BA331B4604}">
    <text>에어컨</text>
  </threadedComment>
  <threadedComment ref="BJ32" dT="2025-08-30T16:46:15.57" personId="{2088F17F-74E5-F44D-8FBB-FEA1C486048F}" id="{2DCD4715-96A9-074E-9A32-D5B004BE2D12}">
    <text>냉난방 법인꺼</text>
  </threadedComment>
  <threadedComment ref="AN35" dT="2025-09-02T11:32:18.38" personId="{2088F17F-74E5-F44D-8FBB-FEA1C486048F}" id="{0714A2B9-4B4F-2B47-90C0-AE9808D97C0D}">
    <text>이보람 퇴직금 2,656,840</text>
  </threadedComment>
  <threadedComment ref="AN35" dT="2025-09-02T11:32:24.38" personId="{2088F17F-74E5-F44D-8FBB-FEA1C486048F}" id="{55671369-2730-3846-92E5-71D0E593625F}" parentId="{0714A2B9-4B4F-2B47-90C0-AE9808D97C0D}">
    <text>헤더 퇴직금 260</text>
  </threadedComment>
  <threadedComment ref="AN35" dT="2025-09-02T11:32:32.38" personId="{2088F17F-74E5-F44D-8FBB-FEA1C486048F}" id="{0D20C960-F1BD-0B47-AAB0-7D84EEFE43DC}" parentId="{0714A2B9-4B4F-2B47-90C0-AE9808D97C0D}">
    <text>에이시아 퇴직금 2,575,360</text>
  </threadedComment>
  <threadedComment ref="AN35" dT="2025-09-02T11:32:44.52" personId="{2088F17F-74E5-F44D-8FBB-FEA1C486048F}" id="{06E68AFC-FB0F-A748-9F90-EA1B43B9474B}" parentId="{0714A2B9-4B4F-2B47-90C0-AE9808D97C0D}">
    <text>벤자민 퇴직금 5,194,720</text>
  </threadedComment>
  <threadedComment ref="BL35" dT="2025-08-30T19:24:39.91" personId="{2088F17F-74E5-F44D-8FBB-FEA1C486048F}" id="{1F9C1C6B-BB69-C742-BE7B-68A9C05B71C7}">
    <text>155,960 토리 법인꺼</text>
  </threadedComment>
  <threadedComment ref="BL35" dT="2025-08-30T19:24:49.06" personId="{2088F17F-74E5-F44D-8FBB-FEA1C486048F}" id="{D0A5C87C-49BD-4842-86A3-8C1E440202B6}" parentId="{1F9C1C6B-BB69-C742-BE7B-68A9C05B71C7}">
    <text>483,500 토리 법인꺼</text>
  </threadedComment>
  <threadedComment ref="BL35" dT="2025-08-30T19:24:57.42" personId="{2088F17F-74E5-F44D-8FBB-FEA1C486048F}" id="{2DB1A677-B7B8-B048-BF02-41A501259B31}" parentId="{1F9C1C6B-BB69-C742-BE7B-68A9C05B71C7}">
    <text>224,374 포샤 법인꺼</text>
  </threadedComment>
  <threadedComment ref="AN36" dT="2025-09-02T11:29:26.89" personId="{2088F17F-74E5-F44D-8FBB-FEA1C486048F}" id="{9B3E2667-7804-6C43-9F59-4449D612E5E5}">
    <text>김예은 퇴직금 4,675,616</text>
  </threadedComment>
  <threadedComment ref="AN36" dT="2025-09-02T11:29:39.21" personId="{2088F17F-74E5-F44D-8FBB-FEA1C486048F}" id="{733BFDC7-6AF0-414C-975E-497AB4AE3401}" parentId="{9B3E2667-7804-6C43-9F59-4449D612E5E5}">
    <text>김예은 잔여 연차 1,258,840</text>
  </threadedComment>
  <threadedComment ref="AN36" dT="2025-09-02T11:30:31.85" personId="{2088F17F-74E5-F44D-8FBB-FEA1C486048F}" id="{2942761D-76AE-354A-8686-52CF70C98DC7}" parentId="{9B3E2667-7804-6C43-9F59-4449D612E5E5}">
    <text>한유진 퇴직금 3,198,470</text>
  </threadedComment>
  <threadedComment ref="BL36" dT="2025-08-30T19:29:57.01" personId="{2088F17F-74E5-F44D-8FBB-FEA1C486048F}" id="{82FD747E-E2CB-A943-A9F8-7FA14085F9FB}">
    <text>토리</text>
  </threadedComment>
  <threadedComment ref="BL36" dT="2025-08-30T19:30:12.97" personId="{2088F17F-74E5-F44D-8FBB-FEA1C486048F}" id="{DD69F6D5-9044-5148-AAB9-95BF29EC8D18}" parentId="{82FD747E-E2CB-A943-A9F8-7FA14085F9FB}">
    <text>마야</text>
  </threadedComment>
  <threadedComment ref="BL36" dT="2025-08-30T19:30:25.34" personId="{2088F17F-74E5-F44D-8FBB-FEA1C486048F}" id="{2547F61F-9827-3A40-8C46-17981FF7A344}" parentId="{82FD747E-E2CB-A943-A9F8-7FA14085F9FB}">
    <text>조연우</text>
  </threadedComment>
  <threadedComment ref="AJ37" dT="2025-08-30T18:09:55.16" personId="{2088F17F-74E5-F44D-8FBB-FEA1C486048F}" id="{5D690A74-5AAC-6745-94CF-5FC2F65030C9}">
    <text>임차지 도배</text>
  </threadedComment>
  <threadedComment ref="BL37" dT="2025-08-30T19:39:23.78" personId="{2088F17F-74E5-F44D-8FBB-FEA1C486048F}" id="{21E754EE-2A54-2F44-92E0-9C5C19EF46E1}">
    <text>조연우</text>
  </threadedComment>
  <threadedComment ref="BL37" dT="2025-08-30T19:39:40.68" personId="{2088F17F-74E5-F44D-8FBB-FEA1C486048F}" id="{B5C5B149-73B8-4545-9F5F-50C7F1476F60}" parentId="{21E754EE-2A54-2F44-92E0-9C5C19EF46E1}">
    <text>마야</text>
  </threadedComment>
  <threadedComment ref="AN38" dT="2025-08-30T18:25:21.71" personId="{2088F17F-74E5-F44D-8FBB-FEA1C486048F}" id="{D2BDA15D-DE6A-F740-ABC9-593DBA0F817C}">
    <text>Jevon 대출</text>
  </threadedComment>
  <threadedComment ref="BL38" dT="2025-08-30T19:44:54.87" personId="{2088F17F-74E5-F44D-8FBB-FEA1C486048F}" id="{C501B7FC-BDBC-8C4A-B82C-90096B2BC182}">
    <text>마야</text>
  </threadedComment>
  <threadedComment ref="BL38" dT="2025-08-30T19:45:41.78" personId="{2088F17F-74E5-F44D-8FBB-FEA1C486048F}" id="{F3F82348-6540-9949-ACD1-6836AE3162F8}" parentId="{C501B7FC-BDBC-8C4A-B82C-90096B2BC182}">
    <text>조연우</text>
  </threadedComment>
  <threadedComment ref="BM38" dT="2025-08-30T19:45:25.51" personId="{2088F17F-74E5-F44D-8FBB-FEA1C486048F}" id="{AF4BF46C-247A-264A-8AB8-CE3A145BCA32}">
    <text>33040 법인꺼</text>
  </threadedComment>
  <threadedComment ref="BN40" dT="2025-08-30T19:54:29.68" personId="{2088F17F-74E5-F44D-8FBB-FEA1C486048F}" id="{E4A9DB4A-9BB7-4D47-8562-A4A19239296D}">
    <text>1,669,150 SKPAY 체크카드결제 뭔지?</text>
  </threadedComment>
  <threadedComment ref="BN41" dT="2025-08-30T19:54:29.68" personId="{2088F17F-74E5-F44D-8FBB-FEA1C486048F}" id="{6D81BD73-8251-F047-8696-5FCE690650FC}">
    <text>1,669,150 SKPAY 체크카드결제 뭔지?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V1" dT="2025-08-29T13:06:28.12" personId="{2088F17F-74E5-F44D-8FBB-FEA1C486048F}" id="{F238DA54-D652-4E2E-81B9-ECCB1141D100}">
    <text>금융인증서발급수수료 4,400</text>
  </threadedComment>
  <threadedComment ref="BO1" dT="2025-08-29T13:06:28.12" personId="{2088F17F-74E5-F44D-8FBB-FEA1C486048F}" id="{E211C6B0-C7FE-446A-A26A-CE549C6EDA85}">
    <text>금융인증서발급수수료 4,400</text>
  </threadedComment>
  <threadedComment ref="W2" dT="2025-08-29T13:07:26.15" personId="{2088F17F-74E5-F44D-8FBB-FEA1C486048F}" id="{2CD33EDA-7A9F-45E9-A5F8-22DF10F0AFDC}">
    <text>안병규</text>
  </threadedComment>
  <threadedComment ref="W3" dT="2025-08-29T13:17:50.80" personId="{2088F17F-74E5-F44D-8FBB-FEA1C486048F}" id="{4B1664A0-C9DC-4528-B8A9-292F4E7B4640}">
    <text>김명선 3000</text>
  </threadedComment>
  <threadedComment ref="W3" dT="2025-08-29T13:17:58.48" personId="{2088F17F-74E5-F44D-8FBB-FEA1C486048F}" id="{BB914345-0290-4FFB-8772-E954E38E29F9}" parentId="{4B1664A0-C9DC-4528-B8A9-292F4E7B4640}">
    <text>김경현 3000</text>
  </threadedComment>
  <threadedComment ref="W3" dT="2025-08-29T13:18:05.96" personId="{2088F17F-74E5-F44D-8FBB-FEA1C486048F}" id="{3D2D6160-FB4D-4A20-AB7E-73CC7100D1F0}" parentId="{4B1664A0-C9DC-4528-B8A9-292F4E7B4640}">
    <text>신선민 6000</text>
  </threadedComment>
  <threadedComment ref="W3" dT="2025-08-29T13:18:16.01" personId="{2088F17F-74E5-F44D-8FBB-FEA1C486048F}" id="{AB906C66-B04E-40A0-9882-26450AA8F5DA}" parentId="{4B1664A0-C9DC-4528-B8A9-292F4E7B4640}">
    <text>문철호 6000</text>
  </threadedComment>
  <threadedComment ref="W3" dT="2025-08-29T13:18:23.85" personId="{2088F17F-74E5-F44D-8FBB-FEA1C486048F}" id="{E8DB40FA-52E5-415E-A839-5575A115C42D}" parentId="{4B1664A0-C9DC-4528-B8A9-292F4E7B4640}">
    <text>김기현 12000</text>
  </threadedComment>
  <threadedComment ref="W3" dT="2025-08-29T13:18:33.52" personId="{2088F17F-74E5-F44D-8FBB-FEA1C486048F}" id="{714861C3-3AF3-4608-90AE-D862BB895763}" parentId="{4B1664A0-C9DC-4528-B8A9-292F4E7B4640}">
    <text>문현성 6000</text>
  </threadedComment>
  <threadedComment ref="W3" dT="2025-08-29T13:18:37.66" personId="{2088F17F-74E5-F44D-8FBB-FEA1C486048F}" id="{2C8D885B-2658-400C-92F6-B970E436D0D5}" parentId="{4B1664A0-C9DC-4528-B8A9-292F4E7B4640}">
    <text>최솔잎 6000</text>
  </threadedComment>
  <threadedComment ref="W3" dT="2025-08-29T13:18:56.64" personId="{2088F17F-74E5-F44D-8FBB-FEA1C486048F}" id="{ECEF65A0-8158-40D6-A58A-0E77D5583EEF}" parentId="{4B1664A0-C9DC-4528-B8A9-292F4E7B4640}">
    <text>김소영 6000.5</text>
  </threadedComment>
  <threadedComment ref="W3" dT="2025-08-29T13:19:02.37" personId="{2088F17F-74E5-F44D-8FBB-FEA1C486048F}" id="{DCBC3D64-BEA3-4C0F-9F02-7B1A8356FCBF}" parentId="{4B1664A0-C9DC-4528-B8A9-292F4E7B4640}">
    <text>안병규 6000</text>
  </threadedComment>
  <threadedComment ref="W3" dT="2025-08-29T13:20:04.31" personId="{2088F17F-74E5-F44D-8FBB-FEA1C486048F}" id="{FB00ED93-CF8E-444C-A083-F370BBD2E4D9}" parentId="{4B1664A0-C9DC-4528-B8A9-292F4E7B4640}">
    <text>류주영 6000</text>
  </threadedComment>
  <threadedComment ref="AE3" dT="2025-08-29T13:09:10.07" personId="{2088F17F-74E5-F44D-8FBB-FEA1C486048F}" id="{A69FFA88-1120-4E68-B44B-0BBB493AADB4}">
    <text>변호사 (계약서 작성) 5,500,000</text>
  </threadedComment>
  <threadedComment ref="AE3" dT="2025-08-29T13:09:37.21" personId="{2088F17F-74E5-F44D-8FBB-FEA1C486048F}" id="{7CE17888-07DF-4326-855C-23D3CC1AE47D}" parentId="{A69FFA88-1120-4E68-B44B-0BBB493AADB4}">
    <text>세무사 495,000</text>
  </threadedComment>
  <threadedComment ref="AE3" dT="2025-08-29T13:20:54.66" personId="{2088F17F-74E5-F44D-8FBB-FEA1C486048F}" id="{1E63CE87-969F-425D-BCB2-3695B7EC705E}" parentId="{A69FFA88-1120-4E68-B44B-0BBB493AADB4}">
    <text>0718 법무사 증자</text>
  </threadedComment>
  <threadedComment ref="AE3" dT="2025-08-29T13:21:09.16" personId="{2088F17F-74E5-F44D-8FBB-FEA1C486048F}" id="{598A6E5A-D272-49F4-85CD-1706017AC776}" parentId="{A69FFA88-1120-4E68-B44B-0BBB493AADB4}">
    <text>0720 세무기장 165000</text>
  </threadedComment>
  <threadedComment ref="AE3" dT="2025-08-29T13:23:04.92" personId="{2088F17F-74E5-F44D-8FBB-FEA1C486048F}" id="{584326A6-3ABA-4AB0-9284-26193D336632}" parentId="{A69FFA88-1120-4E68-B44B-0BBB493AADB4}">
    <text>0729 공인중개수수료</text>
  </threadedComment>
  <threadedComment ref="AF3" dT="2025-08-29T13:22:39.51" personId="{2088F17F-74E5-F44D-8FBB-FEA1C486048F}" id="{68AFE29B-A741-4A31-897E-B9768F4D71B5}">
    <text>1375000 두번나감 확인 필요</text>
  </threadedComment>
  <threadedComment ref="AU3" dT="2025-08-29T13:13:32.81" personId="{2088F17F-74E5-F44D-8FBB-FEA1C486048F}" id="{A4A03BAE-5B8A-45FC-9931-D1394C92475D}">
    <text>07.07 안병규 33,000,000 워릭 가맹비</text>
  </threadedComment>
  <threadedComment ref="AU3" dT="2025-08-29T13:13:42.64" personId="{2088F17F-74E5-F44D-8FBB-FEA1C486048F}" id="{602E60DA-C772-48F2-A9F2-449D6DB16264}" parentId="{A4A03BAE-5B8A-45FC-9931-D1394C92475D}">
    <text>0712 안병규 106,000</text>
  </threadedComment>
  <threadedComment ref="AU3" dT="2025-08-29T13:15:43.52" personId="{2088F17F-74E5-F44D-8FBB-FEA1C486048F}" id="{0A10BF30-5D69-4DD3-8C3B-1A0022079EA9}" parentId="{A4A03BAE-5B8A-45FC-9931-D1394C92475D}">
    <text>0704 안병규 189700</text>
  </threadedComment>
  <threadedComment ref="AU4" dT="2025-08-29T13:26:11.58" personId="{2088F17F-74E5-F44D-8FBB-FEA1C486048F}" id="{C26D4D8F-2532-4482-AC7C-B617BE60A141}">
    <text>0817 농협주식회사비에이</text>
  </threadedComment>
  <threadedComment ref="AU4" dT="2025-08-29T13:27:21.14" personId="{2088F17F-74E5-F44D-8FBB-FEA1C486048F}" id="{042D7681-F7B2-4468-A71C-C4B87379B7A1}" parentId="{C26D4D8F-2532-4482-AC7C-B617BE60A141}">
    <text>0830 안병규 25000</text>
  </threadedComment>
  <threadedComment ref="AE5" dT="2025-08-29T13:30:12.98" personId="{2088F17F-74E5-F44D-8FBB-FEA1C486048F}" id="{BF6C3A94-DEFD-4BE4-96F3-8C084083546F}">
    <text>0929 중개수수료 330,000</text>
  </threadedComment>
  <threadedComment ref="AF5" dT="2025-08-29T13:30:26.50" personId="{2088F17F-74E5-F44D-8FBB-FEA1C486048F}" id="{5DFA6350-26AE-4BF4-BA92-CD4DF9BE1730}">
    <text>냉장고</text>
  </threadedComment>
  <threadedComment ref="AU5" dT="2025-08-29T13:28:11.66" personId="{2088F17F-74E5-F44D-8FBB-FEA1C486048F}" id="{AE245741-97BA-43E3-9EB3-CF85AEA63291}">
    <text>0901 김동혁 500000</text>
  </threadedComment>
  <threadedComment ref="AF6" dT="2025-08-29T13:31:34.29" personId="{2088F17F-74E5-F44D-8FBB-FEA1C486048F}" id="{AFF18D9F-9D80-4DD9-8E70-65883B41E223}">
    <text>1003 김소영 사무실 가구 287500</text>
  </threadedComment>
  <threadedComment ref="AF6" dT="2025-08-29T13:31:45.66" personId="{2088F17F-74E5-F44D-8FBB-FEA1C486048F}" id="{A659C3A1-A070-40AC-B834-F33F941E0E41}" parentId="{AFF18D9F-9D80-4DD9-8E70-65883B41E223}">
    <text>1003 김소영 현관매트 15400</text>
  </threadedComment>
  <threadedComment ref="AF6" dT="2025-08-29T13:31:55.55" personId="{2088F17F-74E5-F44D-8FBB-FEA1C486048F}" id="{48083E34-4917-44EC-98A8-4B52CFD76464}" parentId="{AFF18D9F-9D80-4DD9-8E70-65883B41E223}">
    <text>1003 김소영 책장 318500</text>
  </threadedComment>
  <threadedComment ref="AF6" dT="2025-08-29T13:32:10.69" personId="{2088F17F-74E5-F44D-8FBB-FEA1C486048F}" id="{A5A75D7D-449A-48BC-8FF2-144D8B669564}" parentId="{AFF18D9F-9D80-4DD9-8E70-65883B41E223}">
    <text>1003 김소영 커피머신 90400</text>
  </threadedComment>
  <threadedComment ref="AF6" dT="2025-08-29T13:33:17.76" personId="{2088F17F-74E5-F44D-8FBB-FEA1C486048F}" id="{BEE56C13-38E5-4AF6-8612-5DE3D5DCE326}" parentId="{AFF18D9F-9D80-4DD9-8E70-65883B41E223}">
    <text>1004 마또 착수금 73,500,000</text>
  </threadedComment>
  <threadedComment ref="AF6" dT="2025-08-29T13:34:17.74" personId="{2088F17F-74E5-F44D-8FBB-FEA1C486048F}" id="{F5122B54-9766-43AA-A956-791DB586763C}" parentId="{AFF18D9F-9D80-4DD9-8E70-65883B41E223}">
    <text>1006 프린터 217500</text>
  </threadedComment>
  <threadedComment ref="AE7" dT="2025-08-29T13:44:39.13" personId="{2088F17F-74E5-F44D-8FBB-FEA1C486048F}" id="{6297AECD-CB0F-4B7D-A24B-5CFD458BF3BE}">
    <text>부동산 + 본점이전등기</text>
  </threadedComment>
  <threadedComment ref="AE7" dT="2025-08-29T13:47:13.82" personId="{2088F17F-74E5-F44D-8FBB-FEA1C486048F}" id="{30D7230D-586D-4540-929F-9CCCA136BF25}" parentId="{6297AECD-CB0F-4B7D-A24B-5CFD458BF3BE}">
    <text>법인설립비용</text>
  </threadedComment>
  <threadedComment ref="AE7" dT="2025-08-29T13:47:30.31" personId="{2088F17F-74E5-F44D-8FBB-FEA1C486048F}" id="{AFA961BF-A879-4442-A6FB-0D7AA65A1880}" parentId="{6297AECD-CB0F-4B7D-A24B-5CFD458BF3BE}">
    <text>모네 리쿠르팅 CHOEJENNIF</text>
  </threadedComment>
  <threadedComment ref="AC8" dT="2025-08-29T15:13:35.61" personId="{2088F17F-74E5-F44D-8FBB-FEA1C486048F}" id="{0C228C26-D41C-4433-A7C6-02A1B0084E47}">
    <text>이자</text>
  </threadedComment>
  <threadedComment ref="AE9" dT="2025-08-29T14:23:38.23" personId="{2088F17F-74E5-F44D-8FBB-FEA1C486048F}" id="{09FB5D96-0D96-4501-AC4D-2D18746AE90B}">
    <text>이사</text>
  </threadedComment>
  <threadedComment ref="W10" dT="2025-08-29T15:34:05.76" personId="{2088F17F-74E5-F44D-8FBB-FEA1C486048F}" id="{7FD6DA99-1C9C-42C8-85F6-02188DC47611}">
    <text>문현성 최솔잎 김희경 김희경 김희경 김경현 김명선</text>
  </threadedComment>
  <threadedComment ref="W10" dT="2025-08-29T15:35:07.42" personId="{2088F17F-74E5-F44D-8FBB-FEA1C486048F}" id="{A5E83947-3DCA-4590-B33A-DDE8B55F3CC7}" parentId="{7FD6DA99-1C9C-42C8-85F6-02188DC47611}">
    <text>-김희경*3</text>
  </threadedComment>
  <threadedComment ref="AC10" dT="2025-08-29T15:37:25.33" personId="{2088F17F-74E5-F44D-8FBB-FEA1C486048F}" id="{86227F63-9C02-4364-B660-DCBCE8280AE6}">
    <text>신한은행 출처를 모름</text>
  </threadedComment>
  <threadedComment ref="AC11" dT="2025-08-29T15:13:40.48" personId="{2088F17F-74E5-F44D-8FBB-FEA1C486048F}" id="{EC68268C-963B-44EC-8A58-70200434A52E}">
    <text>이자</text>
  </threadedComment>
  <threadedComment ref="AC11" dT="2025-08-29T16:02:28.15" personId="{2088F17F-74E5-F44D-8FBB-FEA1C486048F}" id="{79061EFA-DF54-46C0-BC4B-2A0DF90CCBA0}" parentId="{EC68268C-963B-44EC-8A58-70200434A52E}">
    <text>관리비환급</text>
  </threadedComment>
  <threadedComment ref="BE11" dT="2025-08-29T17:48:58.41" personId="{2088F17F-74E5-F44D-8FBB-FEA1C486048F}" id="{A584F660-BCF6-4FE1-90AC-85D9A9EF8417}">
    <text xml:space="preserve">이자 및 SH우대환급
</text>
  </threadedComment>
  <threadedComment ref="AC12" dT="2025-08-29T16:13:59.04" personId="{2088F17F-74E5-F44D-8FBB-FEA1C486048F}" id="{3F664E56-515C-4341-BFEB-54BF8DAC4DAF}">
    <text>0422 잘못옴?</text>
  </threadedComment>
  <threadedComment ref="AU12" dT="2025-08-29T16:10:05.32" personId="{2088F17F-74E5-F44D-8FBB-FEA1C486048F}" id="{6E608908-FD28-47E9-B4BA-5DA3E9963C85}">
    <text>김연송</text>
  </threadedComment>
  <threadedComment ref="AZ12" dT="2025-08-29T17:53:33.28" personId="{2088F17F-74E5-F44D-8FBB-FEA1C486048F}" id="{95B4DDAA-9849-429B-BA11-C38A843A8767}">
    <text>김소영</text>
  </threadedComment>
  <threadedComment ref="AZ12" dT="2025-08-29T17:56:26.49" personId="{2088F17F-74E5-F44D-8FBB-FEA1C486048F}" id="{621A734E-BC07-482D-BD87-08F27FD62176}" parentId="{95B4DDAA-9849-429B-BA11-C38A843A8767}">
    <text>안병규 19000 + 28800</text>
  </threadedComment>
  <threadedComment ref="BI12" dT="2025-08-29T17:56:53.10" personId="{2088F17F-74E5-F44D-8FBB-FEA1C486048F}" id="{4227256E-33B6-4889-B988-B5CFE7498509}">
    <text>법인이 내야할돈</text>
  </threadedComment>
  <threadedComment ref="AB13" dT="2025-08-29T16:21:07.89" personId="{2088F17F-74E5-F44D-8FBB-FEA1C486048F}" id="{19F20929-F6A1-415F-B242-269DFF94B1B8}">
    <text>신한은행 900</text>
  </threadedComment>
  <threadedComment ref="BO13" dT="2025-08-29T18:03:49.75" personId="{2088F17F-74E5-F44D-8FBB-FEA1C486048F}" id="{4C4192C4-F93A-4783-A3EA-A2398C499B5C}">
    <text>56950원 법인이 내야함</text>
  </threadedComment>
  <threadedComment ref="BO13" dT="2025-08-29T18:05:03.73" personId="{2088F17F-74E5-F44D-8FBB-FEA1C486048F}" id="{FD5225D3-2ECB-4C55-9869-63B8673A7CAD}" parentId="{4C4192C4-F93A-4783-A3EA-A2398C499B5C}">
    <text>110250</text>
  </threadedComment>
  <threadedComment ref="BO13" dT="2025-08-29T18:06:13.10" personId="{2088F17F-74E5-F44D-8FBB-FEA1C486048F}" id="{C8CC2C3D-49BD-4565-AFDC-08F48FC4C552}" parentId="{4C4192C4-F93A-4783-A3EA-A2398C499B5C}">
    <text>프린터 100,000 305,000</text>
  </threadedComment>
  <threadedComment ref="AC14" dT="2025-08-29T16:25:49.51" personId="{2088F17F-74E5-F44D-8FBB-FEA1C486048F}" id="{14F1E580-7CDB-4A0B-BD66-CF5A1C40A7A6}">
    <text>이자</text>
  </threadedComment>
  <threadedComment ref="BE14" dT="2025-08-29T18:20:12.51" personId="{2088F17F-74E5-F44D-8FBB-FEA1C486048F}" id="{341359FC-62D2-45E2-A1C3-1138D4F8EF3C}">
    <text>이자</text>
  </threadedComment>
  <threadedComment ref="AO15" dT="2025-08-29T16:38:19.08" personId="{2088F17F-74E5-F44D-8FBB-FEA1C486048F}" id="{0A10DF92-6AC0-476B-9BE3-1A6232BD12AA}">
    <text>개인사업자부담</text>
  </threadedComment>
  <threadedComment ref="BO15" dT="2025-08-29T18:25:28.18" personId="{2088F17F-74E5-F44D-8FBB-FEA1C486048F}" id="{A4BE3DDB-2792-4898-911A-B94D2A8ED6EA}">
    <text>하복</text>
  </threadedComment>
  <threadedComment ref="W16" dT="2025-08-29T16:42:30.61" personId="{2088F17F-74E5-F44D-8FBB-FEA1C486048F}" id="{9D3E1A02-33AA-4FAC-B0DB-1FEA8E3BF8CD}">
    <text>김소영</text>
  </threadedComment>
  <threadedComment ref="W16" dT="2025-08-29T17:00:43.90" personId="{2088F17F-74E5-F44D-8FBB-FEA1C486048F}" id="{A0C56282-B62E-4D76-B48E-3B02E0CA4F44}" parentId="{9D3E1A02-33AA-4FAC-B0DB-1FEA8E3BF8CD}">
    <text>안병규 4천모자라게 넣음</text>
  </threadedComment>
  <threadedComment ref="AC16" dT="2025-08-29T15:07:08.72" personId="{2088F17F-74E5-F44D-8FBB-FEA1C486048F}" id="{BAD6A922-0D71-4445-9C0A-E1DC3F6E45ED}">
    <text>앗빙수 기타소득</text>
  </threadedComment>
  <threadedComment ref="AC16" dT="2025-08-29T15:13:57.15" personId="{2088F17F-74E5-F44D-8FBB-FEA1C486048F}" id="{6833EC43-CA4C-4F10-BC86-65F26F37D8B8}" parentId="{BAD6A922-0D71-4445-9C0A-E1DC3F6E45ED}">
    <text>관리비정산</text>
  </threadedComment>
  <threadedComment ref="BE17" dT="2025-08-29T18:48:51.74" personId="{2088F17F-74E5-F44D-8FBB-FEA1C486048F}" id="{AC57AFB7-A478-400A-8A2D-2D486679124F}">
    <text>카드 환불</text>
  </threadedComment>
  <threadedComment ref="BE17" dT="2025-08-29T18:49:08.24" personId="{2088F17F-74E5-F44D-8FBB-FEA1C486048F}" id="{F3D46B72-44C8-4CFB-AAFE-724909C6F4E5}" parentId="{AC57AFB7-A478-400A-8A2D-2D486679124F}">
    <text>이자</text>
  </threadedComment>
  <threadedComment ref="W18" dT="2025-08-29T17:01:01.28" personId="{2088F17F-74E5-F44D-8FBB-FEA1C486048F}" id="{F26907C1-9407-48C0-9D71-5D390D7159B1}">
    <text>4천모자라던거 2천넣음</text>
  </threadedComment>
  <threadedComment ref="W18" dT="2025-08-29T17:02:35.41" personId="{2088F17F-74E5-F44D-8FBB-FEA1C486048F}" id="{D1EA2298-5ABA-4A8F-827F-D0D84947BB83}" parentId="{F26907C1-9407-48C0-9D71-5D390D7159B1}">
    <text>2천모자라던거 5백넣음 = 1.5천</text>
  </threadedComment>
  <threadedComment ref="AC18" dT="2025-08-29T17:01:48.34" personId="{2088F17F-74E5-F44D-8FBB-FEA1C486048F}" id="{41756B55-326F-427F-AE16-073424CED83D}">
    <text>청년도약장려금</text>
  </threadedComment>
  <threadedComment ref="AC19" dT="2025-08-29T17:29:06.17" personId="{2088F17F-74E5-F44D-8FBB-FEA1C486048F}" id="{2017257C-BCAA-429F-BD05-8D7A76DD3D18}">
    <text>이자</text>
  </threadedComment>
  <threadedComment ref="W20" dT="2025-08-29T17:23:10.34" personId="{2088F17F-74E5-F44D-8FBB-FEA1C486048F}" id="{A87828A5-2099-4443-AD41-D23DDF7CB24E}">
    <text>돈 마저 넣음</text>
  </threadedComment>
  <threadedComment ref="AC20" dT="2025-08-29T15:22:49.36" personId="{2088F17F-74E5-F44D-8FBB-FEA1C486048F}" id="{611B1F09-B546-4CD1-939B-877BDE8CFD6D}">
    <text>이자</text>
  </threadedComment>
  <threadedComment ref="BE20" dT="2025-08-29T18:36:28.06" personId="{2088F17F-74E5-F44D-8FBB-FEA1C486048F}" id="{84E96F43-3642-4B7B-A3AA-7ED6A3418A4D}">
    <text>이자</text>
  </threadedComment>
  <threadedComment ref="BO20" dT="2025-08-29T18:37:26.62" personId="{2088F17F-74E5-F44D-8FBB-FEA1C486048F}" id="{C3DA6986-8E62-409A-A268-D4E5FB6DB5BF}">
    <text>티비설치 4만</text>
  </threadedComment>
  <threadedComment ref="BO20" dT="2025-08-29T18:38:20.28" personId="{2088F17F-74E5-F44D-8FBB-FEA1C486048F}" id="{0BF6A066-2F60-4A2B-A273-364DE6E3E448}" parentId="{C3DA6986-8E62-409A-A268-D4E5FB6DB5BF}">
    <text>헤더 침대 배송 6만</text>
  </threadedComment>
  <threadedComment ref="AC21" dT="2025-08-30T13:03:21.09" personId="{2088F17F-74E5-F44D-8FBB-FEA1C486048F}" id="{A5A8879E-823E-4061-BCBF-2DF85032197C}">
    <text>청년도약장려금</text>
  </threadedComment>
  <threadedComment ref="AJ23" dT="2025-08-30T14:19:40.50" personId="{2088F17F-74E5-F44D-8FBB-FEA1C486048F}" id="{C4E4ACFE-AE4E-4694-BACB-587454F45280}">
    <text>자스민 퇴직금</text>
  </threadedComment>
  <threadedComment ref="BE23" dT="2025-08-30T16:15:42.63" personId="{2088F17F-74E5-F44D-8FBB-FEA1C486048F}" id="{88D35DB6-8782-49AF-9F34-C2A950086CB5}">
    <text>이자 + 신한카드 환불</text>
  </threadedComment>
  <threadedComment ref="AC24" dT="2025-08-30T13:55:47.16" personId="{2088F17F-74E5-F44D-8FBB-FEA1C486048F}" id="{8A654465-7FF5-4DDA-BCF4-B66B60EC25E9}">
    <text>신보 보증 환급</text>
  </threadedComment>
  <threadedComment ref="BE24" dT="2025-08-30T16:16:56.79" personId="{2088F17F-74E5-F44D-8FBB-FEA1C486048F}" id="{B7101B4C-8253-432A-A0F0-E347DCC2A4F6}">
    <text>신한카드 캐시백</text>
  </threadedComment>
  <threadedComment ref="BE24" dT="2025-08-30T16:17:32.97" personId="{2088F17F-74E5-F44D-8FBB-FEA1C486048F}" id="{95F1A41F-5BF3-4500-9870-6AA64A0721BE}" parentId="{B7101B4C-8253-432A-A0F0-E347DCC2A4F6}">
    <text>보증료 환급</text>
  </threadedComment>
  <threadedComment ref="AJ25" dT="2025-08-30T14:19:26.10" personId="{2088F17F-74E5-F44D-8FBB-FEA1C486048F}" id="{3CA68B00-4B51-44DA-AC88-D0D3CB3D54BE}">
    <text>정혜민 퇴직위로금</text>
  </threadedComment>
  <threadedComment ref="AF26" dT="2025-08-30T14:35:03.16" personId="{2088F17F-74E5-F44D-8FBB-FEA1C486048F}" id="{DFBD6CEA-AD2A-4F28-A0F0-69F86BEF5A93}">
    <text>에어컨</text>
  </threadedComment>
  <threadedComment ref="AV27" dT="2025-08-30T15:08:39.44" personId="{2088F17F-74E5-F44D-8FBB-FEA1C486048F}" id="{9571C051-EEAC-412E-8463-72CDAD4468D6}">
    <text>프린트 5개월 1,925,000</text>
  </threadedComment>
  <threadedComment ref="BK31" dT="2025-08-30T16:43:35.31" personId="{2088F17F-74E5-F44D-8FBB-FEA1C486048F}" id="{F572B02A-3D65-4C20-9ED8-072063CD4598}">
    <text>446050 가이디드 리딩 법인꺼</text>
  </threadedComment>
  <threadedComment ref="BO31" dT="2025-08-30T16:44:16.74" personId="{2088F17F-74E5-F44D-8FBB-FEA1C486048F}" id="{257278B0-8F6D-41F1-A670-3FA5D6D6AE6E}">
    <text>김민설 병원비</text>
  </threadedComment>
  <threadedComment ref="AF32" dT="2025-08-30T15:51:46.53" personId="{2088F17F-74E5-F44D-8FBB-FEA1C486048F}" id="{DBE36B58-4519-4E43-B6FB-923FBB023DBD}">
    <text>에어컨</text>
  </threadedComment>
  <threadedComment ref="BG32" dT="2025-08-30T16:46:15.57" personId="{2088F17F-74E5-F44D-8FBB-FEA1C486048F}" id="{C13188FD-6F12-4E1A-8D50-A498FFC6ADB0}">
    <text>냉난방 법인꺼</text>
  </threadedComment>
  <threadedComment ref="AJ35" dT="2025-09-02T11:32:18.38" personId="{2088F17F-74E5-F44D-8FBB-FEA1C486048F}" id="{B8927422-DC2D-574D-B3EA-A23A42896604}">
    <text>이보람 퇴직금 2,656,840</text>
  </threadedComment>
  <threadedComment ref="AJ35" dT="2025-09-02T11:32:24.38" personId="{2088F17F-74E5-F44D-8FBB-FEA1C486048F}" id="{F7488471-C140-E34C-A804-01E054B2C1ED}" parentId="{B8927422-DC2D-574D-B3EA-A23A42896604}">
    <text>헤더 퇴직금 260</text>
  </threadedComment>
  <threadedComment ref="AJ35" dT="2025-09-02T11:32:32.38" personId="{2088F17F-74E5-F44D-8FBB-FEA1C486048F}" id="{0EE604BA-E99B-0D44-A563-B852A052551A}" parentId="{B8927422-DC2D-574D-B3EA-A23A42896604}">
    <text>에이시아 퇴직금 2,575,360</text>
  </threadedComment>
  <threadedComment ref="AJ35" dT="2025-09-02T11:32:44.52" personId="{2088F17F-74E5-F44D-8FBB-FEA1C486048F}" id="{12BB6626-9E91-8545-A43B-BBD198C4BFF8}" parentId="{B8927422-DC2D-574D-B3EA-A23A42896604}">
    <text>벤자민 퇴직금 5,194,720</text>
  </threadedComment>
  <threadedComment ref="BI35" dT="2025-08-30T19:24:39.91" personId="{2088F17F-74E5-F44D-8FBB-FEA1C486048F}" id="{66BEC7DB-D00D-4A63-B4DA-9ABCD97AB3E7}">
    <text>155,960 토리 법인꺼</text>
  </threadedComment>
  <threadedComment ref="BI35" dT="2025-08-30T19:24:49.06" personId="{2088F17F-74E5-F44D-8FBB-FEA1C486048F}" id="{2205C30B-DCBB-438F-B8F8-53269B245DF8}" parentId="{66BEC7DB-D00D-4A63-B4DA-9ABCD97AB3E7}">
    <text>483,500 토리 법인꺼</text>
  </threadedComment>
  <threadedComment ref="BI35" dT="2025-08-30T19:24:57.42" personId="{2088F17F-74E5-F44D-8FBB-FEA1C486048F}" id="{D37DEEE1-8523-4B91-B9AF-B7CB700309A9}" parentId="{66BEC7DB-D00D-4A63-B4DA-9ABCD97AB3E7}">
    <text>224,374 포샤 법인꺼</text>
  </threadedComment>
  <threadedComment ref="AJ36" dT="2025-09-02T11:29:26.89" personId="{2088F17F-74E5-F44D-8FBB-FEA1C486048F}" id="{FA7FF1B4-0079-2341-A2AB-36FF18060EDD}">
    <text>김예은 퇴직금 4,675,616</text>
  </threadedComment>
  <threadedComment ref="AJ36" dT="2025-09-02T11:29:39.21" personId="{2088F17F-74E5-F44D-8FBB-FEA1C486048F}" id="{92E476F8-C210-A245-A888-022614D6AC84}" parentId="{FA7FF1B4-0079-2341-A2AB-36FF18060EDD}">
    <text>김예은 잔여 연차 1,258,840</text>
  </threadedComment>
  <threadedComment ref="AJ36" dT="2025-09-02T11:30:31.85" personId="{2088F17F-74E5-F44D-8FBB-FEA1C486048F}" id="{4A46DD57-845B-FF40-B9C0-EB63866C1600}" parentId="{FA7FF1B4-0079-2341-A2AB-36FF18060EDD}">
    <text>한유진 퇴직금 3,198,470</text>
  </threadedComment>
  <threadedComment ref="BI36" dT="2025-08-30T19:29:57.01" personId="{2088F17F-74E5-F44D-8FBB-FEA1C486048F}" id="{56B2ABCF-AD1F-4D4B-8426-FE824A853073}">
    <text>토리</text>
  </threadedComment>
  <threadedComment ref="BI36" dT="2025-08-30T19:30:12.97" personId="{2088F17F-74E5-F44D-8FBB-FEA1C486048F}" id="{8B9372CF-AEC4-4CD6-A8F1-EEB9ADA317E4}" parentId="{56B2ABCF-AD1F-4D4B-8426-FE824A853073}">
    <text>마야</text>
  </threadedComment>
  <threadedComment ref="BI36" dT="2025-08-30T19:30:25.34" personId="{2088F17F-74E5-F44D-8FBB-FEA1C486048F}" id="{B81197F4-6899-455F-B8F3-F38F5B829288}" parentId="{56B2ABCF-AD1F-4D4B-8426-FE824A853073}">
    <text>조연우</text>
  </threadedComment>
  <threadedComment ref="AF37" dT="2025-08-30T18:09:55.16" personId="{2088F17F-74E5-F44D-8FBB-FEA1C486048F}" id="{2D18FB49-311E-4443-964C-17BD015662EB}">
    <text>임차지 도배</text>
  </threadedComment>
  <threadedComment ref="BI37" dT="2025-08-30T19:39:23.78" personId="{2088F17F-74E5-F44D-8FBB-FEA1C486048F}" id="{FADD0E06-A2B5-4F33-AB3B-787C49CF81C1}">
    <text>조연우</text>
  </threadedComment>
  <threadedComment ref="BI37" dT="2025-08-30T19:39:40.68" personId="{2088F17F-74E5-F44D-8FBB-FEA1C486048F}" id="{35529D18-B189-4326-B63E-C110A6066337}" parentId="{FADD0E06-A2B5-4F33-AB3B-787C49CF81C1}">
    <text>마야</text>
  </threadedComment>
  <threadedComment ref="AJ38" dT="2025-08-30T18:25:21.71" personId="{2088F17F-74E5-F44D-8FBB-FEA1C486048F}" id="{C0874F8B-58CA-4732-B14D-E44343CFC0DE}">
    <text>Jevon 대출</text>
  </threadedComment>
  <threadedComment ref="BI38" dT="2025-08-30T19:44:54.87" personId="{2088F17F-74E5-F44D-8FBB-FEA1C486048F}" id="{5CAC3F36-8904-448E-8C70-4DA34201A8D8}">
    <text>마야</text>
  </threadedComment>
  <threadedComment ref="BI38" dT="2025-08-30T19:45:41.78" personId="{2088F17F-74E5-F44D-8FBB-FEA1C486048F}" id="{147D2BFF-37A7-4EE7-A66F-5090D0DDA4BF}" parentId="{5CAC3F36-8904-448E-8C70-4DA34201A8D8}">
    <text>조연우</text>
  </threadedComment>
  <threadedComment ref="BJ38" dT="2025-08-30T19:45:25.51" personId="{2088F17F-74E5-F44D-8FBB-FEA1C486048F}" id="{A787F4B7-9DB4-4B3D-A3C9-1775846F007D}">
    <text>33040 법인꺼</text>
  </threadedComment>
  <threadedComment ref="BK40" dT="2025-08-30T19:54:29.68" personId="{2088F17F-74E5-F44D-8FBB-FEA1C486048F}" id="{5045F27F-1113-4D28-BF48-F312E096CF09}">
    <text>1,669,150 SKPAY 체크카드결제 뭔지?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H2" dT="2025-01-15T01:41:17.52" personId="{2088F17F-74E5-F44D-8FBB-FEA1C486048F}" id="{8556A34F-7190-4040-B356-A11102142EA1}">
    <text>정하늬
차지우
이승주 50퍼</text>
  </threadedComment>
  <threadedComment ref="DT2" dT="2025-01-15T01:41:17.52" personId="{2088F17F-74E5-F44D-8FBB-FEA1C486048F}" id="{14D8C004-3A08-5B48-8933-FD750315B6D4}">
    <text>정하늬
차지우
이승주 50퍼
김한비 30퍼</text>
  </threadedComment>
  <threadedComment ref="EF2" dT="2025-01-15T01:41:17.52" personId="{2088F17F-74E5-F44D-8FBB-FEA1C486048F}" id="{783DCBCB-AC16-564E-A120-72244C2E48CE}">
    <text>정하늬
차지우
이승주 50퍼
김한비 30퍼</text>
  </threadedComment>
  <threadedComment ref="ER2" dT="2025-01-15T01:41:17.52" personId="{2088F17F-74E5-F44D-8FBB-FEA1C486048F}" id="{6C47589C-2562-1340-B930-94D291534B5B}">
    <text>정하늬
차지우
이승주 50퍼
김한비 30퍼</text>
  </threadedComment>
  <threadedComment ref="FD2" dT="2025-01-15T01:41:17.52" personId="{2088F17F-74E5-F44D-8FBB-FEA1C486048F}" id="{B786F7E7-8F1C-D04B-B1DF-52135E7A1281}">
    <text>정하늬
차지우
김한비 30퍼</text>
  </threadedComment>
  <threadedComment ref="FP2" dT="2025-01-15T01:41:17.52" personId="{2088F17F-74E5-F44D-8FBB-FEA1C486048F}" id="{EEBA4066-65D7-324A-A5AC-9E483FBBC3FA}">
    <text>정하늬
차지우
김한비 30퍼</text>
  </threadedComment>
  <threadedComment ref="GB2" dT="2025-01-15T01:41:17.52" personId="{2088F17F-74E5-F44D-8FBB-FEA1C486048F}" id="{698C7A5A-5D3C-524F-9AA2-40DBD51FFC41}">
    <text>정하늬
차지우
김한비 30퍼</text>
  </threadedComment>
  <threadedComment ref="GN2" dT="2025-01-15T01:41:17.52" personId="{2088F17F-74E5-F44D-8FBB-FEA1C486048F}" id="{39A67076-973F-454C-8D7F-9D2B93C5340C}">
    <text>정하늬
차지우
이승주</text>
  </threadedComment>
  <threadedComment ref="GZ2" dT="2025-01-15T01:41:17.52" personId="{2088F17F-74E5-F44D-8FBB-FEA1C486048F}" id="{4EC3473A-05F2-504F-AE97-0150AAD2B41E}">
    <text>정하늬
차지우
이승주</text>
  </threadedComment>
  <threadedComment ref="HL2" dT="2025-01-15T01:41:17.52" personId="{2088F17F-74E5-F44D-8FBB-FEA1C486048F}" id="{234299EC-CC76-AF46-B2C8-62A75281B5ED}">
    <text>정하늬
차지우
이승주</text>
  </threadedComment>
  <threadedComment ref="HX2" dT="2025-01-15T01:41:17.52" personId="{2088F17F-74E5-F44D-8FBB-FEA1C486048F}" id="{769FD0E8-A95E-0F44-BB64-C67E700EAC49}">
    <text>정하늬
차지우
이승주</text>
  </threadedComment>
  <threadedComment ref="IJ2" dT="2025-01-15T01:41:17.52" personId="{2088F17F-74E5-F44D-8FBB-FEA1C486048F}" id="{6847FAD3-CBB7-AA42-8D1C-75E9F22975B9}">
    <text>정하늬
차지우
이승주</text>
  </threadedComment>
  <threadedComment ref="DH3" dT="2025-01-15T01:41:42.88" personId="{2088F17F-74E5-F44D-8FBB-FEA1C486048F}" id="{5DFDBD2D-04FD-AF41-911E-8FD4800B0E59}">
    <text>신다경
황민하
박지유
김도윤
우도진
방시우</text>
  </threadedComment>
  <threadedComment ref="DT3" dT="2025-01-15T01:41:42.88" personId="{2088F17F-74E5-F44D-8FBB-FEA1C486048F}" id="{5011F9F3-3CE0-D941-8865-18EF8A48562B}">
    <text>신다경
황민하
우도진
방시우
박찬호
우주아
조은우
임조이</text>
  </threadedComment>
  <threadedComment ref="EF3" dT="2025-01-15T01:41:42.88" personId="{2088F17F-74E5-F44D-8FBB-FEA1C486048F}" id="{8CCAE87A-13C2-DA4E-AF7B-5608AA225AA9}">
    <text>신다경
황민하
우도진
방시우
박찬호
임조이
조은우
우주아</text>
  </threadedComment>
  <threadedComment ref="ER3" dT="2025-01-15T01:41:42.88" personId="{2088F17F-74E5-F44D-8FBB-FEA1C486048F}" id="{46118A11-B6F7-6446-AE07-050B0107BBAA}">
    <text>신다경
황민하
우도진
방시우
박찬호
우주아
조은우
임조이</text>
  </threadedComment>
  <threadedComment ref="FD3" dT="2025-01-15T01:41:42.88" personId="{2088F17F-74E5-F44D-8FBB-FEA1C486048F}" id="{0F16A722-0A8D-B74A-B367-C5DAF10CE93A}">
    <text>신다경
황민하
우도진
방시우
박찬호
우주아 5
조은우 5
임조이 10</text>
  </threadedComment>
  <threadedComment ref="FP3" dT="2025-01-15T01:41:42.88" personId="{2088F17F-74E5-F44D-8FBB-FEA1C486048F}" id="{A6BF8C67-32D1-F643-87EA-E0890CACA9A3}">
    <text>신다경
황민하
우도진
방시우
박찬호
우주아 5
조은우 5
임조이 10</text>
  </threadedComment>
  <threadedComment ref="GB3" dT="2025-01-15T01:41:42.88" personId="{2088F17F-74E5-F44D-8FBB-FEA1C486048F}" id="{5CA6037B-CA39-F440-884C-00AB57FC8715}">
    <text>신다경
황민하
우도진
방시우
박찬호
우주아 5
조은우 5
임조이 10</text>
  </threadedComment>
  <threadedComment ref="GN3" dT="2025-01-15T01:41:42.88" personId="{2088F17F-74E5-F44D-8FBB-FEA1C486048F}" id="{C571173B-654D-7845-8D06-DA083B0570A8}">
    <text>신다경
황민하
우도진
방시우
박찬호
우주아 5
조은우 5
임조이 10</text>
  </threadedComment>
  <threadedComment ref="GZ3" dT="2025-01-15T01:41:42.88" personId="{2088F17F-74E5-F44D-8FBB-FEA1C486048F}" id="{1864144D-EF28-3845-9025-6BABA32F09F8}">
    <text>신다경
황민하
우도진
방시우
박찬호
우주아 5
조은우 5
임조이 10</text>
  </threadedComment>
  <threadedComment ref="HL3" dT="2025-01-15T01:41:42.88" personId="{2088F17F-74E5-F44D-8FBB-FEA1C486048F}" id="{B5AE7C3D-D4C8-0847-9114-462EC3006FC2}">
    <text>신다경
황민하
우도진
방시우
박찬호
우주아 5
조은우 5
임조이 10</text>
  </threadedComment>
  <threadedComment ref="HX3" dT="2025-01-15T01:41:42.88" personId="{2088F17F-74E5-F44D-8FBB-FEA1C486048F}" id="{2AE1D60E-A074-3C42-93DF-6221F2347E27}">
    <text>신다경
황민하
우도진
방시우
박찬호
우주아 5
조은우 5
임조이 10</text>
  </threadedComment>
  <threadedComment ref="IJ3" dT="2025-01-15T01:41:42.88" personId="{2088F17F-74E5-F44D-8FBB-FEA1C486048F}" id="{2E2D5345-E553-2F40-A192-01139AE59D48}">
    <text>신다경
황민하
우도진
방시우
박찬호
우주아 5
조은우 5
임조이 10</text>
  </threadedComment>
  <threadedComment ref="DT5" dT="2025-01-17T08:02:49.50" personId="{2088F17F-74E5-F44D-8FBB-FEA1C486048F}" id="{10E410FC-FCC1-994F-B867-416B433DE137}">
    <text>박시연 50
김도현 50
양태윤 50</text>
  </threadedComment>
  <threadedComment ref="EF5" dT="2025-01-17T08:02:49.50" personId="{2088F17F-74E5-F44D-8FBB-FEA1C486048F}" id="{0849DE5F-A788-9842-AFE6-CC5110294EBB}">
    <text>박시연 50
양태윤 50
정우진
송지우
주아린
김도현 50</text>
  </threadedComment>
  <threadedComment ref="DH6" dT="2025-01-15T01:44:08.07" personId="{2088F17F-74E5-F44D-8FBB-FEA1C486048F}" id="{904DADD2-188C-F34A-A477-078434FE5531}">
    <text>황윤하 20퍼
손승운 10퍼</text>
  </threadedComment>
  <threadedComment ref="DT6" dT="2025-01-15T01:44:08.07" personId="{2088F17F-74E5-F44D-8FBB-FEA1C486048F}" id="{A4A2DF2A-974B-A044-B08B-FF3D780DA08B}">
    <text>황윤하 20퍼
손승운 10퍼</text>
  </threadedComment>
  <threadedComment ref="EF6" dT="2025-01-15T01:44:08.07" personId="{2088F17F-74E5-F44D-8FBB-FEA1C486048F}" id="{C385596D-405A-E24F-95C1-8FF454AC940B}">
    <text>황윤하 20퍼
손승운 10퍼</text>
  </threadedComment>
  <threadedComment ref="ER6" dT="2025-01-15T01:44:08.07" personId="{2088F17F-74E5-F44D-8FBB-FEA1C486048F}" id="{0D3BBAB5-CBB6-204D-861B-C18F0C3C1624}">
    <text>황윤하 20퍼
손승운 10퍼</text>
  </threadedComment>
  <threadedComment ref="FD6" dT="2025-01-15T01:44:08.07" personId="{2088F17F-74E5-F44D-8FBB-FEA1C486048F}" id="{B4296C03-7DD2-D744-953F-F133C07EC3F0}">
    <text>황윤하 20퍼
손승운 10퍼</text>
  </threadedComment>
  <threadedComment ref="FP6" dT="2025-01-15T01:44:08.07" personId="{2088F17F-74E5-F44D-8FBB-FEA1C486048F}" id="{8771E088-3381-4F49-A1CE-1867CB2EF31D}">
    <text>황윤하 20퍼
손승운 10퍼</text>
  </threadedComment>
  <threadedComment ref="GB6" dT="2025-01-15T01:44:08.07" personId="{2088F17F-74E5-F44D-8FBB-FEA1C486048F}" id="{CD1026F4-42B9-DA44-8786-92D9E51B4E55}">
    <text>황윤하 20퍼
손승운 10퍼</text>
  </threadedComment>
  <threadedComment ref="GN6" dT="2025-01-15T01:44:08.07" personId="{2088F17F-74E5-F44D-8FBB-FEA1C486048F}" id="{9EC4B8E0-6831-DE4B-84F8-04B229595732}">
    <text>황윤하 20퍼
손승운 10퍼</text>
  </threadedComment>
  <threadedComment ref="GZ6" dT="2025-01-15T01:44:08.07" personId="{2088F17F-74E5-F44D-8FBB-FEA1C486048F}" id="{8C4DE17F-8458-B74C-BC1B-B42972C4F005}">
    <text>황윤하 20퍼
손승운 10퍼</text>
  </threadedComment>
  <threadedComment ref="HL6" dT="2025-01-15T01:44:08.07" personId="{2088F17F-74E5-F44D-8FBB-FEA1C486048F}" id="{211EA2F1-E00B-A643-BA9A-A3396C76BCE4}">
    <text>황윤하 20퍼
손승운 10퍼</text>
  </threadedComment>
  <threadedComment ref="HX6" dT="2025-01-15T01:44:08.07" personId="{2088F17F-74E5-F44D-8FBB-FEA1C486048F}" id="{C2B34CBC-3792-444B-A121-CFFD54DE96FF}">
    <text>황윤하 20퍼
손승운 10퍼</text>
  </threadedComment>
  <threadedComment ref="IJ6" dT="2025-01-15T01:44:08.07" personId="{2088F17F-74E5-F44D-8FBB-FEA1C486048F}" id="{5BE379EB-B59E-1F41-BE06-2481375638C1}">
    <text>황윤하 20퍼
손승운 10퍼</text>
  </threadedComment>
  <threadedComment ref="DH7" dT="2025-01-15T01:43:56.25" personId="{2088F17F-74E5-F44D-8FBB-FEA1C486048F}" id="{880A3EBA-0ADE-E94C-8ABB-12EBB7A0B237}">
    <text>이나엘 50퍼</text>
  </threadedComment>
  <threadedComment ref="DT7" dT="2025-01-15T01:43:56.25" personId="{2088F17F-74E5-F44D-8FBB-FEA1C486048F}" id="{BA29E69F-B601-594C-B98E-717DA4E9C515}">
    <text>이나엘 50퍼</text>
  </threadedComment>
  <threadedComment ref="EF7" dT="2025-01-15T01:43:56.25" personId="{2088F17F-74E5-F44D-8FBB-FEA1C486048F}" id="{85FF9E85-06C5-6344-A547-9A2DEDB868A1}">
    <text>이나엘 50퍼</text>
  </threadedComment>
  <threadedComment ref="ER7" dT="2025-01-15T01:43:56.25" personId="{2088F17F-74E5-F44D-8FBB-FEA1C486048F}" id="{742BECEA-CCD6-A44E-8962-4EF5BC0A82CC}">
    <text>이나엘 50퍼</text>
  </threadedComment>
  <threadedComment ref="FD7" dT="2025-01-15T01:43:56.25" personId="{2088F17F-74E5-F44D-8FBB-FEA1C486048F}" id="{530FF2C6-6616-5F4F-962F-E6E642847D8C}">
    <text>이나엘 50퍼</text>
  </threadedComment>
  <threadedComment ref="FP7" dT="2025-01-15T01:43:56.25" personId="{2088F17F-74E5-F44D-8FBB-FEA1C486048F}" id="{CEEEF17F-286D-1C49-9FCB-1D93C639705A}">
    <text>이나엘 50퍼</text>
  </threadedComment>
  <threadedComment ref="GB7" dT="2025-01-15T01:43:56.25" personId="{2088F17F-74E5-F44D-8FBB-FEA1C486048F}" id="{E4940C14-E00F-A244-A6AE-3E5E7BF9DBC4}">
    <text>이나엘 50퍼</text>
  </threadedComment>
  <threadedComment ref="DT8" dT="2025-02-20T07:16:34.21" personId="{2088F17F-74E5-F44D-8FBB-FEA1C486048F}" id="{29570CB7-8B87-314A-B120-55D2CF8A6C6D}">
    <text>Austin 10</text>
  </threadedComment>
  <threadedComment ref="ER8" dT="2025-02-20T07:16:34.21" personId="{2088F17F-74E5-F44D-8FBB-FEA1C486048F}" id="{1167874C-08CD-1949-8B09-5694DAB0F070}">
    <text>Austin 10</text>
  </threadedComment>
  <threadedComment ref="FD8" dT="2025-02-20T07:16:34.21" personId="{2088F17F-74E5-F44D-8FBB-FEA1C486048F}" id="{E99F65A2-8C1B-324B-AD66-2107B66F6C70}">
    <text>Austin 10</text>
  </threadedComment>
  <threadedComment ref="FP8" dT="2025-02-20T07:16:34.21" personId="{2088F17F-74E5-F44D-8FBB-FEA1C486048F}" id="{F3E8C311-D409-1649-AE92-60B3634BC0C6}">
    <text>Austin 10</text>
  </threadedComment>
  <threadedComment ref="GB8" dT="2025-02-20T07:16:34.21" personId="{2088F17F-74E5-F44D-8FBB-FEA1C486048F}" id="{42128A8A-7E60-5743-B6D4-1C2E07EDCF00}">
    <text>Austin 10</text>
  </threadedComment>
  <threadedComment ref="I11" dT="2024-01-21T09:15:16.43" personId="{692A8B36-8B69-8646-AD06-39CA596B7972}" id="{FBAC21E4-9442-43DC-B9ED-5C38115B02D1}">
    <text xml:space="preserve">댄스 5*4
중국어 6*4
반음 10*4
쿠킹재료비 2*4
</text>
  </threadedComment>
  <threadedComment ref="U11" dT="2024-01-21T09:15:16.43" personId="{692A8B36-8B69-8646-AD06-39CA596B7972}" id="{0D2CB8D7-2ABD-49D4-9D0D-D19AB81E83A8}">
    <text xml:space="preserve">댄스 5*4
중국어 6*4
반음 10*4
쿠킹재료비 2*4
</text>
  </threadedComment>
  <threadedComment ref="AG11" dT="2024-01-21T09:15:16.43" personId="{692A8B36-8B69-8646-AD06-39CA596B7972}" id="{A090A223-E4CC-480B-A059-BBFF2B75E286}">
    <text xml:space="preserve">댄스 5*4
중국어 6*4
반음 10*4
쿠킹재료비 2*4
</text>
  </threadedComment>
  <threadedComment ref="AS11" dT="2024-01-21T09:15:16.43" personId="{692A8B36-8B69-8646-AD06-39CA596B7972}" id="{96B01A5D-7C55-42CC-961A-15A5B032AD6D}">
    <text xml:space="preserve">댄스 5*4
중국어 6*4
반음 10*4
쿠킹재료비 2*4
</text>
  </threadedComment>
  <threadedComment ref="BE11" dT="2024-01-21T09:15:16.43" personId="{692A8B36-8B69-8646-AD06-39CA596B7972}" id="{B46D4B24-B4EB-4626-BBE8-93A5041F6795}">
    <text xml:space="preserve">댄스 5*4
중국어 6*4
반음 10*4
쿠킹재료비 2*4
</text>
  </threadedComment>
  <threadedComment ref="BQ11" dT="2024-01-21T09:15:16.43" personId="{692A8B36-8B69-8646-AD06-39CA596B7972}" id="{C9735876-EAF2-4799-B463-83A7CB22385A}">
    <text xml:space="preserve">댄스 5*4
중국어 6*4
반음 10*4
쿠킹재료비 2*4
</text>
  </threadedComment>
  <threadedComment ref="CC11" dT="2024-01-21T09:15:16.43" personId="{692A8B36-8B69-8646-AD06-39CA596B7972}" id="{91AA5006-E9A5-4E88-9C8D-88E337316DE0}">
    <text xml:space="preserve">댄스 5*4
중국어 6*4
반음 10*4
쿠킹재료비 2*4
</text>
  </threadedComment>
  <threadedComment ref="CO11" dT="2024-01-21T09:15:16.43" personId="{692A8B36-8B69-8646-AD06-39CA596B7972}" id="{A956694D-F21C-4C8B-81B6-9FA60FD2C253}">
    <text xml:space="preserve">댄스 5*4
중국어 6*4
반음 10*4
쿠킹재료비 2*4
</text>
  </threadedComment>
  <threadedComment ref="DA11" dT="2024-01-21T09:15:16.43" personId="{692A8B36-8B69-8646-AD06-39CA596B7972}" id="{DD591518-D158-5346-BECB-465B6E810586}">
    <text xml:space="preserve">댄스 5*4
중국어 6*4
반음 10*4
쿠킹재료비 2*4
</text>
  </threadedComment>
  <threadedComment ref="DM12" dT="2024-01-21T09:15:16.43" personId="{692A8B36-8B69-8646-AD06-39CA596B7972}" id="{5B520F9D-EC4F-B846-828F-ADA32752D2F8}">
    <text xml:space="preserve">댄스 5*4
중국어 6*4
반음 10*4
쿠킹재료비 2*4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CA4C3-717E-C948-A6EA-71073C3D5F7A}">
  <dimension ref="A1:BR43"/>
  <sheetViews>
    <sheetView zoomScale="137" zoomScaleNormal="55" workbookViewId="0">
      <pane xSplit="2" ySplit="1" topLeftCell="AL21" activePane="bottomRight" state="frozen"/>
      <selection activeCell="K40" sqref="K40"/>
      <selection pane="topRight" activeCell="K40" sqref="K40"/>
      <selection pane="bottomLeft" activeCell="K40" sqref="K40"/>
      <selection pane="bottomRight" activeCell="AP35" sqref="AP35"/>
    </sheetView>
  </sheetViews>
  <sheetFormatPr baseColWidth="10" defaultColWidth="8.83203125" defaultRowHeight="16"/>
  <cols>
    <col min="1" max="1" width="6.33203125" bestFit="1" customWidth="1"/>
    <col min="2" max="2" width="4.33203125" bestFit="1" customWidth="1"/>
    <col min="3" max="3" width="6" bestFit="1" customWidth="1"/>
    <col min="4" max="4" width="7.83203125" bestFit="1" customWidth="1"/>
    <col min="5" max="6" width="6" bestFit="1" customWidth="1"/>
    <col min="7" max="8" width="14.1640625" style="4" bestFit="1" customWidth="1"/>
    <col min="9" max="9" width="14.1640625" style="4" customWidth="1"/>
    <col min="10" max="10" width="14.1640625" style="4" bestFit="1" customWidth="1"/>
    <col min="11" max="19" width="14.1640625" style="4" customWidth="1"/>
    <col min="20" max="21" width="14.1640625" style="4" bestFit="1" customWidth="1"/>
    <col min="22" max="22" width="14.1640625" style="4" customWidth="1"/>
    <col min="23" max="23" width="14.1640625" style="4" bestFit="1" customWidth="1"/>
    <col min="24" max="26" width="14.1640625" style="4" customWidth="1"/>
    <col min="27" max="27" width="14.1640625" style="4" bestFit="1" customWidth="1"/>
    <col min="28" max="28" width="13.1640625" style="4" bestFit="1" customWidth="1"/>
    <col min="29" max="29" width="13.1640625" style="4" customWidth="1"/>
    <col min="30" max="30" width="18.33203125" style="4" bestFit="1" customWidth="1"/>
    <col min="31" max="33" width="13.1640625" style="4" customWidth="1"/>
    <col min="34" max="34" width="12.5" style="4" bestFit="1" customWidth="1"/>
    <col min="35" max="35" width="14" style="4" bestFit="1" customWidth="1"/>
    <col min="36" max="36" width="13.1640625" style="4" bestFit="1" customWidth="1"/>
    <col min="37" max="37" width="13.5" style="4" bestFit="1" customWidth="1"/>
    <col min="38" max="38" width="12.5" style="4" bestFit="1" customWidth="1"/>
    <col min="39" max="39" width="13.1640625" style="4" bestFit="1" customWidth="1"/>
    <col min="40" max="41" width="13.1640625" style="4" customWidth="1"/>
    <col min="42" max="42" width="11.33203125" style="4" bestFit="1" customWidth="1"/>
    <col min="43" max="43" width="11.33203125" style="4" customWidth="1"/>
    <col min="44" max="44" width="12.5" style="4" bestFit="1" customWidth="1"/>
    <col min="45" max="45" width="12" style="4" bestFit="1" customWidth="1"/>
    <col min="46" max="46" width="12" style="4" customWidth="1"/>
    <col min="47" max="47" width="13.1640625" style="4" bestFit="1" customWidth="1"/>
    <col min="48" max="49" width="12" style="4" bestFit="1" customWidth="1"/>
    <col min="50" max="50" width="12" style="4" customWidth="1"/>
    <col min="51" max="51" width="16.83203125" style="4" bestFit="1" customWidth="1"/>
    <col min="52" max="54" width="14.1640625" style="4" bestFit="1" customWidth="1"/>
    <col min="55" max="55" width="14.1640625" style="4" customWidth="1"/>
    <col min="56" max="56" width="13.1640625" style="4" bestFit="1" customWidth="1"/>
    <col min="57" max="60" width="13.1640625" style="4" customWidth="1"/>
    <col min="61" max="61" width="12.5" style="4" bestFit="1" customWidth="1"/>
    <col min="62" max="62" width="12.5" style="4" customWidth="1"/>
    <col min="63" max="63" width="11.33203125" style="4" bestFit="1" customWidth="1"/>
    <col min="64" max="64" width="13.1640625" style="4" bestFit="1" customWidth="1"/>
    <col min="65" max="65" width="11.33203125" style="4" bestFit="1" customWidth="1"/>
    <col min="66" max="67" width="13.1640625" style="4" bestFit="1" customWidth="1"/>
    <col min="68" max="69" width="12" style="4" bestFit="1" customWidth="1"/>
    <col min="70" max="70" width="16.83203125" style="4" bestFit="1" customWidth="1"/>
  </cols>
  <sheetData>
    <row r="1" spans="1:70">
      <c r="A1" t="s">
        <v>172</v>
      </c>
      <c r="B1" t="s">
        <v>128</v>
      </c>
      <c r="C1" t="s">
        <v>129</v>
      </c>
      <c r="D1" t="s">
        <v>8</v>
      </c>
      <c r="E1" t="s">
        <v>10</v>
      </c>
      <c r="F1" t="s">
        <v>130</v>
      </c>
      <c r="G1" s="4" t="s">
        <v>175</v>
      </c>
      <c r="H1" s="4" t="s">
        <v>176</v>
      </c>
      <c r="I1" s="4" t="s">
        <v>170</v>
      </c>
      <c r="J1" s="4" t="s">
        <v>177</v>
      </c>
      <c r="K1" s="4" t="s">
        <v>167</v>
      </c>
      <c r="L1" s="4" t="s">
        <v>186</v>
      </c>
      <c r="M1" s="4" t="s">
        <v>187</v>
      </c>
      <c r="N1" s="4" t="s">
        <v>168</v>
      </c>
      <c r="O1" s="4" t="s">
        <v>188</v>
      </c>
      <c r="P1" s="4" t="s">
        <v>189</v>
      </c>
      <c r="Q1" s="4" t="s">
        <v>169</v>
      </c>
      <c r="R1" s="4" t="s">
        <v>174</v>
      </c>
      <c r="S1" s="4" t="s">
        <v>173</v>
      </c>
      <c r="T1" s="4" t="s">
        <v>150</v>
      </c>
      <c r="U1" s="4" t="s">
        <v>151</v>
      </c>
      <c r="V1" s="4" t="s">
        <v>171</v>
      </c>
      <c r="W1" s="4" t="s">
        <v>152</v>
      </c>
      <c r="X1" s="4" t="s">
        <v>164</v>
      </c>
      <c r="Y1" s="4" t="s">
        <v>165</v>
      </c>
      <c r="Z1" s="4" t="s">
        <v>166</v>
      </c>
      <c r="AA1" s="4" t="s">
        <v>132</v>
      </c>
      <c r="AB1" s="4" t="s">
        <v>2</v>
      </c>
      <c r="AC1" s="4" t="s">
        <v>149</v>
      </c>
      <c r="AD1" s="4" t="s">
        <v>163</v>
      </c>
      <c r="AE1" s="4" t="s">
        <v>154</v>
      </c>
      <c r="AF1" s="4" t="s">
        <v>153</v>
      </c>
      <c r="AG1" s="4" t="s">
        <v>156</v>
      </c>
      <c r="AH1" s="4" t="s">
        <v>144</v>
      </c>
      <c r="AI1" s="4" t="s">
        <v>133</v>
      </c>
      <c r="AJ1" s="4" t="s">
        <v>134</v>
      </c>
      <c r="AK1" s="4" t="s">
        <v>138</v>
      </c>
      <c r="AL1" s="4" t="s">
        <v>139</v>
      </c>
      <c r="AM1" s="4" t="s">
        <v>140</v>
      </c>
      <c r="AN1" s="4" t="s">
        <v>158</v>
      </c>
      <c r="AO1" s="4" t="s">
        <v>7</v>
      </c>
      <c r="AP1" s="4" t="s">
        <v>143</v>
      </c>
      <c r="AQ1" s="4" t="s">
        <v>22</v>
      </c>
      <c r="AR1" s="4" t="s">
        <v>141</v>
      </c>
      <c r="AS1" s="4" t="s">
        <v>145</v>
      </c>
      <c r="AT1" s="4" t="s">
        <v>157</v>
      </c>
      <c r="AU1" s="4" t="s">
        <v>142</v>
      </c>
      <c r="AV1" s="4" t="s">
        <v>137</v>
      </c>
      <c r="AW1" s="4" t="s">
        <v>136</v>
      </c>
      <c r="AX1" s="4" t="s">
        <v>155</v>
      </c>
      <c r="AY1" s="4" t="s">
        <v>131</v>
      </c>
      <c r="AZ1" s="4" t="s">
        <v>160</v>
      </c>
      <c r="BA1" s="4" t="s">
        <v>161</v>
      </c>
      <c r="BB1" s="4" t="s">
        <v>159</v>
      </c>
      <c r="BC1" s="4" t="s">
        <v>149</v>
      </c>
      <c r="BD1" s="4" t="s">
        <v>6</v>
      </c>
      <c r="BE1" s="4" t="s">
        <v>154</v>
      </c>
      <c r="BF1" s="4" t="s">
        <v>150</v>
      </c>
      <c r="BG1" s="4" t="s">
        <v>162</v>
      </c>
      <c r="BH1" s="4" t="s">
        <v>156</v>
      </c>
      <c r="BI1" s="4" t="s">
        <v>144</v>
      </c>
      <c r="BJ1" s="4" t="s">
        <v>134</v>
      </c>
      <c r="BK1" s="4" t="s">
        <v>155</v>
      </c>
      <c r="BL1" s="4" t="s">
        <v>140</v>
      </c>
      <c r="BM1" s="4" t="s">
        <v>143</v>
      </c>
      <c r="BN1" s="4" t="s">
        <v>145</v>
      </c>
      <c r="BO1" s="4" t="s">
        <v>142</v>
      </c>
      <c r="BP1" s="4" t="s">
        <v>137</v>
      </c>
      <c r="BQ1" s="4" t="s">
        <v>136</v>
      </c>
      <c r="BR1" s="4" t="s">
        <v>131</v>
      </c>
    </row>
    <row r="2" spans="1:70">
      <c r="A2">
        <v>2022</v>
      </c>
      <c r="B2">
        <v>6</v>
      </c>
      <c r="C2">
        <v>0</v>
      </c>
      <c r="D2">
        <v>0</v>
      </c>
      <c r="E2">
        <v>0</v>
      </c>
      <c r="F2">
        <v>0</v>
      </c>
      <c r="G2" s="4">
        <f t="shared" ref="G2:G41" si="0">T2+AZ2</f>
        <v>60000000</v>
      </c>
      <c r="H2" s="4">
        <f t="shared" ref="H2:H41" si="1">U2+BA2</f>
        <v>0</v>
      </c>
      <c r="I2" s="4">
        <f>G2-H2</f>
        <v>60000000</v>
      </c>
      <c r="J2" s="4">
        <f>G2-H2</f>
        <v>60000000</v>
      </c>
      <c r="K2" s="4">
        <f t="shared" ref="K2:K41" si="2">SUM(AB2,AD2,AF2,AG2,BD2,BG2,BH2)</f>
        <v>0</v>
      </c>
      <c r="L2" s="4">
        <f t="shared" ref="L2:L41" si="3">SUM(AB2-AH2+BD2-BI2)</f>
        <v>0</v>
      </c>
      <c r="M2" s="4">
        <f>SUM(AD2,AG2,BF2:BG2,BH2)</f>
        <v>0</v>
      </c>
      <c r="N2" s="4">
        <f t="shared" ref="N2:N41" si="4">SUM(AH2:AY2)+SUM(BI2:BR2)</f>
        <v>0</v>
      </c>
      <c r="O2" s="4">
        <f>SUM(AI2,AL2,AM2,AO2:AQ2,AU2:AX2,BK2:BN2,BP2:BQ2)</f>
        <v>0</v>
      </c>
      <c r="P2" s="4">
        <f t="shared" ref="P2:P41" si="5">SUM(AJ2:AK2,AN2,AY2+BJ2,BR2,BO2,AR2:AT2)</f>
        <v>0</v>
      </c>
      <c r="Q2" s="4">
        <f t="shared" ref="Q2:Q41" si="6">K2-N2</f>
        <v>0</v>
      </c>
      <c r="R2" s="4">
        <f t="shared" ref="R2:R41" si="7">AC2+BC2</f>
        <v>0</v>
      </c>
      <c r="S2" s="4">
        <f t="shared" ref="S2:S41" si="8">AE2+BE2</f>
        <v>0</v>
      </c>
      <c r="T2" s="4">
        <f>SUM(AA2:AG2)</f>
        <v>60000000</v>
      </c>
      <c r="U2" s="4">
        <f t="shared" ref="U2:U41" si="9">SUM(AH2:AY2)</f>
        <v>0</v>
      </c>
      <c r="V2" s="4">
        <f>T2-U2</f>
        <v>60000000</v>
      </c>
      <c r="W2" s="4">
        <f>T2-U2</f>
        <v>60000000</v>
      </c>
      <c r="X2" s="4">
        <f>AB2+AF2+AG2</f>
        <v>0</v>
      </c>
      <c r="Y2" s="4">
        <f t="shared" ref="Y2:Y41" si="10">SUM(AH2:AY2)</f>
        <v>0</v>
      </c>
      <c r="Z2" s="4">
        <f>X2-Y2</f>
        <v>0</v>
      </c>
      <c r="AA2" s="4">
        <v>60000000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0</v>
      </c>
      <c r="AQ2" s="4">
        <v>0</v>
      </c>
      <c r="AR2" s="4">
        <v>0</v>
      </c>
      <c r="AS2" s="4">
        <v>0</v>
      </c>
      <c r="AT2" s="4">
        <v>0</v>
      </c>
      <c r="AU2" s="4">
        <v>0</v>
      </c>
      <c r="AV2" s="4">
        <v>0</v>
      </c>
      <c r="AW2" s="4">
        <v>0</v>
      </c>
      <c r="AX2" s="4">
        <v>0</v>
      </c>
      <c r="AY2" s="4">
        <v>0</v>
      </c>
      <c r="AZ2" s="4">
        <f>SUM(BC2:BH2)</f>
        <v>0</v>
      </c>
      <c r="BA2" s="4">
        <f t="shared" ref="BA2:BA41" si="11">SUM(BI2:BR2)</f>
        <v>0</v>
      </c>
      <c r="BB2" s="4">
        <f>AZ2-BA2</f>
        <v>0</v>
      </c>
      <c r="BC2" s="4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v>0</v>
      </c>
      <c r="BK2" s="6">
        <v>0</v>
      </c>
      <c r="BL2" s="6">
        <v>0</v>
      </c>
      <c r="BM2" s="6">
        <v>0</v>
      </c>
      <c r="BN2" s="6">
        <v>0</v>
      </c>
      <c r="BO2" s="6">
        <v>0</v>
      </c>
      <c r="BP2" s="6">
        <v>0</v>
      </c>
      <c r="BQ2" s="6">
        <v>0</v>
      </c>
      <c r="BR2" s="6">
        <v>0</v>
      </c>
    </row>
    <row r="3" spans="1:70">
      <c r="A3">
        <v>2022</v>
      </c>
      <c r="B3">
        <v>7</v>
      </c>
      <c r="C3">
        <v>0</v>
      </c>
      <c r="D3">
        <v>0</v>
      </c>
      <c r="E3">
        <v>0</v>
      </c>
      <c r="F3">
        <v>0</v>
      </c>
      <c r="G3" s="4">
        <f t="shared" si="0"/>
        <v>540005000</v>
      </c>
      <c r="H3" s="4">
        <f t="shared" si="1"/>
        <v>84303670</v>
      </c>
      <c r="I3" s="4">
        <f t="shared" ref="I3:I40" si="12">G3-H3</f>
        <v>455701330</v>
      </c>
      <c r="J3" s="4">
        <f>J2+G3-H3</f>
        <v>515701330</v>
      </c>
      <c r="K3" s="4">
        <f t="shared" si="2"/>
        <v>0</v>
      </c>
      <c r="L3" s="4">
        <f t="shared" si="3"/>
        <v>0</v>
      </c>
      <c r="M3" s="4">
        <f t="shared" ref="M3:M41" si="13">SUM(AD3,AG3,BF3,BH3)</f>
        <v>0</v>
      </c>
      <c r="N3" s="4">
        <f t="shared" si="4"/>
        <v>84303670</v>
      </c>
      <c r="O3" s="4">
        <f t="shared" ref="O3:O41" si="14">SUM(AI3,AL3,AM3,AO3:AQ3,AU3:AX3,BK3:BN3,BP3:BQ3)</f>
        <v>44553570</v>
      </c>
      <c r="P3" s="4">
        <f t="shared" si="5"/>
        <v>39750100</v>
      </c>
      <c r="Q3" s="4">
        <f t="shared" si="6"/>
        <v>-84303670</v>
      </c>
      <c r="R3" s="4">
        <f t="shared" si="7"/>
        <v>0</v>
      </c>
      <c r="S3" s="4">
        <f t="shared" si="8"/>
        <v>0</v>
      </c>
      <c r="T3" s="4">
        <f t="shared" ref="T3:T8" si="15">SUM(AA3:AG3)</f>
        <v>540005000</v>
      </c>
      <c r="U3" s="4">
        <f t="shared" si="9"/>
        <v>84303670</v>
      </c>
      <c r="V3" s="4">
        <f t="shared" ref="V3:V40" si="16">T3-U3</f>
        <v>455701330</v>
      </c>
      <c r="W3" s="4">
        <f t="shared" ref="W3:W40" si="17">W2+T3-U3</f>
        <v>515701330</v>
      </c>
      <c r="X3" s="4">
        <f t="shared" ref="X3:X41" si="18">AB3+AF3+AG3</f>
        <v>0</v>
      </c>
      <c r="Y3" s="4">
        <f t="shared" si="10"/>
        <v>84303670</v>
      </c>
      <c r="Z3" s="4">
        <f t="shared" ref="Z3:Z40" si="19">X3-Y3</f>
        <v>-84303670</v>
      </c>
      <c r="AA3" s="4">
        <f>30000000+60000000+30000000+120000000+60005000+180000000+60000000</f>
        <v>540005000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f>5500000+495000+3054020+165000+2200000</f>
        <v>11414020</v>
      </c>
      <c r="AJ3" s="5">
        <f>13475000+13475000</f>
        <v>26950000</v>
      </c>
      <c r="AK3" s="4">
        <v>12500000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33000000</v>
      </c>
      <c r="AV3" s="4">
        <v>0</v>
      </c>
      <c r="AW3" s="4">
        <v>139550</v>
      </c>
      <c r="AX3" s="4">
        <v>0</v>
      </c>
      <c r="AY3" s="4">
        <f>4400+189700+106000</f>
        <v>300100</v>
      </c>
      <c r="AZ3" s="4">
        <f t="shared" ref="AZ3:AZ8" si="20">SUM(BC3:BH3)</f>
        <v>0</v>
      </c>
      <c r="BA3" s="4">
        <f t="shared" si="11"/>
        <v>0</v>
      </c>
      <c r="BB3" s="4">
        <f t="shared" ref="BB3:BB40" si="21">BB2+AZ3-BA3</f>
        <v>0</v>
      </c>
      <c r="BC3" s="4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v>0</v>
      </c>
      <c r="BK3" s="6">
        <v>0</v>
      </c>
      <c r="BL3" s="6">
        <v>0</v>
      </c>
      <c r="BM3" s="6">
        <v>0</v>
      </c>
      <c r="BN3" s="6">
        <v>0</v>
      </c>
      <c r="BO3" s="6">
        <v>0</v>
      </c>
      <c r="BP3" s="6">
        <v>0</v>
      </c>
      <c r="BQ3" s="6">
        <v>0</v>
      </c>
      <c r="BR3" s="6">
        <v>0</v>
      </c>
    </row>
    <row r="4" spans="1:70">
      <c r="A4">
        <v>2022</v>
      </c>
      <c r="B4">
        <v>8</v>
      </c>
      <c r="C4">
        <v>0</v>
      </c>
      <c r="D4">
        <v>0</v>
      </c>
      <c r="E4">
        <v>0</v>
      </c>
      <c r="F4">
        <v>0</v>
      </c>
      <c r="G4" s="4">
        <f t="shared" si="0"/>
        <v>0</v>
      </c>
      <c r="H4" s="4">
        <f t="shared" si="1"/>
        <v>587850</v>
      </c>
      <c r="I4" s="4">
        <f t="shared" si="12"/>
        <v>-587850</v>
      </c>
      <c r="J4" s="4">
        <f t="shared" ref="J4:J40" si="22">J3+G4-H4</f>
        <v>515113480</v>
      </c>
      <c r="K4" s="4">
        <f t="shared" si="2"/>
        <v>0</v>
      </c>
      <c r="L4" s="4">
        <f t="shared" si="3"/>
        <v>0</v>
      </c>
      <c r="M4" s="4">
        <f t="shared" si="13"/>
        <v>0</v>
      </c>
      <c r="N4" s="4">
        <f t="shared" si="4"/>
        <v>587850</v>
      </c>
      <c r="O4" s="4">
        <f t="shared" si="14"/>
        <v>507350</v>
      </c>
      <c r="P4" s="4">
        <f t="shared" si="5"/>
        <v>80500</v>
      </c>
      <c r="Q4" s="4">
        <f t="shared" si="6"/>
        <v>-587850</v>
      </c>
      <c r="R4" s="4">
        <f t="shared" si="7"/>
        <v>0</v>
      </c>
      <c r="S4" s="4">
        <f t="shared" si="8"/>
        <v>0</v>
      </c>
      <c r="T4" s="4">
        <f t="shared" si="15"/>
        <v>0</v>
      </c>
      <c r="U4" s="4">
        <f t="shared" si="9"/>
        <v>587850</v>
      </c>
      <c r="V4" s="4">
        <f t="shared" si="16"/>
        <v>-587850</v>
      </c>
      <c r="W4" s="4">
        <f t="shared" si="17"/>
        <v>515113480</v>
      </c>
      <c r="X4" s="4">
        <f t="shared" si="18"/>
        <v>0</v>
      </c>
      <c r="Y4" s="4">
        <f t="shared" si="10"/>
        <v>587850</v>
      </c>
      <c r="Z4" s="4">
        <f t="shared" si="19"/>
        <v>-587850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165000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f>8000</f>
        <v>8000</v>
      </c>
      <c r="AW4" s="4">
        <v>334350</v>
      </c>
      <c r="AX4" s="4">
        <v>0</v>
      </c>
      <c r="AY4" s="4">
        <f>25000+55500</f>
        <v>80500</v>
      </c>
      <c r="AZ4" s="4">
        <f t="shared" si="20"/>
        <v>0</v>
      </c>
      <c r="BA4" s="4">
        <f t="shared" si="11"/>
        <v>0</v>
      </c>
      <c r="BB4" s="4">
        <f t="shared" si="21"/>
        <v>0</v>
      </c>
      <c r="BC4" s="4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v>0</v>
      </c>
      <c r="BK4" s="6">
        <v>0</v>
      </c>
      <c r="BL4" s="6">
        <v>0</v>
      </c>
      <c r="BM4" s="6">
        <v>0</v>
      </c>
      <c r="BN4" s="6">
        <v>0</v>
      </c>
      <c r="BO4" s="6">
        <v>0</v>
      </c>
      <c r="BP4" s="6">
        <v>0</v>
      </c>
      <c r="BQ4" s="6">
        <v>0</v>
      </c>
      <c r="BR4" s="6">
        <v>0</v>
      </c>
    </row>
    <row r="5" spans="1:70">
      <c r="A5">
        <v>2022</v>
      </c>
      <c r="B5">
        <v>9</v>
      </c>
      <c r="C5">
        <v>0</v>
      </c>
      <c r="D5">
        <v>0</v>
      </c>
      <c r="E5">
        <v>0</v>
      </c>
      <c r="F5">
        <v>0</v>
      </c>
      <c r="G5" s="4">
        <f t="shared" si="0"/>
        <v>0</v>
      </c>
      <c r="H5" s="4">
        <f t="shared" si="1"/>
        <v>6110020</v>
      </c>
      <c r="I5" s="4">
        <f t="shared" si="12"/>
        <v>-6110020</v>
      </c>
      <c r="J5" s="4">
        <f t="shared" si="22"/>
        <v>509003460</v>
      </c>
      <c r="K5" s="4">
        <f t="shared" si="2"/>
        <v>0</v>
      </c>
      <c r="L5" s="4">
        <f t="shared" si="3"/>
        <v>0</v>
      </c>
      <c r="M5" s="4">
        <f t="shared" si="13"/>
        <v>0</v>
      </c>
      <c r="N5" s="4">
        <f t="shared" si="4"/>
        <v>6110020</v>
      </c>
      <c r="O5" s="4">
        <f t="shared" si="14"/>
        <v>2009950</v>
      </c>
      <c r="P5" s="4">
        <f t="shared" si="5"/>
        <v>4100070</v>
      </c>
      <c r="Q5" s="4">
        <f t="shared" si="6"/>
        <v>-6110020</v>
      </c>
      <c r="R5" s="4">
        <f t="shared" si="7"/>
        <v>0</v>
      </c>
      <c r="S5" s="4">
        <f t="shared" si="8"/>
        <v>0</v>
      </c>
      <c r="T5" s="4">
        <f t="shared" si="15"/>
        <v>0</v>
      </c>
      <c r="U5" s="4">
        <f t="shared" si="9"/>
        <v>6110020</v>
      </c>
      <c r="V5" s="4">
        <f t="shared" si="16"/>
        <v>-6110020</v>
      </c>
      <c r="W5" s="4">
        <f t="shared" si="17"/>
        <v>509003460</v>
      </c>
      <c r="X5" s="4">
        <f t="shared" si="18"/>
        <v>0</v>
      </c>
      <c r="Y5" s="4">
        <f t="shared" si="10"/>
        <v>6110020</v>
      </c>
      <c r="Z5" s="4">
        <f t="shared" si="19"/>
        <v>-6110020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f>165000+330000</f>
        <v>495000</v>
      </c>
      <c r="AJ5" s="4">
        <v>599570</v>
      </c>
      <c r="AK5" s="4">
        <v>3000500</v>
      </c>
      <c r="AL5" s="4">
        <v>880500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f>165600+38650</f>
        <v>204250</v>
      </c>
      <c r="AW5" s="4">
        <v>430200</v>
      </c>
      <c r="AX5" s="4">
        <v>0</v>
      </c>
      <c r="AY5" s="4">
        <v>500000</v>
      </c>
      <c r="AZ5" s="4">
        <f t="shared" si="20"/>
        <v>0</v>
      </c>
      <c r="BA5" s="4">
        <f t="shared" si="11"/>
        <v>0</v>
      </c>
      <c r="BB5" s="4">
        <f t="shared" si="21"/>
        <v>0</v>
      </c>
      <c r="BC5" s="4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v>0</v>
      </c>
      <c r="BK5" s="6">
        <v>0</v>
      </c>
      <c r="BL5" s="6">
        <v>0</v>
      </c>
      <c r="BM5" s="6">
        <v>0</v>
      </c>
      <c r="BN5" s="6">
        <v>0</v>
      </c>
      <c r="BO5" s="6">
        <v>0</v>
      </c>
      <c r="BP5" s="6">
        <v>0</v>
      </c>
      <c r="BQ5" s="6">
        <v>0</v>
      </c>
      <c r="BR5" s="6">
        <v>0</v>
      </c>
    </row>
    <row r="6" spans="1:70">
      <c r="A6">
        <v>2022</v>
      </c>
      <c r="B6">
        <v>10</v>
      </c>
      <c r="C6">
        <v>0</v>
      </c>
      <c r="D6">
        <v>0</v>
      </c>
      <c r="E6">
        <v>0</v>
      </c>
      <c r="F6">
        <v>0</v>
      </c>
      <c r="G6" s="4">
        <f t="shared" si="0"/>
        <v>0</v>
      </c>
      <c r="H6" s="4">
        <f t="shared" si="1"/>
        <v>131523170</v>
      </c>
      <c r="I6" s="4">
        <f t="shared" si="12"/>
        <v>-131523170</v>
      </c>
      <c r="J6" s="4">
        <f t="shared" si="22"/>
        <v>377480290</v>
      </c>
      <c r="K6" s="4">
        <f t="shared" si="2"/>
        <v>0</v>
      </c>
      <c r="L6" s="4">
        <f t="shared" si="3"/>
        <v>0</v>
      </c>
      <c r="M6" s="4">
        <f t="shared" si="13"/>
        <v>0</v>
      </c>
      <c r="N6" s="4">
        <f t="shared" si="4"/>
        <v>131523170</v>
      </c>
      <c r="O6" s="4">
        <f t="shared" si="14"/>
        <v>12162390</v>
      </c>
      <c r="P6" s="4">
        <f t="shared" si="5"/>
        <v>119360780</v>
      </c>
      <c r="Q6" s="4">
        <f t="shared" si="6"/>
        <v>-131523170</v>
      </c>
      <c r="R6" s="4">
        <f t="shared" si="7"/>
        <v>0</v>
      </c>
      <c r="S6" s="4">
        <f t="shared" si="8"/>
        <v>0</v>
      </c>
      <c r="T6" s="4">
        <f t="shared" si="15"/>
        <v>0</v>
      </c>
      <c r="U6" s="4">
        <f t="shared" si="9"/>
        <v>131523170</v>
      </c>
      <c r="V6" s="4">
        <f t="shared" si="16"/>
        <v>-131523170</v>
      </c>
      <c r="W6" s="4">
        <f t="shared" si="17"/>
        <v>377480290</v>
      </c>
      <c r="X6" s="4">
        <f t="shared" si="18"/>
        <v>0</v>
      </c>
      <c r="Y6" s="4">
        <f t="shared" si="10"/>
        <v>131523170</v>
      </c>
      <c r="Z6" s="4">
        <f t="shared" si="19"/>
        <v>-131523170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165000</v>
      </c>
      <c r="AJ6" s="4">
        <f>287500+15400+318500+90400+73500000+217500+119250</f>
        <v>74548550</v>
      </c>
      <c r="AK6" s="4">
        <f>18000500+18000500</f>
        <v>36001000</v>
      </c>
      <c r="AL6" s="4">
        <v>0</v>
      </c>
      <c r="AM6" s="4">
        <f>4614490+1467390</f>
        <v>6081880</v>
      </c>
      <c r="AN6" s="4">
        <v>0</v>
      </c>
      <c r="AO6" s="4">
        <v>0</v>
      </c>
      <c r="AP6" s="4">
        <v>0</v>
      </c>
      <c r="AQ6" s="4">
        <v>3610</v>
      </c>
      <c r="AR6" s="4">
        <v>3000500</v>
      </c>
      <c r="AS6" s="4">
        <v>5200000</v>
      </c>
      <c r="AT6" s="4">
        <v>0</v>
      </c>
      <c r="AU6" s="4">
        <v>3300500</v>
      </c>
      <c r="AV6" s="4">
        <f>39000+319500+75000+952050+19800+13500</f>
        <v>1418850</v>
      </c>
      <c r="AW6" s="4">
        <v>1192550</v>
      </c>
      <c r="AX6" s="4">
        <v>0</v>
      </c>
      <c r="AY6" s="4">
        <f>33000+107850+22800+18400+200500+4400+36880+25000+30000+98900+33000</f>
        <v>610730</v>
      </c>
      <c r="AZ6" s="4">
        <f t="shared" si="20"/>
        <v>0</v>
      </c>
      <c r="BA6" s="4">
        <f t="shared" si="11"/>
        <v>0</v>
      </c>
      <c r="BB6" s="4">
        <f t="shared" si="21"/>
        <v>0</v>
      </c>
      <c r="BC6" s="4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v>0</v>
      </c>
      <c r="BK6" s="6">
        <v>0</v>
      </c>
      <c r="BL6" s="6">
        <v>0</v>
      </c>
      <c r="BM6" s="6">
        <v>0</v>
      </c>
      <c r="BN6" s="6">
        <v>0</v>
      </c>
      <c r="BO6" s="6">
        <v>0</v>
      </c>
      <c r="BP6" s="6">
        <v>0</v>
      </c>
      <c r="BQ6" s="6">
        <v>0</v>
      </c>
      <c r="BR6" s="6">
        <v>0</v>
      </c>
    </row>
    <row r="7" spans="1:70">
      <c r="A7">
        <v>2022</v>
      </c>
      <c r="B7">
        <v>11</v>
      </c>
      <c r="C7">
        <f>20-2+1+1-1-1-1+1-1-1</f>
        <v>16</v>
      </c>
      <c r="D7">
        <v>0</v>
      </c>
      <c r="E7">
        <v>0</v>
      </c>
      <c r="F7">
        <v>0</v>
      </c>
      <c r="G7" s="4">
        <f t="shared" si="0"/>
        <v>33579140</v>
      </c>
      <c r="H7" s="4">
        <f t="shared" si="1"/>
        <v>137687005</v>
      </c>
      <c r="I7" s="4">
        <f t="shared" si="12"/>
        <v>-104107865</v>
      </c>
      <c r="J7" s="4">
        <f t="shared" si="22"/>
        <v>273372425</v>
      </c>
      <c r="K7" s="4">
        <f t="shared" si="2"/>
        <v>33554140</v>
      </c>
      <c r="L7" s="4">
        <f t="shared" si="3"/>
        <v>24654140</v>
      </c>
      <c r="M7" s="4">
        <f t="shared" si="13"/>
        <v>0</v>
      </c>
      <c r="N7" s="4">
        <f t="shared" si="4"/>
        <v>137687005</v>
      </c>
      <c r="O7" s="4">
        <f t="shared" si="14"/>
        <v>16831995</v>
      </c>
      <c r="P7" s="4">
        <f t="shared" si="5"/>
        <v>111955010</v>
      </c>
      <c r="Q7" s="4">
        <f t="shared" si="6"/>
        <v>-104132865</v>
      </c>
      <c r="R7" s="4">
        <f t="shared" si="7"/>
        <v>25000</v>
      </c>
      <c r="S7" s="4">
        <f t="shared" si="8"/>
        <v>0</v>
      </c>
      <c r="T7" s="4">
        <f t="shared" si="15"/>
        <v>33554140</v>
      </c>
      <c r="U7" s="4">
        <f t="shared" si="9"/>
        <v>137687005</v>
      </c>
      <c r="V7" s="4">
        <f t="shared" si="16"/>
        <v>-104132865</v>
      </c>
      <c r="W7" s="4">
        <f t="shared" si="17"/>
        <v>273347425</v>
      </c>
      <c r="X7" s="4">
        <f t="shared" si="18"/>
        <v>33554140</v>
      </c>
      <c r="Y7" s="4">
        <f t="shared" si="10"/>
        <v>137687005</v>
      </c>
      <c r="Z7" s="4">
        <f t="shared" si="19"/>
        <v>-104132865</v>
      </c>
      <c r="AA7" s="4">
        <v>0</v>
      </c>
      <c r="AB7" s="4">
        <f>1620000*17+1620000+400000+400000+1620000+1582740+391400</f>
        <v>33554140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f>1620000+400000+1620000+1620000+1620000+400000+1620000</f>
        <v>8900000</v>
      </c>
      <c r="AI7" s="4">
        <f>264000+334000+603000+687500+165000</f>
        <v>2053500</v>
      </c>
      <c r="AJ7" s="4">
        <f>7810000+10890000+71880+88800+11760000</f>
        <v>30620680</v>
      </c>
      <c r="AK7" s="4">
        <f>18000000+18000000+300000+200000+18000000+22500000</f>
        <v>77000000</v>
      </c>
      <c r="AL7" s="4">
        <f>880000</f>
        <v>880000</v>
      </c>
      <c r="AM7" s="4">
        <f>81850+96700+145050+48350+48350+362630+3546980+4193300+1676200</f>
        <v>10199410</v>
      </c>
      <c r="AN7" s="4">
        <v>0</v>
      </c>
      <c r="AO7" s="4">
        <v>0</v>
      </c>
      <c r="AP7" s="4">
        <f>35900+359130</f>
        <v>395030</v>
      </c>
      <c r="AQ7" s="4">
        <v>61380</v>
      </c>
      <c r="AR7" s="4">
        <v>0</v>
      </c>
      <c r="AS7" s="4">
        <f>2676000+593000</f>
        <v>3269000</v>
      </c>
      <c r="AT7" s="4">
        <v>0</v>
      </c>
      <c r="AU7" s="4">
        <v>0</v>
      </c>
      <c r="AV7" s="4">
        <f>396000+209000+49900</f>
        <v>654900</v>
      </c>
      <c r="AW7" s="4">
        <v>2587775</v>
      </c>
      <c r="AX7" s="4">
        <v>0</v>
      </c>
      <c r="AY7" s="4">
        <f>49950+400000+27000+18000+102250+11000+45940+3500+55500+9900+24680+51900+20560+35900+32700+31750+6000+137400+700+700</f>
        <v>1065330</v>
      </c>
      <c r="AZ7" s="4">
        <f t="shared" si="20"/>
        <v>25000</v>
      </c>
      <c r="BA7" s="4">
        <f t="shared" si="11"/>
        <v>0</v>
      </c>
      <c r="BB7" s="4">
        <f t="shared" si="21"/>
        <v>25000</v>
      </c>
      <c r="BC7" s="4">
        <f>10000+15000</f>
        <v>25000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v>0</v>
      </c>
      <c r="BN7" s="6">
        <v>0</v>
      </c>
      <c r="BO7" s="6">
        <v>0</v>
      </c>
      <c r="BP7" s="6">
        <v>0</v>
      </c>
      <c r="BQ7" s="6">
        <v>0</v>
      </c>
      <c r="BR7" s="6">
        <v>0</v>
      </c>
    </row>
    <row r="8" spans="1:70">
      <c r="A8">
        <v>2022</v>
      </c>
      <c r="B8">
        <v>12</v>
      </c>
      <c r="C8">
        <f>C7+1-2-1-2-1+1-1-1+1-1</f>
        <v>10</v>
      </c>
      <c r="D8">
        <v>0</v>
      </c>
      <c r="E8">
        <v>0</v>
      </c>
      <c r="F8">
        <v>0</v>
      </c>
      <c r="G8" s="4">
        <f t="shared" si="0"/>
        <v>18815560</v>
      </c>
      <c r="H8" s="4">
        <f t="shared" si="1"/>
        <v>208454020</v>
      </c>
      <c r="I8" s="4">
        <f t="shared" si="12"/>
        <v>-189638460</v>
      </c>
      <c r="J8" s="4">
        <f t="shared" si="22"/>
        <v>83733965</v>
      </c>
      <c r="K8" s="4">
        <f t="shared" si="2"/>
        <v>12015560</v>
      </c>
      <c r="L8" s="4">
        <f t="shared" si="3"/>
        <v>-1499876</v>
      </c>
      <c r="M8" s="4">
        <f t="shared" si="13"/>
        <v>155436</v>
      </c>
      <c r="N8" s="4">
        <f t="shared" si="4"/>
        <v>208454020</v>
      </c>
      <c r="O8" s="4">
        <f t="shared" si="14"/>
        <v>26476100</v>
      </c>
      <c r="P8" s="4">
        <f t="shared" si="5"/>
        <v>168617920</v>
      </c>
      <c r="Q8" s="4">
        <f t="shared" si="6"/>
        <v>-196438460</v>
      </c>
      <c r="R8" s="4">
        <f t="shared" si="7"/>
        <v>6800000</v>
      </c>
      <c r="S8" s="4">
        <f t="shared" si="8"/>
        <v>0</v>
      </c>
      <c r="T8" s="4">
        <f t="shared" si="15"/>
        <v>7343175</v>
      </c>
      <c r="U8" s="4">
        <f t="shared" si="9"/>
        <v>200654020</v>
      </c>
      <c r="V8" s="4">
        <f t="shared" si="16"/>
        <v>-193310845</v>
      </c>
      <c r="W8" s="4">
        <f t="shared" si="17"/>
        <v>80036580</v>
      </c>
      <c r="X8" s="4">
        <f t="shared" si="18"/>
        <v>7343175</v>
      </c>
      <c r="Y8" s="4">
        <f t="shared" si="10"/>
        <v>200654020</v>
      </c>
      <c r="Z8" s="4">
        <f t="shared" si="19"/>
        <v>-193310845</v>
      </c>
      <c r="AA8" s="4">
        <v>0</v>
      </c>
      <c r="AB8" s="4">
        <f>1582740+400000+2078000+452351+524649+2150000</f>
        <v>7187740</v>
      </c>
      <c r="AC8" s="4">
        <v>0</v>
      </c>
      <c r="AD8" s="4">
        <v>0</v>
      </c>
      <c r="AE8" s="4">
        <v>0</v>
      </c>
      <c r="AF8" s="4">
        <v>0</v>
      </c>
      <c r="AG8" s="4">
        <v>155435</v>
      </c>
      <c r="AH8" s="4">
        <f>1620000+1620000+1620000+1620000+1620000+1620000+1620000+1620000+400000</f>
        <v>13360000</v>
      </c>
      <c r="AI8" s="4">
        <f>165000+50000+30000+30000</f>
        <v>275000</v>
      </c>
      <c r="AJ8" s="4">
        <f>107800000+7920000+7920000+7930750+14520000</f>
        <v>146090750</v>
      </c>
      <c r="AK8" s="4">
        <f>10000000+4700000</f>
        <v>14700000</v>
      </c>
      <c r="AL8" s="4">
        <f>880000+880000+550000</f>
        <v>2310000</v>
      </c>
      <c r="AM8" s="4">
        <f>860630+3546980+2431710+4193300+1248570</f>
        <v>12281190</v>
      </c>
      <c r="AN8" s="4">
        <v>0</v>
      </c>
      <c r="AO8" s="4">
        <v>0</v>
      </c>
      <c r="AP8" s="4">
        <f>588130+21750+60970+629760+26700+65630</f>
        <v>1392940</v>
      </c>
      <c r="AQ8" s="4">
        <v>110800</v>
      </c>
      <c r="AR8" s="4">
        <f>8436600+3927600+117000</f>
        <v>12481200</v>
      </c>
      <c r="AS8" s="4">
        <f>-5200000</f>
        <v>-5200000</v>
      </c>
      <c r="AT8" s="4">
        <v>0</v>
      </c>
      <c r="AU8" s="4">
        <v>0</v>
      </c>
      <c r="AV8" s="4">
        <f>213500+550000</f>
        <v>763500</v>
      </c>
      <c r="AW8" s="4">
        <v>1542670</v>
      </c>
      <c r="AX8" s="4">
        <v>0</v>
      </c>
      <c r="AY8" s="4">
        <f>9900+41210+10000+48220+202280+62530+146930+13900+8000+3000</f>
        <v>545970</v>
      </c>
      <c r="AZ8" s="4">
        <f t="shared" si="20"/>
        <v>11472385</v>
      </c>
      <c r="BA8" s="4">
        <f t="shared" si="11"/>
        <v>7800000</v>
      </c>
      <c r="BB8" s="4">
        <f t="shared" si="21"/>
        <v>3697385</v>
      </c>
      <c r="BC8" s="4">
        <f>4200000+2600000</f>
        <v>6800000</v>
      </c>
      <c r="BD8" s="6">
        <f>978000+955506+1576878+1162000</f>
        <v>4672384</v>
      </c>
      <c r="BE8" s="6">
        <v>0</v>
      </c>
      <c r="BF8" s="6">
        <v>0</v>
      </c>
      <c r="BG8" s="6">
        <v>0</v>
      </c>
      <c r="BH8" s="6">
        <v>1</v>
      </c>
      <c r="BI8" s="6">
        <v>0</v>
      </c>
      <c r="BJ8" s="6">
        <v>0</v>
      </c>
      <c r="BK8" s="6">
        <v>0</v>
      </c>
      <c r="BL8" s="6">
        <v>0</v>
      </c>
      <c r="BM8" s="6">
        <v>0</v>
      </c>
      <c r="BN8" s="6">
        <v>7800000</v>
      </c>
      <c r="BO8" s="6">
        <v>0</v>
      </c>
      <c r="BP8" s="6">
        <v>0</v>
      </c>
      <c r="BQ8" s="6">
        <v>0</v>
      </c>
      <c r="BR8" s="6">
        <v>0</v>
      </c>
    </row>
    <row r="9" spans="1:70">
      <c r="A9">
        <v>2023</v>
      </c>
      <c r="B9">
        <v>1</v>
      </c>
      <c r="C9">
        <f>C8-1+1+1</f>
        <v>11</v>
      </c>
      <c r="D9">
        <v>0</v>
      </c>
      <c r="E9">
        <v>1</v>
      </c>
      <c r="F9">
        <v>0</v>
      </c>
      <c r="G9" s="4">
        <f t="shared" si="0"/>
        <v>46133986</v>
      </c>
      <c r="H9" s="4">
        <f t="shared" si="1"/>
        <v>123758805</v>
      </c>
      <c r="I9" s="4">
        <f t="shared" si="12"/>
        <v>-77624819</v>
      </c>
      <c r="J9" s="4">
        <f t="shared" si="22"/>
        <v>6109146</v>
      </c>
      <c r="K9" s="4">
        <f t="shared" si="2"/>
        <v>3733986</v>
      </c>
      <c r="L9" s="4">
        <f t="shared" si="3"/>
        <v>2113986</v>
      </c>
      <c r="M9" s="4">
        <f t="shared" si="13"/>
        <v>0</v>
      </c>
      <c r="N9" s="4">
        <f t="shared" si="4"/>
        <v>123758805</v>
      </c>
      <c r="O9" s="4">
        <f t="shared" si="14"/>
        <v>30754265</v>
      </c>
      <c r="P9" s="4">
        <f t="shared" si="5"/>
        <v>91384540</v>
      </c>
      <c r="Q9" s="4">
        <f t="shared" si="6"/>
        <v>-120024819</v>
      </c>
      <c r="R9" s="4">
        <f t="shared" si="7"/>
        <v>42400000</v>
      </c>
      <c r="S9" s="4">
        <f t="shared" si="8"/>
        <v>0</v>
      </c>
      <c r="T9" s="4">
        <f t="shared" ref="T9:T40" si="23">SUM(AA9:AG9)</f>
        <v>48777986</v>
      </c>
      <c r="U9" s="4">
        <f t="shared" si="9"/>
        <v>123758805</v>
      </c>
      <c r="V9" s="4">
        <f t="shared" si="16"/>
        <v>-74980819</v>
      </c>
      <c r="W9" s="4">
        <f t="shared" si="17"/>
        <v>5055761</v>
      </c>
      <c r="X9" s="4">
        <f t="shared" si="18"/>
        <v>2777986</v>
      </c>
      <c r="Y9" s="4">
        <f t="shared" si="10"/>
        <v>123758805</v>
      </c>
      <c r="Z9" s="4">
        <f t="shared" si="19"/>
        <v>-120980819</v>
      </c>
      <c r="AA9" s="4">
        <v>0</v>
      </c>
      <c r="AB9" s="4">
        <f>1360000+240000+378680+400000+369306+30000</f>
        <v>2777986</v>
      </c>
      <c r="AC9" s="4">
        <v>46000000</v>
      </c>
      <c r="AD9" s="4">
        <v>0</v>
      </c>
      <c r="AE9" s="4">
        <v>0</v>
      </c>
      <c r="AF9" s="4">
        <f>-70000000+20000000-10000000+70000000-20000000+10000000</f>
        <v>0</v>
      </c>
      <c r="AG9" s="4">
        <v>0</v>
      </c>
      <c r="AH9" s="4">
        <v>1620000</v>
      </c>
      <c r="AI9" s="4">
        <f>250000+165000+1300000</f>
        <v>1715000</v>
      </c>
      <c r="AJ9" s="4">
        <f>1312300+30000+6515740+10833850+14850000+7127600+46000000</f>
        <v>86669490</v>
      </c>
      <c r="AK9" s="4">
        <v>500000</v>
      </c>
      <c r="AL9" s="4">
        <v>0</v>
      </c>
      <c r="AM9" s="4">
        <f>2745+1434600+8663060</f>
        <v>10100405</v>
      </c>
      <c r="AN9" s="4">
        <v>0</v>
      </c>
      <c r="AO9" s="4">
        <v>0</v>
      </c>
      <c r="AP9" s="4">
        <v>0</v>
      </c>
      <c r="AQ9" s="4">
        <f>55100+66760+107640+106100+208140</f>
        <v>543740</v>
      </c>
      <c r="AR9" s="4">
        <v>0</v>
      </c>
      <c r="AS9" s="4">
        <v>0</v>
      </c>
      <c r="AT9" s="4">
        <v>0</v>
      </c>
      <c r="AU9" s="4">
        <f>3410000</f>
        <v>3410000</v>
      </c>
      <c r="AV9" s="4">
        <f>24200+3371500+180000-180000+1626400</f>
        <v>5022100</v>
      </c>
      <c r="AW9" s="4">
        <v>9963020</v>
      </c>
      <c r="AX9" s="4">
        <v>0</v>
      </c>
      <c r="AY9" s="4">
        <f>602460+329570+10000+4000+4000+35700+195800+25000+37000+54100+160000+16800+16000+46940+9600+25000+19000+484000+350000+11000+1779080</f>
        <v>4215050</v>
      </c>
      <c r="AZ9" s="4">
        <f t="shared" ref="AZ9" si="24">SUM(BC9:BH9)</f>
        <v>-2644000</v>
      </c>
      <c r="BA9" s="4">
        <f t="shared" si="11"/>
        <v>0</v>
      </c>
      <c r="BB9" s="4">
        <f t="shared" si="21"/>
        <v>1053385</v>
      </c>
      <c r="BC9" s="4">
        <v>-3600000</v>
      </c>
      <c r="BD9" s="6">
        <v>956000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  <c r="BK9" s="6">
        <v>0</v>
      </c>
      <c r="BL9" s="6">
        <v>0</v>
      </c>
      <c r="BM9" s="6">
        <v>0</v>
      </c>
      <c r="BN9" s="6">
        <v>0</v>
      </c>
      <c r="BO9" s="6">
        <v>0</v>
      </c>
      <c r="BP9" s="6">
        <v>0</v>
      </c>
      <c r="BQ9" s="6">
        <v>0</v>
      </c>
      <c r="BR9" s="6">
        <v>0</v>
      </c>
    </row>
    <row r="10" spans="1:70">
      <c r="A10">
        <v>2023</v>
      </c>
      <c r="B10">
        <v>2</v>
      </c>
      <c r="C10">
        <f>C9+1-1+2+1</f>
        <v>14</v>
      </c>
      <c r="D10">
        <f t="shared" ref="D10" si="25">D9</f>
        <v>0</v>
      </c>
      <c r="E10">
        <f>E9+1+1</f>
        <v>3</v>
      </c>
      <c r="F10">
        <f t="shared" ref="F10" si="26">F9</f>
        <v>0</v>
      </c>
      <c r="G10" s="4">
        <f t="shared" si="0"/>
        <v>128053672</v>
      </c>
      <c r="H10" s="4">
        <f t="shared" si="1"/>
        <v>60734152</v>
      </c>
      <c r="I10" s="4">
        <f t="shared" si="12"/>
        <v>67319520</v>
      </c>
      <c r="J10" s="4">
        <f t="shared" si="22"/>
        <v>73428666</v>
      </c>
      <c r="K10" s="4">
        <f t="shared" si="2"/>
        <v>52253672</v>
      </c>
      <c r="L10" s="4">
        <f t="shared" si="3"/>
        <v>46674732</v>
      </c>
      <c r="M10" s="4">
        <f t="shared" si="13"/>
        <v>11400</v>
      </c>
      <c r="N10" s="4">
        <f t="shared" si="4"/>
        <v>60734152</v>
      </c>
      <c r="O10" s="4">
        <f t="shared" si="14"/>
        <v>32584322</v>
      </c>
      <c r="P10" s="4">
        <f t="shared" si="5"/>
        <v>22582290</v>
      </c>
      <c r="Q10" s="4">
        <f t="shared" si="6"/>
        <v>-8480480</v>
      </c>
      <c r="R10" s="4">
        <f t="shared" si="7"/>
        <v>-2000000</v>
      </c>
      <c r="S10" s="4">
        <f t="shared" si="8"/>
        <v>47800000</v>
      </c>
      <c r="T10" s="4">
        <f t="shared" si="23"/>
        <v>115920705</v>
      </c>
      <c r="U10" s="4">
        <f t="shared" si="9"/>
        <v>59506752</v>
      </c>
      <c r="V10" s="4">
        <f t="shared" si="16"/>
        <v>56413953</v>
      </c>
      <c r="W10" s="4">
        <f t="shared" si="17"/>
        <v>61469714</v>
      </c>
      <c r="X10" s="4">
        <f t="shared" si="18"/>
        <v>38120705</v>
      </c>
      <c r="Y10" s="4">
        <f t="shared" si="10"/>
        <v>59506752</v>
      </c>
      <c r="Z10" s="4">
        <f t="shared" si="19"/>
        <v>-21386047</v>
      </c>
      <c r="AA10" s="4">
        <f>10000000+5000000+10000000+10000000+10000000+10000000+5000000-30000000</f>
        <v>30000000</v>
      </c>
      <c r="AB10" s="4">
        <f>369306+29310+29925+346260+135000+30000+30000+1730000+112500+1394000+30000+30000+135000+30000+60000+60000+291000+120000+252000+30000+168000+30000+30000+60000+53865+239400+30000+352230+134325+59850+252000+157500+25000+30000*5+55000+555807+292530+250740+30000+252000+294000+168000+30000+252000+252000+294000+251370+29850+294000+30000+252000+2647365+542640+262680+30000+50000+250740+1048730+294000+252000+239400+995000+293265+2247500+770130+30000+1234000+292530+252000+29850+1254000+30000+1183055+299250+29850+1880000+294000+282000+156000+167580+252000+1028000+280590+224700+29850+199500+93530+1194000+1287530+250740+29850+1194000+265367+310440+282000+252000+340290+422875+197010+31920+13930+1207930+103480+280590+29850+400000</f>
        <v>38109305</v>
      </c>
      <c r="AC10" s="4">
        <v>0</v>
      </c>
      <c r="AD10" s="4">
        <v>0</v>
      </c>
      <c r="AE10" s="4">
        <f>17800000+30000000</f>
        <v>47800000</v>
      </c>
      <c r="AF10" s="4">
        <v>0</v>
      </c>
      <c r="AG10" s="4">
        <v>11400</v>
      </c>
      <c r="AH10" s="4">
        <f>400000+291000+250000+252000+30000+294000+30000+30000+105000+252000+30000+269000+30000+90000+700000+1582740+282000</f>
        <v>4917740</v>
      </c>
      <c r="AI10" s="4">
        <f>165000+650000+687500+240000+702000</f>
        <v>2444500</v>
      </c>
      <c r="AJ10" s="4">
        <f>594000</f>
        <v>594000</v>
      </c>
      <c r="AK10" s="4">
        <f>-20000000+20000000-3000000+500000+4500000</f>
        <v>2000000</v>
      </c>
      <c r="AL10" s="4">
        <f>550000+550000</f>
        <v>1100000</v>
      </c>
      <c r="AM10" s="4">
        <f>2499570+10184660+1934000</f>
        <v>14618230</v>
      </c>
      <c r="AN10" s="4">
        <v>0</v>
      </c>
      <c r="AO10" s="4">
        <v>0</v>
      </c>
      <c r="AP10" s="4">
        <f>36910+89960+279290</f>
        <v>406160</v>
      </c>
      <c r="AQ10" s="4">
        <f>214830+88000+967980+1769090</f>
        <v>3039900</v>
      </c>
      <c r="AR10" s="4">
        <v>0</v>
      </c>
      <c r="AS10" s="4">
        <f>2532000+31500</f>
        <v>2563500</v>
      </c>
      <c r="AT10" s="4">
        <f>1000000+14200000+975420+400000+90000</f>
        <v>16665420</v>
      </c>
      <c r="AU10" s="4">
        <f>296060+3500000</f>
        <v>3796060</v>
      </c>
      <c r="AV10" s="4">
        <f>10000+10000</f>
        <v>20000</v>
      </c>
      <c r="AW10" s="4">
        <v>6581872</v>
      </c>
      <c r="AX10" s="4">
        <v>0</v>
      </c>
      <c r="AY10" s="4">
        <f>92580-92580+198350+50000+66370+444650</f>
        <v>759370</v>
      </c>
      <c r="AZ10" s="4">
        <f t="shared" ref="AZ10:AZ20" si="27">SUM(BC10:BH10)</f>
        <v>12132967</v>
      </c>
      <c r="BA10" s="4">
        <f t="shared" si="11"/>
        <v>1227400</v>
      </c>
      <c r="BB10" s="4">
        <f t="shared" si="21"/>
        <v>11958952</v>
      </c>
      <c r="BC10" s="4">
        <v>-2000000</v>
      </c>
      <c r="BD10" s="6">
        <f>956000+13176967</f>
        <v>14132967</v>
      </c>
      <c r="BE10" s="6">
        <v>0</v>
      </c>
      <c r="BF10" s="6">
        <v>0</v>
      </c>
      <c r="BG10" s="6">
        <v>0</v>
      </c>
      <c r="BH10" s="6">
        <v>0</v>
      </c>
      <c r="BI10" s="6">
        <f>168000+291000+156600+17100+17100</f>
        <v>649800</v>
      </c>
      <c r="BJ10" s="6">
        <v>0</v>
      </c>
      <c r="BK10" s="6">
        <v>0</v>
      </c>
      <c r="BL10" s="6">
        <v>0</v>
      </c>
      <c r="BM10" s="6">
        <v>0</v>
      </c>
      <c r="BN10" s="6">
        <v>577600</v>
      </c>
      <c r="BO10" s="6">
        <v>0</v>
      </c>
      <c r="BP10" s="6">
        <v>0</v>
      </c>
      <c r="BQ10" s="6">
        <v>0</v>
      </c>
      <c r="BR10" s="6">
        <v>0</v>
      </c>
    </row>
    <row r="11" spans="1:70">
      <c r="A11">
        <v>2023</v>
      </c>
      <c r="B11">
        <v>3</v>
      </c>
      <c r="C11">
        <v>16</v>
      </c>
      <c r="D11">
        <v>43</v>
      </c>
      <c r="E11">
        <v>24</v>
      </c>
      <c r="F11">
        <v>26</v>
      </c>
      <c r="G11" s="4">
        <f t="shared" si="0"/>
        <v>37105357</v>
      </c>
      <c r="H11" s="4">
        <f t="shared" si="1"/>
        <v>54007727</v>
      </c>
      <c r="I11" s="4">
        <f t="shared" si="12"/>
        <v>-16902370</v>
      </c>
      <c r="J11" s="4">
        <f t="shared" si="22"/>
        <v>56526296</v>
      </c>
      <c r="K11" s="4">
        <f t="shared" si="2"/>
        <v>84305357</v>
      </c>
      <c r="L11" s="4">
        <f t="shared" si="3"/>
        <v>74999752</v>
      </c>
      <c r="M11" s="4">
        <f t="shared" si="13"/>
        <v>28107</v>
      </c>
      <c r="N11" s="4">
        <f t="shared" si="4"/>
        <v>54007727</v>
      </c>
      <c r="O11" s="4">
        <f t="shared" si="14"/>
        <v>42404669</v>
      </c>
      <c r="P11" s="4">
        <f t="shared" si="5"/>
        <v>2325060</v>
      </c>
      <c r="Q11" s="4">
        <f t="shared" si="6"/>
        <v>30297630</v>
      </c>
      <c r="R11" s="4">
        <f t="shared" si="7"/>
        <v>-47200000</v>
      </c>
      <c r="S11" s="4">
        <f t="shared" si="8"/>
        <v>0</v>
      </c>
      <c r="T11" s="4">
        <f t="shared" si="23"/>
        <v>25706673</v>
      </c>
      <c r="U11" s="4">
        <f t="shared" si="9"/>
        <v>45909107</v>
      </c>
      <c r="V11" s="4">
        <f t="shared" si="16"/>
        <v>-20202434</v>
      </c>
      <c r="W11" s="4">
        <f t="shared" si="17"/>
        <v>41267280</v>
      </c>
      <c r="X11" s="4">
        <f t="shared" si="18"/>
        <v>71706673</v>
      </c>
      <c r="Y11" s="4">
        <f t="shared" si="10"/>
        <v>45909107</v>
      </c>
      <c r="Z11" s="4">
        <f t="shared" si="19"/>
        <v>25797566</v>
      </c>
      <c r="AA11" s="4">
        <v>0</v>
      </c>
      <c r="AB11" s="4">
        <f>30000+20000+20000+294000+20000+20000+252000+167580+199500+51740+29850+250740+23700+955200+200000+943635+46000000+30000+449740+293265+250740+251370+280590+220890+1000075+188055+377056+16470+35964+12985+8334+33731+698250+125370+1054000+994000+30000+979080+328000+626430+628000+180000+628000+931320+399000+895500+159400+168000+282000+280590+624860+982065+282000+294000+1094000+282000+168000+989030+83790+252000+208950+292530+294000+877800+193030+1081290+447750+292530+362318+280590</f>
        <v>71696683</v>
      </c>
      <c r="AC11" s="4">
        <v>-46000000</v>
      </c>
      <c r="AD11" s="4">
        <v>0</v>
      </c>
      <c r="AE11" s="4">
        <v>0</v>
      </c>
      <c r="AF11" s="4">
        <f>-46000000-15000000+20000000-30000000+46000000+15000000+30000000+80547-80547-20000500</f>
        <v>-500</v>
      </c>
      <c r="AG11" s="4">
        <f>540+9950</f>
        <v>10490</v>
      </c>
      <c r="AH11" s="4">
        <f>400000+252000+252000+282000+282000+294000+252000+139300+1068630+1000373+49750+1611900+168000+20000+1094000+238800+280590+376110</f>
        <v>8061453</v>
      </c>
      <c r="AI11" s="4">
        <f>165000+660000+650000</f>
        <v>1475000</v>
      </c>
      <c r="AJ11" s="4">
        <v>0</v>
      </c>
      <c r="AK11" s="4">
        <v>0</v>
      </c>
      <c r="AL11" s="4">
        <f>550000+550000</f>
        <v>1100000</v>
      </c>
      <c r="AM11" s="4">
        <f>705970+20283499+2760030+120000+600000</f>
        <v>24469499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f>2640000+500000</f>
        <v>3140000</v>
      </c>
      <c r="AW11" s="4">
        <v>4943452</v>
      </c>
      <c r="AX11" s="4">
        <f>379796+80547</f>
        <v>460343</v>
      </c>
      <c r="AY11" s="4">
        <f>36770+41800+52500+264210+19900+403000+104000+108300+155000+24460+3740+9330+117590+95170+6900+14150+35640+15950+10320+8890+55740+28800+15840+5400+45220+19180+144100+88560+328900</f>
        <v>2259360</v>
      </c>
      <c r="AZ11" s="4">
        <f t="shared" si="27"/>
        <v>11398684</v>
      </c>
      <c r="BA11" s="4">
        <f t="shared" si="11"/>
        <v>8098620</v>
      </c>
      <c r="BB11" s="4">
        <f t="shared" si="21"/>
        <v>15259016</v>
      </c>
      <c r="BC11" s="4">
        <v>-1200000</v>
      </c>
      <c r="BD11" s="6">
        <f>11506699+27082+365713+69900+462198+149475</f>
        <v>12581067</v>
      </c>
      <c r="BE11" s="6">
        <v>0</v>
      </c>
      <c r="BF11" s="6">
        <v>0</v>
      </c>
      <c r="BG11" s="6">
        <v>0</v>
      </c>
      <c r="BH11" s="6">
        <v>17617</v>
      </c>
      <c r="BI11" s="6">
        <f>216000+6000+344500+299000+11750+339295</f>
        <v>1216545</v>
      </c>
      <c r="BJ11" s="6">
        <v>0</v>
      </c>
      <c r="BK11" s="6">
        <v>0</v>
      </c>
      <c r="BL11" s="6">
        <v>0</v>
      </c>
      <c r="BM11" s="6">
        <v>0</v>
      </c>
      <c r="BN11" s="6">
        <f>177650+189050+494000+348000+450000+270000+476000+114950+2221725+168000+1605000-102000+404000</f>
        <v>6816375</v>
      </c>
      <c r="BO11" s="6">
        <v>0</v>
      </c>
      <c r="BP11" s="6">
        <v>0</v>
      </c>
      <c r="BQ11" s="6">
        <v>0</v>
      </c>
      <c r="BR11" s="6">
        <f>30000+15600+20100</f>
        <v>65700</v>
      </c>
    </row>
    <row r="12" spans="1:70">
      <c r="A12">
        <v>2023</v>
      </c>
      <c r="B12">
        <v>4</v>
      </c>
      <c r="C12">
        <v>16</v>
      </c>
      <c r="D12">
        <v>46</v>
      </c>
      <c r="E12">
        <v>29</v>
      </c>
      <c r="F12">
        <v>42</v>
      </c>
      <c r="G12" s="4">
        <f t="shared" si="0"/>
        <v>42751822</v>
      </c>
      <c r="H12" s="4">
        <f t="shared" si="1"/>
        <v>58686448</v>
      </c>
      <c r="I12" s="4">
        <f t="shared" si="12"/>
        <v>-15934626</v>
      </c>
      <c r="J12" s="4">
        <f t="shared" si="22"/>
        <v>40591670</v>
      </c>
      <c r="K12" s="4">
        <f t="shared" si="2"/>
        <v>42749622</v>
      </c>
      <c r="L12" s="4">
        <f t="shared" si="3"/>
        <v>36010738</v>
      </c>
      <c r="M12" s="4">
        <f t="shared" si="13"/>
        <v>34000</v>
      </c>
      <c r="N12" s="4">
        <f t="shared" si="4"/>
        <v>58686448</v>
      </c>
      <c r="O12" s="4">
        <f t="shared" si="14"/>
        <v>48816414</v>
      </c>
      <c r="P12" s="4">
        <f t="shared" si="5"/>
        <v>9250150</v>
      </c>
      <c r="Q12" s="4">
        <f t="shared" si="6"/>
        <v>-15936826</v>
      </c>
      <c r="R12" s="4">
        <f t="shared" si="7"/>
        <v>2200</v>
      </c>
      <c r="S12" s="4">
        <f t="shared" si="8"/>
        <v>0</v>
      </c>
      <c r="T12" s="4">
        <f t="shared" si="23"/>
        <v>38186558</v>
      </c>
      <c r="U12" s="4">
        <f t="shared" si="9"/>
        <v>51066496</v>
      </c>
      <c r="V12" s="4">
        <f t="shared" si="16"/>
        <v>-12879938</v>
      </c>
      <c r="W12" s="4">
        <f t="shared" si="17"/>
        <v>28387342</v>
      </c>
      <c r="X12" s="4">
        <f t="shared" si="18"/>
        <v>38186558</v>
      </c>
      <c r="Y12" s="4">
        <f t="shared" si="10"/>
        <v>51066496</v>
      </c>
      <c r="Z12" s="4">
        <f t="shared" si="19"/>
        <v>-12879938</v>
      </c>
      <c r="AA12" s="4">
        <v>0</v>
      </c>
      <c r="AB12" s="4">
        <f>282000+282000+989030+1050730+167580+277904+292530+459690+142044+1148230+973560+294000+181687+292530+543270+2552970+879795+280590+293265+294000+208950+156000+197505+126000+126000+125370+125370+227000+83580+250740+40000+113217+1054000+994000+299250+39800+39900+393025+39900+25720+994000+2138640+854000+140000+280590+168000+294000+30000+989030+994000+677496+113500+68000+1562150+293265+292530+280590+225865+1048730+126000+1016890+99500+995000+247380+798000+193030+350240+152400+20000+252000+30000</f>
        <v>32067558</v>
      </c>
      <c r="AC12" s="4">
        <v>0</v>
      </c>
      <c r="AD12" s="4">
        <v>0</v>
      </c>
      <c r="AE12" s="4">
        <v>0</v>
      </c>
      <c r="AF12" s="4">
        <f>-19000000-13000000+19000000+6085000+13000000+100000-100000</f>
        <v>6085000</v>
      </c>
      <c r="AG12" s="4">
        <v>34000</v>
      </c>
      <c r="AH12" s="4">
        <v>0</v>
      </c>
      <c r="AI12" s="4">
        <f>165000+50000+55000+1300000</f>
        <v>1570000</v>
      </c>
      <c r="AJ12" s="4">
        <f>363000</f>
        <v>363000</v>
      </c>
      <c r="AK12" s="4">
        <v>5000000</v>
      </c>
      <c r="AL12" s="4">
        <f>550000+550000</f>
        <v>1100000</v>
      </c>
      <c r="AM12" s="4">
        <f>2557900+60000+27198410+823330</f>
        <v>30639640</v>
      </c>
      <c r="AN12" s="4">
        <v>0</v>
      </c>
      <c r="AO12" s="4">
        <f>466400+3220800</f>
        <v>3687200</v>
      </c>
      <c r="AP12" s="4">
        <f>34000</f>
        <v>34000</v>
      </c>
      <c r="AQ12" s="4">
        <f>2148760</f>
        <v>2148760</v>
      </c>
      <c r="AR12" s="4">
        <v>1918000</v>
      </c>
      <c r="AS12" s="4">
        <v>0</v>
      </c>
      <c r="AT12" s="4">
        <v>0</v>
      </c>
      <c r="AU12" s="4">
        <v>0</v>
      </c>
      <c r="AV12" s="4">
        <f>33000+264000</f>
        <v>297000</v>
      </c>
      <c r="AW12" s="4">
        <v>2053600</v>
      </c>
      <c r="AX12" s="4">
        <f>408658+89178</f>
        <v>497836</v>
      </c>
      <c r="AY12" s="4">
        <f>35210+41800+162670+250750+69810+70340+59970+67140+49560+96270+17200+160600+99950+44390+371800+160000</f>
        <v>1757460</v>
      </c>
      <c r="AZ12" s="4">
        <f t="shared" si="27"/>
        <v>4565264</v>
      </c>
      <c r="BA12" s="4">
        <f t="shared" si="11"/>
        <v>7619952</v>
      </c>
      <c r="BB12" s="4">
        <f t="shared" si="21"/>
        <v>12204328</v>
      </c>
      <c r="BC12" s="4">
        <f>50000-19000+-28800</f>
        <v>2200</v>
      </c>
      <c r="BD12" s="6">
        <f>389457+1777286+138900+38000+500+766909+181090+184175+109222+977525</f>
        <v>4563064</v>
      </c>
      <c r="BE12" s="6">
        <v>0</v>
      </c>
      <c r="BF12" s="6">
        <v>0</v>
      </c>
      <c r="BG12" s="6">
        <v>0</v>
      </c>
      <c r="BH12" s="6">
        <v>0</v>
      </c>
      <c r="BI12" s="6">
        <f>138900+138206+342778</f>
        <v>619884</v>
      </c>
      <c r="BJ12" s="6">
        <v>0</v>
      </c>
      <c r="BK12" s="6">
        <v>0</v>
      </c>
      <c r="BL12" s="5">
        <f>18218+1257100+2151660</f>
        <v>3426978</v>
      </c>
      <c r="BM12" s="6">
        <v>0</v>
      </c>
      <c r="BN12" s="6">
        <f>38500+598000+1642000+64400+282000+736500</f>
        <v>3361400</v>
      </c>
      <c r="BO12" s="6">
        <v>0</v>
      </c>
      <c r="BP12" s="6">
        <v>0</v>
      </c>
      <c r="BQ12" s="6">
        <v>0</v>
      </c>
      <c r="BR12" s="6">
        <f>1004-1004+1000+200000+1004-1004+1000+1000+8690</f>
        <v>211690</v>
      </c>
    </row>
    <row r="13" spans="1:70">
      <c r="A13">
        <v>2023</v>
      </c>
      <c r="B13">
        <v>5</v>
      </c>
      <c r="C13">
        <v>17</v>
      </c>
      <c r="D13">
        <v>48</v>
      </c>
      <c r="E13">
        <v>19</v>
      </c>
      <c r="F13">
        <v>35</v>
      </c>
      <c r="G13" s="4">
        <f t="shared" si="0"/>
        <v>64602844</v>
      </c>
      <c r="H13" s="4">
        <f t="shared" si="1"/>
        <v>75233147</v>
      </c>
      <c r="I13" s="4">
        <f t="shared" si="12"/>
        <v>-10630303</v>
      </c>
      <c r="J13" s="4">
        <f t="shared" si="22"/>
        <v>29961367</v>
      </c>
      <c r="K13" s="4">
        <f t="shared" si="2"/>
        <v>54602844</v>
      </c>
      <c r="L13" s="4">
        <f t="shared" si="3"/>
        <v>54316852</v>
      </c>
      <c r="M13" s="4">
        <f t="shared" si="13"/>
        <v>0</v>
      </c>
      <c r="N13" s="4">
        <f t="shared" si="4"/>
        <v>75233147</v>
      </c>
      <c r="O13" s="4">
        <f t="shared" si="14"/>
        <v>65893345</v>
      </c>
      <c r="P13" s="4">
        <f t="shared" si="5"/>
        <v>9053310</v>
      </c>
      <c r="Q13" s="4">
        <f t="shared" si="6"/>
        <v>-20630303</v>
      </c>
      <c r="R13" s="4">
        <f t="shared" si="7"/>
        <v>-15000000</v>
      </c>
      <c r="S13" s="4">
        <f t="shared" si="8"/>
        <v>25000000</v>
      </c>
      <c r="T13" s="4">
        <f t="shared" si="23"/>
        <v>58834957</v>
      </c>
      <c r="U13" s="4">
        <f t="shared" si="9"/>
        <v>59131161</v>
      </c>
      <c r="V13" s="4">
        <f t="shared" si="16"/>
        <v>-296204</v>
      </c>
      <c r="W13" s="4">
        <f t="shared" si="17"/>
        <v>28091138</v>
      </c>
      <c r="X13" s="4">
        <f t="shared" si="18"/>
        <v>48834957</v>
      </c>
      <c r="Y13" s="4">
        <f t="shared" si="10"/>
        <v>59131161</v>
      </c>
      <c r="Z13" s="4">
        <f t="shared" si="19"/>
        <v>-10296204</v>
      </c>
      <c r="AA13" s="4">
        <v>0</v>
      </c>
      <c r="AB13" s="4">
        <f>294000+231000+650730+1697745+650370+159200+167160+193030+294000+250740+1615880+3093615+1747620+200990+913410+836535+299250+586530+125685+167160+282000+250740+293265+125270+159600+39800+281295+280590+1051365+250740+125685+292530+417900+40000+2344000+2254000+2653000+353225+206960+374120+168000+207380+2005920+550122+39800+1059675+994000+294000+1583543+1099245+1200990+64675+761175+208000+294000+1051715+1038780+293265+566580+1705430+280590+1011915+3844432+173565+1304445+501480+252000+30000</f>
        <v>48835457</v>
      </c>
      <c r="AC13" s="4">
        <v>10000000</v>
      </c>
      <c r="AD13" s="4">
        <v>0</v>
      </c>
      <c r="AE13" s="4">
        <v>0</v>
      </c>
      <c r="AF13" s="4">
        <f>-15000000-2400000-1000000+15000000+9000000+2400000+1000000+100000+273803-100000-9000500-273803</f>
        <v>-500</v>
      </c>
      <c r="AG13" s="4">
        <v>0</v>
      </c>
      <c r="AH13" s="4">
        <f>68000</f>
        <v>68000</v>
      </c>
      <c r="AI13" s="4">
        <v>165000</v>
      </c>
      <c r="AJ13" s="4">
        <v>0</v>
      </c>
      <c r="AK13" s="4">
        <v>0</v>
      </c>
      <c r="AL13" s="4">
        <f>2400000</f>
        <v>2400000</v>
      </c>
      <c r="AM13" s="4">
        <f>120000+600000+3985010+6322880+18199180+5254840+681090</f>
        <v>35163000</v>
      </c>
      <c r="AN13" s="4">
        <f>6110400+80000</f>
        <v>6190400</v>
      </c>
      <c r="AO13" s="4">
        <f>3093200+3379200</f>
        <v>6472400</v>
      </c>
      <c r="AP13" s="4">
        <v>0</v>
      </c>
      <c r="AQ13" s="4">
        <f>1484510+1331900</f>
        <v>2816410</v>
      </c>
      <c r="AR13" s="4">
        <v>0</v>
      </c>
      <c r="AS13" s="4">
        <v>0</v>
      </c>
      <c r="AT13" s="4">
        <v>0</v>
      </c>
      <c r="AU13" s="4">
        <v>1100000</v>
      </c>
      <c r="AV13" s="4">
        <f>65550+30570+88000</f>
        <v>184120</v>
      </c>
      <c r="AW13" s="4">
        <v>2693182</v>
      </c>
      <c r="AX13" s="4">
        <f>408658+86301</f>
        <v>494959</v>
      </c>
      <c r="AY13" s="4">
        <f>35210+41800+120000+250750+327930+269460+4480+1100+189480+15600+7490+7490+22000+90900</f>
        <v>1383690</v>
      </c>
      <c r="AZ13" s="4">
        <f t="shared" si="27"/>
        <v>5767887</v>
      </c>
      <c r="BA13" s="4">
        <f t="shared" si="11"/>
        <v>16101986</v>
      </c>
      <c r="BB13" s="4">
        <f t="shared" si="21"/>
        <v>1870229</v>
      </c>
      <c r="BC13" s="4">
        <v>-25000000</v>
      </c>
      <c r="BD13" s="6">
        <f>584205+2+4633843+98753+252084+199000</f>
        <v>5767887</v>
      </c>
      <c r="BE13" s="6">
        <f>25000000</f>
        <v>25000000</v>
      </c>
      <c r="BF13" s="6">
        <f>876020-876020</f>
        <v>0</v>
      </c>
      <c r="BG13" s="6">
        <v>0</v>
      </c>
      <c r="BH13" s="6">
        <v>0</v>
      </c>
      <c r="BI13" s="6">
        <f>58000+60492+100000</f>
        <v>218492</v>
      </c>
      <c r="BJ13" s="6">
        <v>0</v>
      </c>
      <c r="BK13" s="6">
        <v>11424</v>
      </c>
      <c r="BL13" s="5">
        <f>2033090+2320800+1649620</f>
        <v>6003510</v>
      </c>
      <c r="BM13" s="5">
        <f>64950+107740</f>
        <v>172690</v>
      </c>
      <c r="BN13" s="6">
        <f>445500+73150+199500+1943000+60000+175000+105600+408000+54000+4752500</f>
        <v>8216250</v>
      </c>
      <c r="BO13" s="6">
        <v>0</v>
      </c>
      <c r="BP13" s="6">
        <v>0</v>
      </c>
      <c r="BQ13" s="6">
        <v>400</v>
      </c>
      <c r="BR13" s="5">
        <f>29700-29700+56950+876000+20+110250+31000+100000+305000</f>
        <v>1479220</v>
      </c>
    </row>
    <row r="14" spans="1:70">
      <c r="A14">
        <v>2023</v>
      </c>
      <c r="B14">
        <v>6</v>
      </c>
      <c r="C14">
        <v>18</v>
      </c>
      <c r="D14">
        <v>41</v>
      </c>
      <c r="E14">
        <v>26</v>
      </c>
      <c r="F14">
        <v>32</v>
      </c>
      <c r="G14" s="4">
        <f t="shared" si="0"/>
        <v>63708939</v>
      </c>
      <c r="H14" s="4">
        <f t="shared" si="1"/>
        <v>53683988</v>
      </c>
      <c r="I14" s="4">
        <f t="shared" si="12"/>
        <v>10024951</v>
      </c>
      <c r="J14" s="4">
        <f t="shared" si="22"/>
        <v>39986318</v>
      </c>
      <c r="K14" s="4">
        <f t="shared" si="2"/>
        <v>63708939</v>
      </c>
      <c r="L14" s="4">
        <f t="shared" si="3"/>
        <v>61955566</v>
      </c>
      <c r="M14" s="4">
        <f t="shared" si="13"/>
        <v>14740</v>
      </c>
      <c r="N14" s="4">
        <f t="shared" si="4"/>
        <v>53683988</v>
      </c>
      <c r="O14" s="4">
        <f t="shared" si="14"/>
        <v>51175825</v>
      </c>
      <c r="P14" s="4">
        <f t="shared" si="5"/>
        <v>769530</v>
      </c>
      <c r="Q14" s="4">
        <f t="shared" si="6"/>
        <v>10024951</v>
      </c>
      <c r="R14" s="4">
        <f t="shared" si="7"/>
        <v>0</v>
      </c>
      <c r="S14" s="4">
        <f t="shared" si="8"/>
        <v>0</v>
      </c>
      <c r="T14" s="4">
        <f t="shared" si="23"/>
        <v>53640508</v>
      </c>
      <c r="U14" s="4">
        <f t="shared" si="9"/>
        <v>48593019</v>
      </c>
      <c r="V14" s="4">
        <f t="shared" si="16"/>
        <v>5047489</v>
      </c>
      <c r="W14" s="4">
        <f t="shared" si="17"/>
        <v>33138627</v>
      </c>
      <c r="X14" s="4">
        <f t="shared" si="18"/>
        <v>53640508</v>
      </c>
      <c r="Y14" s="4">
        <f t="shared" si="10"/>
        <v>48593019</v>
      </c>
      <c r="Z14" s="4">
        <f t="shared" si="19"/>
        <v>5047489</v>
      </c>
      <c r="AA14" s="4">
        <v>0</v>
      </c>
      <c r="AB14" s="4">
        <f>761175+2176563+292530+333065+972115+292530+392765+292000+568077+188029+1864000+271635+2283525+99500+454500+294000+765000+936915+99750+1506430+123380+282000+280590+763088+521693+955200+280590+2223825+534158+763088+164175+1241263+7723812+1533010+994000+3002060+17399360</f>
        <v>53629396</v>
      </c>
      <c r="AC14" s="4">
        <v>0</v>
      </c>
      <c r="AD14" s="4">
        <v>0</v>
      </c>
      <c r="AE14" s="4">
        <v>0</v>
      </c>
      <c r="AF14" s="4">
        <f>-30000000-30000000+30000000+30000000</f>
        <v>0</v>
      </c>
      <c r="AG14" s="4">
        <f>7205+24+3883</f>
        <v>11112</v>
      </c>
      <c r="AH14" s="4">
        <f>761175+180000</f>
        <v>941175</v>
      </c>
      <c r="AI14" s="4">
        <v>165000</v>
      </c>
      <c r="AJ14" s="4">
        <v>0</v>
      </c>
      <c r="AK14" s="4">
        <v>0</v>
      </c>
      <c r="AL14" s="4">
        <f>550000+1600000+1650000+550000</f>
        <v>4350000</v>
      </c>
      <c r="AM14" s="4">
        <f>210000+600000+4427140+30576920+1219660+894000+90000+600000+30000</f>
        <v>38647720</v>
      </c>
      <c r="AN14" s="4">
        <v>0</v>
      </c>
      <c r="AO14" s="4">
        <v>0</v>
      </c>
      <c r="AP14" s="4">
        <f>-2570+392520</f>
        <v>389950</v>
      </c>
      <c r="AQ14" s="4">
        <v>1369650</v>
      </c>
      <c r="AR14" s="4">
        <v>69000</v>
      </c>
      <c r="AS14" s="4">
        <v>0</v>
      </c>
      <c r="AT14" s="4">
        <v>53260</v>
      </c>
      <c r="AU14" s="4">
        <v>0</v>
      </c>
      <c r="AV14" s="4">
        <f>44220+44220</f>
        <v>88440</v>
      </c>
      <c r="AW14" s="4">
        <v>1369905</v>
      </c>
      <c r="AX14" s="4">
        <f>408658+92991</f>
        <v>501649</v>
      </c>
      <c r="AY14" s="4">
        <f>4400+35210+41800+250750+160600+39520+43230+8990+39770+3000+20000</f>
        <v>647270</v>
      </c>
      <c r="AZ14" s="4">
        <f t="shared" si="27"/>
        <v>10068431</v>
      </c>
      <c r="BA14" s="4">
        <f t="shared" si="11"/>
        <v>5090969</v>
      </c>
      <c r="BB14" s="4">
        <f t="shared" si="21"/>
        <v>6847691</v>
      </c>
      <c r="BC14" s="4">
        <v>0</v>
      </c>
      <c r="BD14" s="6">
        <f>7987857+1675363+237308+164275</f>
        <v>10064803</v>
      </c>
      <c r="BE14" s="6">
        <v>0</v>
      </c>
      <c r="BF14" s="6">
        <v>0</v>
      </c>
      <c r="BG14" s="6">
        <v>0</v>
      </c>
      <c r="BH14" s="6">
        <f>3419+209</f>
        <v>3628</v>
      </c>
      <c r="BI14" s="6">
        <f>255715+88778+99500+48000+305465</f>
        <v>797458</v>
      </c>
      <c r="BJ14" s="6">
        <v>0</v>
      </c>
      <c r="BK14" s="6">
        <v>88541</v>
      </c>
      <c r="BL14" s="5">
        <f>2033090</f>
        <v>2033090</v>
      </c>
      <c r="BM14" s="6">
        <v>0</v>
      </c>
      <c r="BN14" s="6">
        <f>1168500+56050+507000+66880+146300+213750</f>
        <v>2158480</v>
      </c>
      <c r="BO14" s="6">
        <v>0</v>
      </c>
      <c r="BP14" s="6">
        <v>0</v>
      </c>
      <c r="BQ14" s="6">
        <f>400+13000</f>
        <v>13400</v>
      </c>
      <c r="BR14" s="6">
        <v>0</v>
      </c>
    </row>
    <row r="15" spans="1:70">
      <c r="A15">
        <v>2023</v>
      </c>
      <c r="B15">
        <v>7</v>
      </c>
      <c r="C15">
        <v>18</v>
      </c>
      <c r="D15">
        <v>45</v>
      </c>
      <c r="E15">
        <v>26</v>
      </c>
      <c r="F15">
        <v>32</v>
      </c>
      <c r="G15" s="4">
        <f t="shared" si="0"/>
        <v>44079717</v>
      </c>
      <c r="H15" s="4">
        <f t="shared" si="1"/>
        <v>60903233</v>
      </c>
      <c r="I15" s="4">
        <f t="shared" si="12"/>
        <v>-16823516</v>
      </c>
      <c r="J15" s="4">
        <f t="shared" si="22"/>
        <v>23162802</v>
      </c>
      <c r="K15" s="4">
        <f t="shared" si="2"/>
        <v>43079717</v>
      </c>
      <c r="L15" s="4">
        <f t="shared" si="3"/>
        <v>42056857</v>
      </c>
      <c r="M15" s="4">
        <f t="shared" si="13"/>
        <v>0</v>
      </c>
      <c r="N15" s="4">
        <f t="shared" si="4"/>
        <v>60903233</v>
      </c>
      <c r="O15" s="4">
        <f t="shared" si="14"/>
        <v>56306783</v>
      </c>
      <c r="P15" s="4">
        <f t="shared" si="5"/>
        <v>3573590</v>
      </c>
      <c r="Q15" s="4">
        <f t="shared" si="6"/>
        <v>-17823516</v>
      </c>
      <c r="R15" s="4">
        <f t="shared" si="7"/>
        <v>1000000</v>
      </c>
      <c r="S15" s="4">
        <f t="shared" si="8"/>
        <v>0</v>
      </c>
      <c r="T15" s="4">
        <f t="shared" si="23"/>
        <v>42003920</v>
      </c>
      <c r="U15" s="4">
        <f t="shared" si="9"/>
        <v>52798784</v>
      </c>
      <c r="V15" s="4">
        <f t="shared" si="16"/>
        <v>-10794864</v>
      </c>
      <c r="W15" s="4">
        <f t="shared" si="17"/>
        <v>22343763</v>
      </c>
      <c r="X15" s="4">
        <f t="shared" si="18"/>
        <v>42003920</v>
      </c>
      <c r="Y15" s="4">
        <f t="shared" si="10"/>
        <v>52798784</v>
      </c>
      <c r="Z15" s="4">
        <f t="shared" si="19"/>
        <v>-10794864</v>
      </c>
      <c r="AA15" s="4">
        <v>0</v>
      </c>
      <c r="AB15" s="4">
        <v>42003920</v>
      </c>
      <c r="AC15" s="4">
        <v>0</v>
      </c>
      <c r="AD15" s="4">
        <v>0</v>
      </c>
      <c r="AE15" s="4">
        <v>0</v>
      </c>
      <c r="AF15" s="4">
        <f>-40000000+40000000</f>
        <v>0</v>
      </c>
      <c r="AG15" s="4">
        <v>0</v>
      </c>
      <c r="AH15" s="4">
        <v>0</v>
      </c>
      <c r="AI15" s="4">
        <v>165000</v>
      </c>
      <c r="AJ15" s="4">
        <v>0</v>
      </c>
      <c r="AK15" s="4">
        <v>0</v>
      </c>
      <c r="AL15" s="4">
        <f>1600000+1650000+550000</f>
        <v>3800000</v>
      </c>
      <c r="AM15" s="4">
        <f>4182080+574290+31448200+941160+120000+600000</f>
        <v>37865730</v>
      </c>
      <c r="AN15" s="4">
        <v>183000</v>
      </c>
      <c r="AO15" s="4">
        <v>3300000</v>
      </c>
      <c r="AP15" s="4">
        <v>796010</v>
      </c>
      <c r="AQ15" s="4">
        <f>397000+168000</f>
        <v>565000</v>
      </c>
      <c r="AR15" s="4">
        <v>0</v>
      </c>
      <c r="AS15" s="5">
        <f>1383000+270000+240000</f>
        <v>1893000</v>
      </c>
      <c r="AT15" s="4">
        <v>60000</v>
      </c>
      <c r="AU15" s="4">
        <v>0</v>
      </c>
      <c r="AV15" s="4">
        <f>511500</f>
        <v>511500</v>
      </c>
      <c r="AW15" s="4">
        <v>1743050</v>
      </c>
      <c r="AX15" s="4">
        <f>408658+90246</f>
        <v>498904</v>
      </c>
      <c r="AY15" s="4">
        <f>35210+41800+250750+15000+160600+110230+385000+385000+34000</f>
        <v>1417590</v>
      </c>
      <c r="AZ15" s="4">
        <f t="shared" si="27"/>
        <v>2075797</v>
      </c>
      <c r="BA15" s="4">
        <f t="shared" si="11"/>
        <v>8104449</v>
      </c>
      <c r="BB15" s="4">
        <f t="shared" si="21"/>
        <v>819039</v>
      </c>
      <c r="BC15" s="4">
        <v>1000000</v>
      </c>
      <c r="BD15" s="6">
        <f>1045947+29850</f>
        <v>1075797</v>
      </c>
      <c r="BE15" s="6">
        <v>0</v>
      </c>
      <c r="BF15" s="6">
        <v>0</v>
      </c>
      <c r="BG15" s="6">
        <v>0</v>
      </c>
      <c r="BH15" s="6">
        <v>0</v>
      </c>
      <c r="BI15" s="6">
        <v>1022860</v>
      </c>
      <c r="BJ15" s="6">
        <v>0</v>
      </c>
      <c r="BK15" s="6">
        <v>84999</v>
      </c>
      <c r="BL15" s="5">
        <f>463430</f>
        <v>463430</v>
      </c>
      <c r="BM15" s="6">
        <v>0</v>
      </c>
      <c r="BN15" s="6">
        <f>4333950+66880+120770+11160+1980000</f>
        <v>6512760</v>
      </c>
      <c r="BO15" s="6">
        <v>0</v>
      </c>
      <c r="BP15" s="6">
        <v>0</v>
      </c>
      <c r="BQ15" s="6">
        <v>400</v>
      </c>
      <c r="BR15" s="5">
        <v>20000</v>
      </c>
    </row>
    <row r="16" spans="1:70">
      <c r="A16">
        <v>2023</v>
      </c>
      <c r="B16">
        <v>8</v>
      </c>
      <c r="C16">
        <v>16</v>
      </c>
      <c r="D16">
        <v>45</v>
      </c>
      <c r="E16">
        <v>27</v>
      </c>
      <c r="F16">
        <v>32</v>
      </c>
      <c r="G16" s="4">
        <f t="shared" si="0"/>
        <v>94153073</v>
      </c>
      <c r="H16" s="4">
        <f t="shared" si="1"/>
        <v>63462268</v>
      </c>
      <c r="I16" s="4">
        <f t="shared" si="12"/>
        <v>30690805</v>
      </c>
      <c r="J16" s="4">
        <f t="shared" si="22"/>
        <v>53853607</v>
      </c>
      <c r="K16" s="4">
        <f t="shared" si="2"/>
        <v>54153073</v>
      </c>
      <c r="L16" s="4">
        <f t="shared" si="3"/>
        <v>48545575</v>
      </c>
      <c r="M16" s="4">
        <f t="shared" si="13"/>
        <v>264860</v>
      </c>
      <c r="N16" s="4">
        <f t="shared" si="4"/>
        <v>63462268</v>
      </c>
      <c r="O16" s="4">
        <f t="shared" si="14"/>
        <v>58125041</v>
      </c>
      <c r="P16" s="4">
        <f t="shared" si="5"/>
        <v>-5411</v>
      </c>
      <c r="Q16" s="4">
        <f t="shared" si="6"/>
        <v>-9309195</v>
      </c>
      <c r="R16" s="4">
        <f t="shared" si="7"/>
        <v>-10000000</v>
      </c>
      <c r="S16" s="4">
        <f t="shared" si="8"/>
        <v>0</v>
      </c>
      <c r="T16" s="4">
        <f t="shared" si="23"/>
        <v>80419656</v>
      </c>
      <c r="U16" s="4">
        <f t="shared" si="9"/>
        <v>60930038</v>
      </c>
      <c r="V16" s="4">
        <f t="shared" si="16"/>
        <v>19489618</v>
      </c>
      <c r="W16" s="4">
        <f t="shared" si="17"/>
        <v>41833381</v>
      </c>
      <c r="X16" s="4">
        <f t="shared" si="18"/>
        <v>40419656</v>
      </c>
      <c r="Y16" s="4">
        <f t="shared" si="10"/>
        <v>60930038</v>
      </c>
      <c r="Z16" s="4">
        <f t="shared" si="19"/>
        <v>-20510382</v>
      </c>
      <c r="AA16" s="4">
        <f>30000000+20000000</f>
        <v>50000000</v>
      </c>
      <c r="AB16" s="4">
        <v>40154796</v>
      </c>
      <c r="AC16" s="4">
        <f>-10000000</f>
        <v>-10000000</v>
      </c>
      <c r="AD16" s="4">
        <v>0</v>
      </c>
      <c r="AE16" s="4">
        <v>0</v>
      </c>
      <c r="AF16" s="4">
        <f>-20000000-9000000+1000000+20000000+9000000-1000000</f>
        <v>0</v>
      </c>
      <c r="AG16" s="4">
        <f>4000+260860</f>
        <v>264860</v>
      </c>
      <c r="AH16" s="4">
        <f>1804930+1782543</f>
        <v>3587473</v>
      </c>
      <c r="AI16" s="4">
        <f>165000+809240</f>
        <v>974240</v>
      </c>
      <c r="AJ16" s="4">
        <v>352000</v>
      </c>
      <c r="AK16" s="4">
        <f>-2168401</f>
        <v>-2168401</v>
      </c>
      <c r="AL16" s="4">
        <f>1600000+720000+1650000+550000</f>
        <v>4520000</v>
      </c>
      <c r="AM16" s="4">
        <f>425480+600000+3508960+1800000+31834330+600000+120000</f>
        <v>38888770</v>
      </c>
      <c r="AN16" s="4">
        <v>0</v>
      </c>
      <c r="AO16" s="4">
        <v>4281200</v>
      </c>
      <c r="AP16" s="4">
        <f>786380+32000</f>
        <v>818380</v>
      </c>
      <c r="AQ16" s="4">
        <f>1910380+2287100</f>
        <v>4197480</v>
      </c>
      <c r="AR16" s="4">
        <v>0</v>
      </c>
      <c r="AS16" s="4">
        <v>481680</v>
      </c>
      <c r="AT16" s="4">
        <v>0</v>
      </c>
      <c r="AU16" s="4">
        <v>770000</v>
      </c>
      <c r="AV16" s="4">
        <v>0</v>
      </c>
      <c r="AW16" s="4">
        <v>2395994</v>
      </c>
      <c r="AX16" s="4">
        <f>408658+93254</f>
        <v>501912</v>
      </c>
      <c r="AY16" s="4">
        <f>35210+41800+250750+192000+45980+32270+52760+1000+241410+29130+22000+385000</f>
        <v>1329310</v>
      </c>
      <c r="AZ16" s="4">
        <f>SUM(BC16:BH16)</f>
        <v>13733417</v>
      </c>
      <c r="BA16" s="4">
        <f t="shared" si="11"/>
        <v>2532230</v>
      </c>
      <c r="BB16" s="4">
        <f t="shared" si="21"/>
        <v>12020226</v>
      </c>
      <c r="BC16" s="4">
        <v>0</v>
      </c>
      <c r="BD16" s="6">
        <f>11325717+1028000+30000+444850+904850</f>
        <v>13733417</v>
      </c>
      <c r="BE16" s="6">
        <v>0</v>
      </c>
      <c r="BF16" s="6">
        <v>0</v>
      </c>
      <c r="BG16" s="6">
        <v>0</v>
      </c>
      <c r="BH16" s="6">
        <v>0</v>
      </c>
      <c r="BI16" s="6">
        <f>25000+210972+103480+415340+1000373</f>
        <v>1755165</v>
      </c>
      <c r="BJ16" s="6">
        <v>0</v>
      </c>
      <c r="BK16" s="6">
        <v>86417</v>
      </c>
      <c r="BL16" s="5">
        <f>7000</f>
        <v>7000</v>
      </c>
      <c r="BM16" s="6">
        <v>0</v>
      </c>
      <c r="BN16" s="6">
        <f>536648+18000*5+19000*3</f>
        <v>683648</v>
      </c>
      <c r="BO16" s="6">
        <v>0</v>
      </c>
      <c r="BP16" s="6">
        <v>0</v>
      </c>
      <c r="BQ16" s="6">
        <v>0</v>
      </c>
      <c r="BR16" s="6">
        <v>0</v>
      </c>
    </row>
    <row r="17" spans="1:70">
      <c r="A17">
        <v>2023</v>
      </c>
      <c r="B17">
        <v>9</v>
      </c>
      <c r="C17">
        <v>16</v>
      </c>
      <c r="D17">
        <v>43</v>
      </c>
      <c r="E17">
        <v>29</v>
      </c>
      <c r="F17">
        <v>39</v>
      </c>
      <c r="G17" s="4">
        <f t="shared" si="0"/>
        <v>48838702</v>
      </c>
      <c r="H17" s="4">
        <f t="shared" si="1"/>
        <v>78266574</v>
      </c>
      <c r="I17" s="4">
        <f t="shared" si="12"/>
        <v>-29427872</v>
      </c>
      <c r="J17" s="4">
        <f t="shared" si="22"/>
        <v>24425735</v>
      </c>
      <c r="K17" s="4">
        <f t="shared" si="2"/>
        <v>59838702</v>
      </c>
      <c r="L17" s="4">
        <f t="shared" si="3"/>
        <v>58518504</v>
      </c>
      <c r="M17" s="4">
        <f t="shared" si="13"/>
        <v>3330</v>
      </c>
      <c r="N17" s="4">
        <f t="shared" si="4"/>
        <v>78266574</v>
      </c>
      <c r="O17" s="4">
        <f t="shared" si="14"/>
        <v>72208636</v>
      </c>
      <c r="P17" s="4">
        <f t="shared" si="5"/>
        <v>4741070</v>
      </c>
      <c r="Q17" s="4">
        <f t="shared" si="6"/>
        <v>-18427872</v>
      </c>
      <c r="R17" s="4">
        <f t="shared" si="7"/>
        <v>-11000000</v>
      </c>
      <c r="S17" s="4">
        <f t="shared" si="8"/>
        <v>0</v>
      </c>
      <c r="T17" s="4">
        <f t="shared" si="23"/>
        <v>42215175</v>
      </c>
      <c r="U17" s="4">
        <f t="shared" si="9"/>
        <v>63670365</v>
      </c>
      <c r="V17" s="4">
        <f t="shared" si="16"/>
        <v>-21455190</v>
      </c>
      <c r="W17" s="4">
        <f t="shared" si="17"/>
        <v>20378191</v>
      </c>
      <c r="X17" s="4">
        <f t="shared" si="18"/>
        <v>42215175</v>
      </c>
      <c r="Y17" s="4">
        <f t="shared" si="10"/>
        <v>63670365</v>
      </c>
      <c r="Z17" s="4">
        <f t="shared" si="19"/>
        <v>-21455190</v>
      </c>
      <c r="AA17" s="4">
        <v>0</v>
      </c>
      <c r="AB17" s="4">
        <v>42215175</v>
      </c>
      <c r="AC17" s="4">
        <v>0</v>
      </c>
      <c r="AD17" s="4">
        <v>0</v>
      </c>
      <c r="AE17" s="4">
        <v>0</v>
      </c>
      <c r="AF17" s="4">
        <f>-100000+100000</f>
        <v>0</v>
      </c>
      <c r="AG17" s="4">
        <v>0</v>
      </c>
      <c r="AH17" s="4">
        <v>197000</v>
      </c>
      <c r="AI17" s="4">
        <v>165000</v>
      </c>
      <c r="AJ17" s="4">
        <v>0</v>
      </c>
      <c r="AK17" s="4">
        <v>0</v>
      </c>
      <c r="AL17" s="4">
        <f>880000+880000+2750000+550000+1650000</f>
        <v>6710000</v>
      </c>
      <c r="AM17" s="4">
        <f>5321970+34515920+1200000+600000+120000</f>
        <v>41757890</v>
      </c>
      <c r="AN17" s="4">
        <v>0</v>
      </c>
      <c r="AO17" s="4">
        <v>4648600</v>
      </c>
      <c r="AP17" s="4">
        <v>834360</v>
      </c>
      <c r="AQ17" s="4">
        <f>-35240+2538030</f>
        <v>2502790</v>
      </c>
      <c r="AR17" s="4">
        <v>0</v>
      </c>
      <c r="AS17" s="4">
        <v>0</v>
      </c>
      <c r="AT17" s="4">
        <v>0</v>
      </c>
      <c r="AU17" s="4">
        <v>2200000</v>
      </c>
      <c r="AV17" s="4">
        <f>16200</f>
        <v>16200</v>
      </c>
      <c r="AW17" s="4">
        <v>2694557</v>
      </c>
      <c r="AX17" s="4">
        <f>408658+94240</f>
        <v>502898</v>
      </c>
      <c r="AY17" s="4">
        <f>35210+41800+43950+40000+250750+43300+385000+160600+68730+14190+236500+41040+80000</f>
        <v>1441070</v>
      </c>
      <c r="AZ17" s="4">
        <f t="shared" si="27"/>
        <v>6623527</v>
      </c>
      <c r="BA17" s="4">
        <f t="shared" si="11"/>
        <v>14596209</v>
      </c>
      <c r="BB17" s="4">
        <f t="shared" si="21"/>
        <v>4047544</v>
      </c>
      <c r="BC17" s="4">
        <f>2000000+3000000+2000000-18000000</f>
        <v>-11000000</v>
      </c>
      <c r="BD17" s="6">
        <f>17427664+192533</f>
        <v>17620197</v>
      </c>
      <c r="BE17" s="6">
        <v>0</v>
      </c>
      <c r="BF17" s="6">
        <v>0</v>
      </c>
      <c r="BG17" s="6">
        <v>0</v>
      </c>
      <c r="BH17" s="6">
        <f>3000+330</f>
        <v>3330</v>
      </c>
      <c r="BI17" s="6">
        <f>923360+196508</f>
        <v>1119868</v>
      </c>
      <c r="BJ17" s="6">
        <v>0</v>
      </c>
      <c r="BK17" s="6">
        <v>86417</v>
      </c>
      <c r="BL17" s="6">
        <v>0</v>
      </c>
      <c r="BM17" s="6">
        <v>0</v>
      </c>
      <c r="BN17" s="6">
        <f>28960+1832000+114000+338000+508750+432500+1721000+133760+2233050+418000+540000+492000+611000+546000</f>
        <v>9949020</v>
      </c>
      <c r="BO17" s="6">
        <v>0</v>
      </c>
      <c r="BP17" s="6">
        <v>0</v>
      </c>
      <c r="BQ17" s="6">
        <v>140904</v>
      </c>
      <c r="BR17" s="6">
        <f>3300000</f>
        <v>3300000</v>
      </c>
    </row>
    <row r="18" spans="1:70">
      <c r="A18">
        <v>2023</v>
      </c>
      <c r="B18">
        <v>10</v>
      </c>
      <c r="C18">
        <v>17</v>
      </c>
      <c r="D18">
        <v>43</v>
      </c>
      <c r="E18">
        <v>24</v>
      </c>
      <c r="F18">
        <v>42</v>
      </c>
      <c r="G18" s="4">
        <f t="shared" si="0"/>
        <v>66229876</v>
      </c>
      <c r="H18" s="4">
        <f t="shared" si="1"/>
        <v>78558488</v>
      </c>
      <c r="I18" s="4">
        <f t="shared" si="12"/>
        <v>-12328612</v>
      </c>
      <c r="J18" s="4">
        <f t="shared" si="22"/>
        <v>12097123</v>
      </c>
      <c r="K18" s="4">
        <f t="shared" si="2"/>
        <v>39729876</v>
      </c>
      <c r="L18" s="4">
        <f t="shared" si="3"/>
        <v>37809104</v>
      </c>
      <c r="M18" s="4">
        <f t="shared" si="13"/>
        <v>1800000</v>
      </c>
      <c r="N18" s="4">
        <f t="shared" si="4"/>
        <v>78558488</v>
      </c>
      <c r="O18" s="4">
        <f t="shared" si="14"/>
        <v>77150058</v>
      </c>
      <c r="P18" s="4">
        <f t="shared" si="5"/>
        <v>1107658</v>
      </c>
      <c r="Q18" s="4">
        <f t="shared" si="6"/>
        <v>-38828612</v>
      </c>
      <c r="R18" s="4">
        <f t="shared" si="7"/>
        <v>1500000</v>
      </c>
      <c r="S18" s="4">
        <f t="shared" si="8"/>
        <v>0</v>
      </c>
      <c r="T18" s="4">
        <f t="shared" si="23"/>
        <v>63931114</v>
      </c>
      <c r="U18" s="4">
        <f t="shared" si="9"/>
        <v>75482670</v>
      </c>
      <c r="V18" s="4">
        <f t="shared" si="16"/>
        <v>-11551556</v>
      </c>
      <c r="W18" s="4">
        <f t="shared" si="17"/>
        <v>8826635</v>
      </c>
      <c r="X18" s="4">
        <f t="shared" si="18"/>
        <v>38931114</v>
      </c>
      <c r="Y18" s="4">
        <f t="shared" si="10"/>
        <v>75482670</v>
      </c>
      <c r="Z18" s="4">
        <f t="shared" si="19"/>
        <v>-36551556</v>
      </c>
      <c r="AA18" s="4">
        <f>20000000+5000000</f>
        <v>25000000</v>
      </c>
      <c r="AB18" s="4">
        <v>37311114</v>
      </c>
      <c r="AC18" s="4">
        <v>0</v>
      </c>
      <c r="AD18" s="4">
        <v>0</v>
      </c>
      <c r="AE18" s="4">
        <v>0</v>
      </c>
      <c r="AF18" s="4">
        <f>-100000-180000+100000</f>
        <v>-180000</v>
      </c>
      <c r="AG18" s="4">
        <v>1800000</v>
      </c>
      <c r="AH18" s="4">
        <v>0</v>
      </c>
      <c r="AI18" s="4">
        <v>165000</v>
      </c>
      <c r="AJ18" s="4">
        <v>0</v>
      </c>
      <c r="AK18" s="4">
        <v>0</v>
      </c>
      <c r="AL18" s="4">
        <f>880000*2+21120000+1650000+550000</f>
        <v>25080000</v>
      </c>
      <c r="AM18" s="4">
        <f>4007160+67690+32808750+1000000+600000+1200000+90000</f>
        <v>39773600</v>
      </c>
      <c r="AN18" s="4">
        <v>0</v>
      </c>
      <c r="AO18" s="4">
        <v>3128400</v>
      </c>
      <c r="AP18" s="4">
        <v>855020</v>
      </c>
      <c r="AQ18" s="4">
        <v>2347450</v>
      </c>
      <c r="AR18" s="4">
        <v>0</v>
      </c>
      <c r="AS18" s="4">
        <v>0</v>
      </c>
      <c r="AT18" s="4">
        <v>0</v>
      </c>
      <c r="AU18" s="4">
        <v>0</v>
      </c>
      <c r="AV18" s="4">
        <f>113400+113400-112900+117270</f>
        <v>231170</v>
      </c>
      <c r="AW18" s="4">
        <v>2306840</v>
      </c>
      <c r="AX18" s="4">
        <f>408658+91232</f>
        <v>499890</v>
      </c>
      <c r="AY18" s="4">
        <f>35210+41800+250750+4400+160600+31119+120000+33421+198000+220000</f>
        <v>1095300</v>
      </c>
      <c r="AZ18" s="4">
        <f t="shared" si="27"/>
        <v>2298762</v>
      </c>
      <c r="BA18" s="4">
        <f t="shared" si="11"/>
        <v>3075818</v>
      </c>
      <c r="BB18" s="4">
        <f t="shared" si="21"/>
        <v>3270488</v>
      </c>
      <c r="BC18" s="4">
        <v>1500000</v>
      </c>
      <c r="BD18" s="6">
        <v>798762</v>
      </c>
      <c r="BE18" s="6">
        <v>0</v>
      </c>
      <c r="BF18" s="6">
        <v>0</v>
      </c>
      <c r="BG18" s="6">
        <v>0</v>
      </c>
      <c r="BH18" s="6">
        <v>0</v>
      </c>
      <c r="BI18" s="6">
        <f>270922+29850</f>
        <v>300772</v>
      </c>
      <c r="BJ18" s="6">
        <v>0</v>
      </c>
      <c r="BK18" s="6">
        <v>85958</v>
      </c>
      <c r="BL18" s="6">
        <v>0</v>
      </c>
      <c r="BM18" s="6">
        <v>0</v>
      </c>
      <c r="BN18" s="6">
        <f>14000+14480+299250+374000+255000+36000+1684000</f>
        <v>2676730</v>
      </c>
      <c r="BO18" s="6">
        <v>0</v>
      </c>
      <c r="BP18" s="6">
        <v>0</v>
      </c>
      <c r="BQ18" s="6">
        <v>0</v>
      </c>
      <c r="BR18" s="6">
        <v>12358</v>
      </c>
    </row>
    <row r="19" spans="1:70">
      <c r="A19">
        <v>2023</v>
      </c>
      <c r="B19">
        <v>11</v>
      </c>
      <c r="C19">
        <v>17</v>
      </c>
      <c r="D19">
        <v>43</v>
      </c>
      <c r="E19">
        <v>23</v>
      </c>
      <c r="F19">
        <v>46</v>
      </c>
      <c r="G19" s="4">
        <f t="shared" si="0"/>
        <v>90384775</v>
      </c>
      <c r="H19" s="4">
        <f t="shared" si="1"/>
        <v>66264797</v>
      </c>
      <c r="I19" s="4">
        <f t="shared" si="12"/>
        <v>24119978</v>
      </c>
      <c r="J19" s="4">
        <f t="shared" si="22"/>
        <v>36217101</v>
      </c>
      <c r="K19" s="4">
        <f t="shared" si="2"/>
        <v>88371055</v>
      </c>
      <c r="L19" s="4">
        <f t="shared" si="3"/>
        <v>86175016</v>
      </c>
      <c r="M19" s="4">
        <f t="shared" si="13"/>
        <v>39</v>
      </c>
      <c r="N19" s="4">
        <f t="shared" si="4"/>
        <v>66264797</v>
      </c>
      <c r="O19" s="4">
        <f t="shared" si="14"/>
        <v>60480677</v>
      </c>
      <c r="P19" s="4">
        <f t="shared" si="5"/>
        <v>3588120</v>
      </c>
      <c r="Q19" s="4">
        <f t="shared" si="6"/>
        <v>22106258</v>
      </c>
      <c r="R19" s="4">
        <f t="shared" si="7"/>
        <v>2013720</v>
      </c>
      <c r="S19" s="4">
        <f t="shared" si="8"/>
        <v>0</v>
      </c>
      <c r="T19" s="4">
        <f t="shared" si="23"/>
        <v>83239997</v>
      </c>
      <c r="U19" s="4">
        <f t="shared" si="9"/>
        <v>63390141</v>
      </c>
      <c r="V19" s="4">
        <f t="shared" si="16"/>
        <v>19849856</v>
      </c>
      <c r="W19" s="4">
        <f t="shared" si="17"/>
        <v>28676491</v>
      </c>
      <c r="X19" s="4">
        <f t="shared" si="18"/>
        <v>83239997</v>
      </c>
      <c r="Y19" s="4">
        <f t="shared" si="10"/>
        <v>63390141</v>
      </c>
      <c r="Z19" s="4">
        <f t="shared" si="19"/>
        <v>19849856</v>
      </c>
      <c r="AA19" s="4">
        <v>0</v>
      </c>
      <c r="AB19" s="4">
        <v>83239958</v>
      </c>
      <c r="AC19" s="4">
        <v>0</v>
      </c>
      <c r="AD19" s="4">
        <v>0</v>
      </c>
      <c r="AE19" s="4">
        <v>0</v>
      </c>
      <c r="AF19" s="4">
        <f>-100000+100000</f>
        <v>0</v>
      </c>
      <c r="AG19" s="4">
        <v>39</v>
      </c>
      <c r="AH19" s="4">
        <f>1098000+1098000</f>
        <v>2196000</v>
      </c>
      <c r="AI19" s="4">
        <f>165000+264000</f>
        <v>429000</v>
      </c>
      <c r="AJ19" s="4">
        <v>0</v>
      </c>
      <c r="AK19" s="4">
        <f>500000+500000</f>
        <v>1000000</v>
      </c>
      <c r="AL19" s="4">
        <f>880000*2+1650000+3520000+550000</f>
        <v>7480000</v>
      </c>
      <c r="AM19" s="4">
        <f>-120000+5604750+29010+101540+145050+31306090+2391570+600000+150000+480000</f>
        <v>40688010</v>
      </c>
      <c r="AN19" s="4">
        <v>0</v>
      </c>
      <c r="AO19" s="4">
        <v>3044800</v>
      </c>
      <c r="AP19" s="4">
        <v>814130</v>
      </c>
      <c r="AQ19" s="4">
        <v>1643280</v>
      </c>
      <c r="AR19" s="4">
        <v>839000</v>
      </c>
      <c r="AS19" s="4">
        <v>0</v>
      </c>
      <c r="AT19" s="4">
        <v>0</v>
      </c>
      <c r="AU19" s="4">
        <v>1100000</v>
      </c>
      <c r="AV19" s="4">
        <v>0</v>
      </c>
      <c r="AW19" s="4">
        <v>2903870</v>
      </c>
      <c r="AX19" s="4">
        <f>408658+94273</f>
        <v>502931</v>
      </c>
      <c r="AY19" s="4">
        <f>35210+41800+220000+250750-12100+160600+52860</f>
        <v>749120</v>
      </c>
      <c r="AZ19" s="4">
        <f t="shared" si="27"/>
        <v>7144778</v>
      </c>
      <c r="BA19" s="4">
        <f t="shared" si="11"/>
        <v>2874656</v>
      </c>
      <c r="BB19" s="4">
        <f t="shared" si="21"/>
        <v>7540610</v>
      </c>
      <c r="BC19" s="4">
        <f>-86280+1000000+1000000+100000</f>
        <v>2013720</v>
      </c>
      <c r="BD19" s="6">
        <v>5131058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v>0</v>
      </c>
      <c r="BK19" s="6">
        <v>93636</v>
      </c>
      <c r="BL19" s="5">
        <v>169320</v>
      </c>
      <c r="BM19" s="6">
        <v>0</v>
      </c>
      <c r="BN19" s="6">
        <f>190000+247000+237500+142500+572000+193800+28500</f>
        <v>1611300</v>
      </c>
      <c r="BO19" s="6">
        <v>1000000</v>
      </c>
      <c r="BP19" s="6">
        <v>0</v>
      </c>
      <c r="BQ19" s="6">
        <v>400</v>
      </c>
      <c r="BR19" s="6">
        <v>0</v>
      </c>
    </row>
    <row r="20" spans="1:70">
      <c r="A20">
        <v>2023</v>
      </c>
      <c r="B20">
        <v>12</v>
      </c>
      <c r="C20">
        <v>16</v>
      </c>
      <c r="D20">
        <v>25</v>
      </c>
      <c r="E20">
        <v>21</v>
      </c>
      <c r="F20">
        <v>46</v>
      </c>
      <c r="G20" s="4">
        <f t="shared" si="0"/>
        <v>65082249</v>
      </c>
      <c r="H20" s="4">
        <f t="shared" si="1"/>
        <v>81550875</v>
      </c>
      <c r="I20" s="4">
        <f t="shared" si="12"/>
        <v>-16468626</v>
      </c>
      <c r="J20" s="4">
        <f t="shared" si="22"/>
        <v>19748475</v>
      </c>
      <c r="K20" s="4">
        <f t="shared" si="2"/>
        <v>54582249</v>
      </c>
      <c r="L20" s="4">
        <f t="shared" si="3"/>
        <v>47627351</v>
      </c>
      <c r="M20" s="4">
        <f t="shared" si="13"/>
        <v>17168</v>
      </c>
      <c r="N20" s="4">
        <f t="shared" si="4"/>
        <v>81550875</v>
      </c>
      <c r="O20" s="4">
        <f t="shared" si="14"/>
        <v>59276955</v>
      </c>
      <c r="P20" s="4">
        <f t="shared" si="5"/>
        <v>15336190</v>
      </c>
      <c r="Q20" s="4">
        <f t="shared" si="6"/>
        <v>-26968626</v>
      </c>
      <c r="R20" s="4">
        <f t="shared" si="7"/>
        <v>-4500000</v>
      </c>
      <c r="S20" s="4">
        <f t="shared" si="8"/>
        <v>0</v>
      </c>
      <c r="T20" s="4">
        <f t="shared" si="23"/>
        <v>64313732</v>
      </c>
      <c r="U20" s="4">
        <f t="shared" si="9"/>
        <v>77087359</v>
      </c>
      <c r="V20" s="4">
        <f t="shared" si="16"/>
        <v>-12773627</v>
      </c>
      <c r="W20" s="4">
        <f t="shared" si="17"/>
        <v>15902864</v>
      </c>
      <c r="X20" s="4">
        <f t="shared" si="18"/>
        <v>49313732</v>
      </c>
      <c r="Y20" s="4">
        <f t="shared" si="10"/>
        <v>77087359</v>
      </c>
      <c r="Z20" s="4">
        <f t="shared" si="19"/>
        <v>-27773627</v>
      </c>
      <c r="AA20" s="4">
        <v>15000000</v>
      </c>
      <c r="AB20" s="4">
        <v>49298666</v>
      </c>
      <c r="AC20" s="4">
        <v>0</v>
      </c>
      <c r="AD20" s="4">
        <v>0</v>
      </c>
      <c r="AE20" s="4">
        <v>0</v>
      </c>
      <c r="AF20" s="4">
        <f>-10000000-10000000-30000000-5000000-4000000+10000000+10000000-100000+30000000+5000000+4000000+100000</f>
        <v>0</v>
      </c>
      <c r="AG20" s="4">
        <f>8911+6154+1</f>
        <v>15066</v>
      </c>
      <c r="AH20" s="4">
        <f>1098000*5+1048730</f>
        <v>6538730</v>
      </c>
      <c r="AI20" s="4">
        <f>165000+264000+286000+1500000</f>
        <v>2215000</v>
      </c>
      <c r="AJ20" s="4">
        <v>396000</v>
      </c>
      <c r="AK20" s="4">
        <f>500000+4500000+4500000+4500000</f>
        <v>14000000</v>
      </c>
      <c r="AL20" s="4">
        <f>550000+880000*2+1100000+605000+1650000+3520000+600000+550000</f>
        <v>10335000</v>
      </c>
      <c r="AM20" s="4">
        <f>290100+135380+4461110+25788150+2425870</f>
        <v>33100610</v>
      </c>
      <c r="AN20" s="4">
        <v>0</v>
      </c>
      <c r="AO20" s="4">
        <v>3509000</v>
      </c>
      <c r="AP20" s="4">
        <f>812390+175640</f>
        <v>988030</v>
      </c>
      <c r="AQ20" s="4">
        <f>1641160</f>
        <v>1641160</v>
      </c>
      <c r="AR20" s="4">
        <v>0</v>
      </c>
      <c r="AS20" s="4">
        <v>0</v>
      </c>
      <c r="AT20" s="4">
        <v>0</v>
      </c>
      <c r="AU20" s="4">
        <v>0</v>
      </c>
      <c r="AV20" s="4">
        <v>240000</v>
      </c>
      <c r="AW20" s="4">
        <v>2969543</v>
      </c>
      <c r="AX20" s="4">
        <f>408658+94438</f>
        <v>503096</v>
      </c>
      <c r="AY20" s="4">
        <f>35210+41800+6000+250750+70000+160600+78770+8060</f>
        <v>651190</v>
      </c>
      <c r="AZ20" s="4">
        <f t="shared" si="27"/>
        <v>768517</v>
      </c>
      <c r="BA20" s="4">
        <f t="shared" si="11"/>
        <v>4463516</v>
      </c>
      <c r="BB20" s="4">
        <f t="shared" si="21"/>
        <v>3845611</v>
      </c>
      <c r="BC20" s="4">
        <v>-4500000</v>
      </c>
      <c r="BD20" s="6">
        <f>4652577+177033+199995+76615+160195</f>
        <v>5266415</v>
      </c>
      <c r="BE20" s="6">
        <v>0</v>
      </c>
      <c r="BF20" s="6">
        <v>0</v>
      </c>
      <c r="BG20" s="6">
        <v>0</v>
      </c>
      <c r="BH20" s="6">
        <f>1495+607</f>
        <v>2102</v>
      </c>
      <c r="BI20" s="6">
        <f>399000</f>
        <v>399000</v>
      </c>
      <c r="BJ20" s="6">
        <v>0</v>
      </c>
      <c r="BK20" s="6">
        <v>90616</v>
      </c>
      <c r="BL20" s="6">
        <v>0</v>
      </c>
      <c r="BM20" s="6">
        <v>0</v>
      </c>
      <c r="BN20" s="6">
        <f>3314000+87000+247000</f>
        <v>3648000</v>
      </c>
      <c r="BO20" s="6">
        <v>0</v>
      </c>
      <c r="BP20" s="6">
        <v>0</v>
      </c>
      <c r="BQ20" s="6">
        <f>400+36500</f>
        <v>36900</v>
      </c>
      <c r="BR20" s="5">
        <f>40000+189000+60000</f>
        <v>289000</v>
      </c>
    </row>
    <row r="21" spans="1:70">
      <c r="A21">
        <v>2024</v>
      </c>
      <c r="B21">
        <v>1</v>
      </c>
      <c r="C21">
        <v>23</v>
      </c>
      <c r="D21">
        <f>19</f>
        <v>19</v>
      </c>
      <c r="E21">
        <v>15</v>
      </c>
      <c r="F21">
        <v>41</v>
      </c>
      <c r="G21" s="4">
        <f t="shared" si="0"/>
        <v>77295073</v>
      </c>
      <c r="H21" s="4">
        <f t="shared" si="1"/>
        <v>87504297</v>
      </c>
      <c r="I21" s="4">
        <f t="shared" si="12"/>
        <v>-10209224</v>
      </c>
      <c r="J21" s="4">
        <f t="shared" si="22"/>
        <v>9539251</v>
      </c>
      <c r="K21" s="4">
        <f t="shared" si="2"/>
        <v>52805073</v>
      </c>
      <c r="L21" s="4">
        <f t="shared" si="3"/>
        <v>46639305</v>
      </c>
      <c r="M21" s="4">
        <f t="shared" si="13"/>
        <v>1800000</v>
      </c>
      <c r="N21" s="4">
        <f t="shared" si="4"/>
        <v>87504297</v>
      </c>
      <c r="O21" s="4">
        <f t="shared" si="14"/>
        <v>81927379</v>
      </c>
      <c r="P21" s="4">
        <f t="shared" si="5"/>
        <v>1721150</v>
      </c>
      <c r="Q21" s="4">
        <f t="shared" si="6"/>
        <v>-34699224</v>
      </c>
      <c r="R21" s="4">
        <f t="shared" si="7"/>
        <v>25000000</v>
      </c>
      <c r="S21" s="4">
        <f t="shared" si="8"/>
        <v>0</v>
      </c>
      <c r="T21" s="4">
        <f t="shared" si="23"/>
        <v>75171798</v>
      </c>
      <c r="U21" s="4">
        <f t="shared" si="9"/>
        <v>82901180</v>
      </c>
      <c r="V21" s="4">
        <f t="shared" si="16"/>
        <v>-7729382</v>
      </c>
      <c r="W21" s="4">
        <f t="shared" si="17"/>
        <v>8173482</v>
      </c>
      <c r="X21" s="4">
        <f t="shared" si="18"/>
        <v>50661798</v>
      </c>
      <c r="Y21" s="4">
        <f t="shared" si="10"/>
        <v>82901180</v>
      </c>
      <c r="Z21" s="4">
        <f t="shared" si="19"/>
        <v>-32239382</v>
      </c>
      <c r="AA21" s="4">
        <v>0</v>
      </c>
      <c r="AB21" s="4">
        <f>28882529+19979269</f>
        <v>48861798</v>
      </c>
      <c r="AC21" s="4">
        <f>1000000+4000000+17000000+1000000+1000000</f>
        <v>24000000</v>
      </c>
      <c r="AD21" s="4">
        <f>510000</f>
        <v>510000</v>
      </c>
      <c r="AE21" s="4">
        <v>0</v>
      </c>
      <c r="AF21" s="4">
        <f>-20000000-18000000+4000000-3000000-6000000-300000-9000000+20000000+18000000-100000-4000000+3000000+6000000+300000+9000000+100000</f>
        <v>0</v>
      </c>
      <c r="AG21" s="4">
        <v>1800000</v>
      </c>
      <c r="AH21" s="4">
        <f>1092510+1080000+289000+296258+1098000</f>
        <v>3855768</v>
      </c>
      <c r="AI21" s="4">
        <f>165000</f>
        <v>165000</v>
      </c>
      <c r="AJ21" s="4">
        <v>0</v>
      </c>
      <c r="AK21" s="4">
        <v>0</v>
      </c>
      <c r="AL21" s="4">
        <f>550000+1760000+1760000+550000+19635000+1650000+3520000+600000+550000+550000</f>
        <v>31125000</v>
      </c>
      <c r="AM21" s="4">
        <f>600000+90000+348120+8652840+25221280+600000+960000+120000</f>
        <v>36592240</v>
      </c>
      <c r="AN21" s="4">
        <v>0</v>
      </c>
      <c r="AO21" s="4">
        <v>0</v>
      </c>
      <c r="AP21" s="4">
        <f>466740+34000</f>
        <v>500740</v>
      </c>
      <c r="AQ21" s="4">
        <f>1722840+18030</f>
        <v>1740870</v>
      </c>
      <c r="AR21" s="4">
        <v>0</v>
      </c>
      <c r="AS21" s="4">
        <v>0</v>
      </c>
      <c r="AT21" s="4">
        <v>60000</v>
      </c>
      <c r="AU21" s="4">
        <f>1100000+2310000</f>
        <v>3410000</v>
      </c>
      <c r="AV21" s="4">
        <v>0</v>
      </c>
      <c r="AW21" s="4">
        <f>1740085+1544247</f>
        <v>3284332</v>
      </c>
      <c r="AX21" s="4">
        <f>408658+97422</f>
        <v>506080</v>
      </c>
      <c r="AY21" s="4">
        <f>35210+38753+3047+420000+250750+1000+1000+55500+160600+28050+42740+231000+335500+58000</f>
        <v>1661150</v>
      </c>
      <c r="AZ21" s="4">
        <f t="shared" ref="AZ21" si="28">SUM(BC21:BH21)</f>
        <v>2123275</v>
      </c>
      <c r="BA21" s="4">
        <f t="shared" si="11"/>
        <v>4603117</v>
      </c>
      <c r="BB21" s="4">
        <f t="shared" si="21"/>
        <v>1365769</v>
      </c>
      <c r="BC21" s="4">
        <f>1000000+2000000+1000000-3000000</f>
        <v>1000000</v>
      </c>
      <c r="BD21" s="4">
        <f>471215+897390+132335+132335</f>
        <v>1633275</v>
      </c>
      <c r="BE21" s="4">
        <v>0</v>
      </c>
      <c r="BF21" s="4">
        <f>-510000</f>
        <v>-510000</v>
      </c>
      <c r="BG21" s="4">
        <v>0</v>
      </c>
      <c r="BH21" s="4">
        <v>0</v>
      </c>
      <c r="BI21" s="4">
        <v>0</v>
      </c>
      <c r="BJ21" s="4">
        <v>0</v>
      </c>
      <c r="BK21" s="4">
        <f>94025</f>
        <v>94025</v>
      </c>
      <c r="BL21" s="4">
        <v>0</v>
      </c>
      <c r="BM21" s="4">
        <v>0</v>
      </c>
      <c r="BN21" s="4">
        <f>199995+468000+93480+50000+1790000+193500+462000+315000+637000+234000</f>
        <v>4442975</v>
      </c>
      <c r="BO21" s="4">
        <v>0</v>
      </c>
      <c r="BP21" s="4">
        <v>0</v>
      </c>
      <c r="BQ21" s="4">
        <v>66117</v>
      </c>
      <c r="BR21" s="4">
        <v>0</v>
      </c>
    </row>
    <row r="22" spans="1:70">
      <c r="A22">
        <v>2024</v>
      </c>
      <c r="B22">
        <v>2</v>
      </c>
      <c r="C22">
        <v>25</v>
      </c>
      <c r="D22">
        <f>D21+11</f>
        <v>30</v>
      </c>
      <c r="E22">
        <v>17</v>
      </c>
      <c r="F22">
        <v>48</v>
      </c>
      <c r="G22" s="4">
        <f t="shared" si="0"/>
        <v>90307249</v>
      </c>
      <c r="H22" s="4">
        <f t="shared" si="1"/>
        <v>81843053</v>
      </c>
      <c r="I22" s="4">
        <f t="shared" si="12"/>
        <v>8464196</v>
      </c>
      <c r="J22" s="4">
        <f t="shared" si="22"/>
        <v>18003447</v>
      </c>
      <c r="K22" s="4">
        <f t="shared" si="2"/>
        <v>62107249</v>
      </c>
      <c r="L22" s="4">
        <f t="shared" si="3"/>
        <v>58389186</v>
      </c>
      <c r="M22" s="4">
        <f t="shared" si="13"/>
        <v>0</v>
      </c>
      <c r="N22" s="4">
        <f t="shared" si="4"/>
        <v>81843053</v>
      </c>
      <c r="O22" s="4">
        <f t="shared" si="14"/>
        <v>72274870</v>
      </c>
      <c r="P22" s="4">
        <f t="shared" si="5"/>
        <v>5850120</v>
      </c>
      <c r="Q22" s="4">
        <f t="shared" si="6"/>
        <v>-19735804</v>
      </c>
      <c r="R22" s="4">
        <f t="shared" si="7"/>
        <v>28200000</v>
      </c>
      <c r="S22" s="4">
        <f t="shared" si="8"/>
        <v>0</v>
      </c>
      <c r="T22" s="4">
        <f t="shared" si="23"/>
        <v>76773746</v>
      </c>
      <c r="U22" s="4">
        <f t="shared" si="9"/>
        <v>72535865</v>
      </c>
      <c r="V22" s="4">
        <f t="shared" si="16"/>
        <v>4237881</v>
      </c>
      <c r="W22" s="4">
        <f t="shared" si="17"/>
        <v>12411363</v>
      </c>
      <c r="X22" s="4">
        <f t="shared" si="18"/>
        <v>53073746</v>
      </c>
      <c r="Y22" s="4">
        <f t="shared" si="10"/>
        <v>72535865</v>
      </c>
      <c r="Z22" s="4">
        <f t="shared" si="19"/>
        <v>-19462119</v>
      </c>
      <c r="AA22" s="4">
        <v>0</v>
      </c>
      <c r="AB22" s="4">
        <f>53073746</f>
        <v>53073746</v>
      </c>
      <c r="AC22" s="4">
        <f>10000000+2000000+1000000+600000+100000+5000000+5000000</f>
        <v>23700000</v>
      </c>
      <c r="AD22" s="4">
        <v>0</v>
      </c>
      <c r="AE22" s="4">
        <v>0</v>
      </c>
      <c r="AF22" s="4">
        <f>-20000000-6000000-10000000-800000-1000000-200000-1000000+20000000+6000000+10000000+800000+1000000+200000+1000000-100000+100000</f>
        <v>0</v>
      </c>
      <c r="AG22" s="4">
        <v>0</v>
      </c>
      <c r="AH22" s="4">
        <f>1098000+597000+290540+1098000</f>
        <v>3083540</v>
      </c>
      <c r="AI22" s="4">
        <f>1070000+165000+100000</f>
        <v>1335000</v>
      </c>
      <c r="AJ22" s="4">
        <v>0</v>
      </c>
      <c r="AK22" s="4">
        <v>0</v>
      </c>
      <c r="AL22" s="4">
        <f>1100000+1760000+1760000+1650000+3520000+550000</f>
        <v>10340000</v>
      </c>
      <c r="AM22" s="4">
        <f>377130+839050+10515138+467200+3027980+11526890+8088320+5448200+1160400</f>
        <v>41450308</v>
      </c>
      <c r="AN22" s="4">
        <f>100000</f>
        <v>100000</v>
      </c>
      <c r="AO22" s="4">
        <v>5201900</v>
      </c>
      <c r="AP22" s="4">
        <f>669260+15000</f>
        <v>684260</v>
      </c>
      <c r="AQ22" s="4">
        <f>53740+277000</f>
        <v>330740</v>
      </c>
      <c r="AR22" s="4">
        <f>4055000+612000+345000</f>
        <v>5012000</v>
      </c>
      <c r="AS22" s="4">
        <v>0</v>
      </c>
      <c r="AT22" s="4">
        <v>0</v>
      </c>
      <c r="AU22" s="4">
        <v>0</v>
      </c>
      <c r="AV22" s="4">
        <v>0</v>
      </c>
      <c r="AW22" s="4">
        <f>3754020</f>
        <v>3754020</v>
      </c>
      <c r="AX22" s="4">
        <f>408658+97319</f>
        <v>505977</v>
      </c>
      <c r="AY22" s="4">
        <f>35210+110560+60000+250750+160600+99000+22000</f>
        <v>738120</v>
      </c>
      <c r="AZ22" s="4">
        <f t="shared" ref="AZ22:AZ33" si="29">SUM(BC22:BH22)</f>
        <v>13533503</v>
      </c>
      <c r="BA22" s="4">
        <f t="shared" si="11"/>
        <v>9307188</v>
      </c>
      <c r="BB22" s="4">
        <f t="shared" si="21"/>
        <v>5592084</v>
      </c>
      <c r="BC22" s="4">
        <f>3000000+1500000</f>
        <v>4500000</v>
      </c>
      <c r="BD22" s="4">
        <f>792834+87780+1518115+6634774</f>
        <v>9033503</v>
      </c>
      <c r="BE22" s="4">
        <v>0</v>
      </c>
      <c r="BF22" s="4">
        <v>0</v>
      </c>
      <c r="BG22" s="4">
        <v>0</v>
      </c>
      <c r="BH22" s="4">
        <v>0</v>
      </c>
      <c r="BI22" s="4">
        <f>213000+200498+53865+167160</f>
        <v>634523</v>
      </c>
      <c r="BJ22" s="4">
        <v>0</v>
      </c>
      <c r="BK22" s="4">
        <f>95075</f>
        <v>95075</v>
      </c>
      <c r="BL22" s="4">
        <v>0</v>
      </c>
      <c r="BM22" s="4">
        <v>0</v>
      </c>
      <c r="BN22" s="4">
        <f>1590000+294750+345000+66000+216000+442000+701000+2814840+1427000+676000</f>
        <v>8572590</v>
      </c>
      <c r="BO22" s="4">
        <v>0</v>
      </c>
      <c r="BP22" s="4">
        <v>0</v>
      </c>
      <c r="BQ22" s="4">
        <v>5000</v>
      </c>
      <c r="BR22" s="4">
        <v>0</v>
      </c>
    </row>
    <row r="23" spans="1:70">
      <c r="A23">
        <v>2024</v>
      </c>
      <c r="B23">
        <v>3</v>
      </c>
      <c r="C23">
        <v>40</v>
      </c>
      <c r="D23">
        <v>79</v>
      </c>
      <c r="E23">
        <v>37</v>
      </c>
      <c r="F23">
        <v>56</v>
      </c>
      <c r="G23" s="4">
        <f t="shared" si="0"/>
        <v>107988610</v>
      </c>
      <c r="H23" s="4">
        <f t="shared" si="1"/>
        <v>83264731</v>
      </c>
      <c r="I23" s="4">
        <f t="shared" si="12"/>
        <v>24723879</v>
      </c>
      <c r="J23" s="4">
        <f t="shared" si="22"/>
        <v>42727326</v>
      </c>
      <c r="K23" s="4">
        <f t="shared" si="2"/>
        <v>116888610</v>
      </c>
      <c r="L23" s="4">
        <f t="shared" si="3"/>
        <v>114431691</v>
      </c>
      <c r="M23" s="4">
        <f t="shared" si="13"/>
        <v>3719</v>
      </c>
      <c r="N23" s="4">
        <f t="shared" si="4"/>
        <v>83264731</v>
      </c>
      <c r="O23" s="4">
        <f t="shared" si="14"/>
        <v>92066131</v>
      </c>
      <c r="P23" s="4">
        <f t="shared" si="5"/>
        <v>-11254600</v>
      </c>
      <c r="Q23" s="4">
        <f t="shared" si="6"/>
        <v>33623879</v>
      </c>
      <c r="R23" s="4">
        <f t="shared" si="7"/>
        <v>-8900000</v>
      </c>
      <c r="S23" s="4">
        <f t="shared" si="8"/>
        <v>0</v>
      </c>
      <c r="T23" s="4">
        <f t="shared" si="23"/>
        <v>95711016</v>
      </c>
      <c r="U23" s="4">
        <f t="shared" si="9"/>
        <v>72045005</v>
      </c>
      <c r="V23" s="4">
        <f t="shared" si="16"/>
        <v>23666011</v>
      </c>
      <c r="W23" s="4">
        <f t="shared" si="17"/>
        <v>36077374</v>
      </c>
      <c r="X23" s="4">
        <f t="shared" si="18"/>
        <v>95711016</v>
      </c>
      <c r="Y23" s="4">
        <f t="shared" si="10"/>
        <v>72045005</v>
      </c>
      <c r="Z23" s="4">
        <f t="shared" si="19"/>
        <v>23666011</v>
      </c>
      <c r="AA23" s="4">
        <v>0</v>
      </c>
      <c r="AB23" s="4">
        <f>23231772+40671780+31807464</f>
        <v>95711016</v>
      </c>
      <c r="AC23" s="4">
        <v>0</v>
      </c>
      <c r="AD23" s="4">
        <v>0</v>
      </c>
      <c r="AE23" s="4">
        <v>0</v>
      </c>
      <c r="AF23" s="4">
        <f>-12000000-40000000-20000000-20000000+12000000+40000000+20000000+20000000-100000+100000</f>
        <v>0</v>
      </c>
      <c r="AG23" s="4">
        <v>0</v>
      </c>
      <c r="AH23" s="4">
        <f>300000+40000+147000+168000+147000</f>
        <v>802000</v>
      </c>
      <c r="AI23" s="4">
        <f>165000+1600000</f>
        <v>1765000</v>
      </c>
      <c r="AJ23" s="4">
        <v>0</v>
      </c>
      <c r="AK23" s="4">
        <f>-5000000-10000000</f>
        <v>-15000000</v>
      </c>
      <c r="AL23" s="4">
        <f>550000+600000+550000+1760000+1760000+5610000+330000+1650000+3520000+550000+600000+550000+550000</f>
        <v>18580000</v>
      </c>
      <c r="AM23" s="4">
        <f>480000+600000+5695280+15463850+290100+320110+261100+692530+21240+338450+11328860+13059160</f>
        <v>48550680</v>
      </c>
      <c r="AN23" s="4">
        <v>2721400</v>
      </c>
      <c r="AO23" s="4">
        <v>4514400</v>
      </c>
      <c r="AP23" s="4">
        <v>0</v>
      </c>
      <c r="AQ23" s="4">
        <f>-266760+2037000+1903000</f>
        <v>3673240</v>
      </c>
      <c r="AR23" s="4">
        <f>116000+41000</f>
        <v>157000</v>
      </c>
      <c r="AS23" s="4">
        <v>0</v>
      </c>
      <c r="AT23" s="4">
        <v>0</v>
      </c>
      <c r="AU23" s="4">
        <f>907500</f>
        <v>907500</v>
      </c>
      <c r="AV23" s="4">
        <f>111100</f>
        <v>111100</v>
      </c>
      <c r="AW23" s="4">
        <f>3899552</f>
        <v>3899552</v>
      </c>
      <c r="AX23" s="4">
        <f>408658+87475</f>
        <v>496133</v>
      </c>
      <c r="AY23" s="4">
        <f>35210+22000+41800+22000+250750+110000+121000+160600+81640+22000</f>
        <v>867000</v>
      </c>
      <c r="AZ23" s="4">
        <f>SUM(BC23:BH23)</f>
        <v>12277594</v>
      </c>
      <c r="BA23" s="4">
        <f t="shared" si="11"/>
        <v>11219726</v>
      </c>
      <c r="BB23" s="4">
        <f t="shared" si="21"/>
        <v>6649952</v>
      </c>
      <c r="BC23" s="4">
        <f>-5000000-3900000</f>
        <v>-8900000</v>
      </c>
      <c r="BD23" s="4">
        <f>17764126+3409749</f>
        <v>21173875</v>
      </c>
      <c r="BE23" s="4">
        <v>0</v>
      </c>
      <c r="BF23" s="4">
        <v>0</v>
      </c>
      <c r="BG23" s="4">
        <v>0</v>
      </c>
      <c r="BH23" s="4">
        <f>468+3251</f>
        <v>3719</v>
      </c>
      <c r="BI23" s="4">
        <f>1340000+292000+19200</f>
        <v>1651200</v>
      </c>
      <c r="BJ23" s="4">
        <v>0</v>
      </c>
      <c r="BK23" s="4">
        <f>88941</f>
        <v>88941</v>
      </c>
      <c r="BL23" s="4">
        <v>0</v>
      </c>
      <c r="BM23" s="4">
        <v>0</v>
      </c>
      <c r="BN23" s="4">
        <f>130000+2020000+460560+120000+30000+3039025+106000+234000+1093000+225000+2022000</f>
        <v>9479585</v>
      </c>
      <c r="BO23" s="4">
        <v>0</v>
      </c>
      <c r="BP23" s="4">
        <v>0</v>
      </c>
      <c r="BQ23" s="4">
        <v>0</v>
      </c>
      <c r="BR23" s="4">
        <v>0</v>
      </c>
    </row>
    <row r="24" spans="1:70">
      <c r="A24">
        <v>2024</v>
      </c>
      <c r="B24">
        <v>4</v>
      </c>
      <c r="C24">
        <v>40</v>
      </c>
      <c r="D24">
        <v>79</v>
      </c>
      <c r="E24">
        <v>34</v>
      </c>
      <c r="F24">
        <v>51</v>
      </c>
      <c r="G24" s="4">
        <f t="shared" si="0"/>
        <v>143131013</v>
      </c>
      <c r="H24" s="4">
        <f t="shared" si="1"/>
        <v>94646934</v>
      </c>
      <c r="I24" s="4">
        <f t="shared" si="12"/>
        <v>48484079</v>
      </c>
      <c r="J24" s="4">
        <f t="shared" si="22"/>
        <v>91211405</v>
      </c>
      <c r="K24" s="4">
        <f t="shared" si="2"/>
        <v>91627228</v>
      </c>
      <c r="L24" s="4">
        <f t="shared" si="3"/>
        <v>89611508</v>
      </c>
      <c r="M24" s="4">
        <f t="shared" si="13"/>
        <v>846020</v>
      </c>
      <c r="N24" s="4">
        <f t="shared" si="4"/>
        <v>94646934</v>
      </c>
      <c r="O24" s="4">
        <f t="shared" si="14"/>
        <v>84467764</v>
      </c>
      <c r="P24" s="4">
        <f t="shared" si="5"/>
        <v>9008970</v>
      </c>
      <c r="Q24" s="4">
        <f t="shared" si="6"/>
        <v>-3019706</v>
      </c>
      <c r="R24" s="4">
        <f t="shared" si="7"/>
        <v>-23496215</v>
      </c>
      <c r="S24" s="4">
        <f t="shared" si="8"/>
        <v>75000000</v>
      </c>
      <c r="T24" s="4">
        <f t="shared" si="23"/>
        <v>136757115</v>
      </c>
      <c r="U24" s="4">
        <f t="shared" si="9"/>
        <v>85997464</v>
      </c>
      <c r="V24" s="4">
        <f t="shared" si="16"/>
        <v>50759651</v>
      </c>
      <c r="W24" s="4">
        <f t="shared" si="17"/>
        <v>86837025</v>
      </c>
      <c r="X24" s="4">
        <f t="shared" si="18"/>
        <v>84457115</v>
      </c>
      <c r="Y24" s="4">
        <f t="shared" si="10"/>
        <v>85997464</v>
      </c>
      <c r="Z24" s="4">
        <f t="shared" si="19"/>
        <v>-1540349</v>
      </c>
      <c r="AA24" s="4">
        <v>0</v>
      </c>
      <c r="AB24" s="4">
        <f>71833732+12611833</f>
        <v>84445565</v>
      </c>
      <c r="AC24" s="4">
        <f>-47700000</f>
        <v>-47700000</v>
      </c>
      <c r="AD24" s="4">
        <v>0</v>
      </c>
      <c r="AE24" s="4">
        <v>100000000</v>
      </c>
      <c r="AF24" s="4">
        <f>-50000000-10000000-20000000+50000000+10000000+47700000+20000000-100000+100000-47700500</f>
        <v>-500</v>
      </c>
      <c r="AG24" s="4">
        <v>12050</v>
      </c>
      <c r="AH24" s="4">
        <f>440000+112000+168000</f>
        <v>720000</v>
      </c>
      <c r="AI24" s="4">
        <f>165000+100000+233200</f>
        <v>498200</v>
      </c>
      <c r="AJ24" s="4">
        <v>0</v>
      </c>
      <c r="AK24" s="4">
        <f>300000+2700000</f>
        <v>3000000</v>
      </c>
      <c r="AL24" s="4">
        <f>1760000*2+1650000+3520000+1100000+550000+600000+550000</f>
        <v>11490000</v>
      </c>
      <c r="AM24" s="4">
        <f>-338450+700000+640000+200000+386800+37691450+6448820+5159840+58020+200000</f>
        <v>51146480</v>
      </c>
      <c r="AN24" s="4">
        <v>0</v>
      </c>
      <c r="AO24" s="4">
        <v>6594500</v>
      </c>
      <c r="AP24" s="4">
        <f>509450</f>
        <v>509450</v>
      </c>
      <c r="AQ24" s="4">
        <f>123490-138230+1861230</f>
        <v>1846490</v>
      </c>
      <c r="AR24" s="4">
        <f>3245000+115000</f>
        <v>3360000</v>
      </c>
      <c r="AS24" s="4">
        <v>0</v>
      </c>
      <c r="AT24" s="4">
        <v>0</v>
      </c>
      <c r="AU24" s="4">
        <v>1100000</v>
      </c>
      <c r="AV24" s="4">
        <f>242100+14591</f>
        <v>256691</v>
      </c>
      <c r="AW24" s="4">
        <f>2394427</f>
        <v>2394427</v>
      </c>
      <c r="AX24" s="4">
        <f>408658+93508</f>
        <v>502166</v>
      </c>
      <c r="AY24" s="4">
        <f>35210+85800+347500+250750+1099530+353170+100+22000+385000</f>
        <v>2579060</v>
      </c>
      <c r="AZ24" s="4">
        <f t="shared" si="29"/>
        <v>6373898</v>
      </c>
      <c r="BA24" s="4">
        <f t="shared" si="11"/>
        <v>8649470</v>
      </c>
      <c r="BB24" s="4">
        <f t="shared" si="21"/>
        <v>4374380</v>
      </c>
      <c r="BC24" s="4">
        <f>24003785+200000</f>
        <v>24203785</v>
      </c>
      <c r="BD24" s="4">
        <f>525859+425005+4271935+1113344</f>
        <v>6336143</v>
      </c>
      <c r="BE24" s="4">
        <f>-25000000</f>
        <v>-25000000</v>
      </c>
      <c r="BF24" s="4">
        <v>0</v>
      </c>
      <c r="BG24" s="4">
        <v>0</v>
      </c>
      <c r="BH24" s="4">
        <f>60000+773970</f>
        <v>833970</v>
      </c>
      <c r="BI24" s="4">
        <f>57200+393000</f>
        <v>450200</v>
      </c>
      <c r="BJ24" s="4">
        <v>0</v>
      </c>
      <c r="BK24" s="4">
        <v>0</v>
      </c>
      <c r="BL24" s="6">
        <v>0</v>
      </c>
      <c r="BM24" s="4">
        <v>0</v>
      </c>
      <c r="BN24" s="4">
        <f>468000+196880+999000+78000+477000+732000+264600+550000+288000+126000+1693250+150000+1822000-240000+285300</f>
        <v>7890030</v>
      </c>
      <c r="BO24" s="4">
        <v>0</v>
      </c>
      <c r="BP24" s="4">
        <v>0</v>
      </c>
      <c r="BQ24" s="4">
        <f>239330</f>
        <v>239330</v>
      </c>
      <c r="BR24" s="4">
        <v>69910</v>
      </c>
    </row>
    <row r="25" spans="1:70">
      <c r="A25">
        <v>2024</v>
      </c>
      <c r="B25">
        <v>5</v>
      </c>
      <c r="C25">
        <v>40</v>
      </c>
      <c r="D25">
        <v>79</v>
      </c>
      <c r="E25">
        <v>28</v>
      </c>
      <c r="F25">
        <v>43</v>
      </c>
      <c r="G25" s="4">
        <f t="shared" si="0"/>
        <v>85181214</v>
      </c>
      <c r="H25" s="4">
        <f t="shared" si="1"/>
        <v>86651703</v>
      </c>
      <c r="I25" s="4">
        <f t="shared" si="12"/>
        <v>-1470489</v>
      </c>
      <c r="J25" s="4">
        <f t="shared" si="22"/>
        <v>89740916</v>
      </c>
      <c r="K25" s="4">
        <f t="shared" si="2"/>
        <v>97182008</v>
      </c>
      <c r="L25" s="4">
        <f t="shared" si="3"/>
        <v>93236813</v>
      </c>
      <c r="M25" s="4">
        <f t="shared" si="13"/>
        <v>3600000</v>
      </c>
      <c r="N25" s="4">
        <f t="shared" si="4"/>
        <v>86651703</v>
      </c>
      <c r="O25" s="4">
        <f t="shared" si="14"/>
        <v>85763408</v>
      </c>
      <c r="P25" s="4">
        <f t="shared" si="5"/>
        <v>541600</v>
      </c>
      <c r="Q25" s="4">
        <f t="shared" si="6"/>
        <v>10530305</v>
      </c>
      <c r="R25" s="4">
        <f t="shared" si="7"/>
        <v>3000000</v>
      </c>
      <c r="S25" s="4">
        <f t="shared" si="8"/>
        <v>-15000794</v>
      </c>
      <c r="T25" s="4">
        <f t="shared" si="23"/>
        <v>77498225</v>
      </c>
      <c r="U25" s="4">
        <f t="shared" si="9"/>
        <v>83931448</v>
      </c>
      <c r="V25" s="4">
        <f t="shared" si="16"/>
        <v>-6433223</v>
      </c>
      <c r="W25" s="4">
        <f t="shared" si="17"/>
        <v>80403802</v>
      </c>
      <c r="X25" s="4">
        <f t="shared" si="18"/>
        <v>88399019</v>
      </c>
      <c r="Y25" s="4">
        <f t="shared" si="10"/>
        <v>83931448</v>
      </c>
      <c r="Z25" s="4">
        <f t="shared" si="19"/>
        <v>4467571</v>
      </c>
      <c r="AA25" s="4">
        <v>0</v>
      </c>
      <c r="AB25" s="4">
        <f>84800519</f>
        <v>84800519</v>
      </c>
      <c r="AC25" s="4">
        <f>4100000</f>
        <v>4100000</v>
      </c>
      <c r="AD25" s="4">
        <v>0</v>
      </c>
      <c r="AE25" s="4">
        <f>-15000794</f>
        <v>-15000794</v>
      </c>
      <c r="AF25" s="4">
        <f>-30000000-18000000-300000-1900000-50000000+30000000+18000000+5000000+6000000+300000+1900000-50000+15000000+50000000+50000+2000000-5000500-6000500-15000500-2000000</f>
        <v>-1500</v>
      </c>
      <c r="AG25" s="4">
        <v>3600000</v>
      </c>
      <c r="AH25" s="4">
        <v>0</v>
      </c>
      <c r="AI25" s="4">
        <f>165000+100000</f>
        <v>265000</v>
      </c>
      <c r="AJ25" s="4">
        <v>0</v>
      </c>
      <c r="AK25" s="4">
        <v>0</v>
      </c>
      <c r="AL25" s="4">
        <f>550000+550000+1760000+1760000+6199690+1705000+1705000+1100000+1650000+3520000+550000+550000+550000+550000+600000</f>
        <v>23299690</v>
      </c>
      <c r="AM25" s="4">
        <f>700000+640000+483500+3031180+46441270+180000+240000+2417500-530000+250000+700000+640000+386800</f>
        <v>55580250</v>
      </c>
      <c r="AN25" s="4">
        <v>7502730</v>
      </c>
      <c r="AO25" s="4">
        <v>0</v>
      </c>
      <c r="AP25" s="4">
        <f>1308540</f>
        <v>1308540</v>
      </c>
      <c r="AQ25" s="4">
        <v>0</v>
      </c>
      <c r="AR25" s="4">
        <f>180000</f>
        <v>180000</v>
      </c>
      <c r="AS25" s="4">
        <v>0</v>
      </c>
      <c r="AT25" s="4">
        <f>-1000000-2000000-2000000+19300-2000000-800000</f>
        <v>-7780700</v>
      </c>
      <c r="AU25" s="4">
        <v>0</v>
      </c>
      <c r="AV25" s="4">
        <v>0</v>
      </c>
      <c r="AW25" s="4">
        <f>2153674</f>
        <v>2153674</v>
      </c>
      <c r="AX25" s="4">
        <f>408658+90491+283545</f>
        <v>782694</v>
      </c>
      <c r="AY25" s="4">
        <f>35210+85800+250750+160600+16450+61660+22000+3100+4000</f>
        <v>639570</v>
      </c>
      <c r="AZ25" s="4">
        <f t="shared" si="29"/>
        <v>7682989</v>
      </c>
      <c r="BA25" s="4">
        <f t="shared" si="11"/>
        <v>2720255</v>
      </c>
      <c r="BB25" s="4">
        <f t="shared" si="21"/>
        <v>9337114</v>
      </c>
      <c r="BC25" s="4">
        <f>-1100000</f>
        <v>-1100000</v>
      </c>
      <c r="BD25" s="4">
        <f>7973052+809937</f>
        <v>8782989</v>
      </c>
      <c r="BE25" s="4">
        <v>0</v>
      </c>
      <c r="BF25" s="4">
        <v>0</v>
      </c>
      <c r="BG25" s="4">
        <v>0</v>
      </c>
      <c r="BH25" s="4">
        <v>0</v>
      </c>
      <c r="BI25" s="4">
        <f>173130+173565</f>
        <v>346695</v>
      </c>
      <c r="BJ25" s="4">
        <v>0</v>
      </c>
      <c r="BK25" s="4">
        <v>0</v>
      </c>
      <c r="BL25" s="4">
        <v>0</v>
      </c>
      <c r="BM25" s="4">
        <v>0</v>
      </c>
      <c r="BN25" s="4">
        <f>136550+35000+536000+520000+345800+185250+400000+164960</f>
        <v>2323560</v>
      </c>
      <c r="BO25" s="4">
        <v>0</v>
      </c>
      <c r="BP25" s="4">
        <v>0</v>
      </c>
      <c r="BQ25" s="4">
        <f>50000</f>
        <v>50000</v>
      </c>
      <c r="BR25" s="4">
        <v>0</v>
      </c>
    </row>
    <row r="26" spans="1:70">
      <c r="A26">
        <v>2024</v>
      </c>
      <c r="B26">
        <v>6</v>
      </c>
      <c r="C26">
        <v>41</v>
      </c>
      <c r="D26">
        <v>70</v>
      </c>
      <c r="E26">
        <v>32</v>
      </c>
      <c r="F26">
        <v>43</v>
      </c>
      <c r="G26" s="4">
        <f t="shared" si="0"/>
        <v>75568116</v>
      </c>
      <c r="H26" s="4">
        <f t="shared" si="1"/>
        <v>108786857</v>
      </c>
      <c r="I26" s="4">
        <f t="shared" si="12"/>
        <v>-33218741</v>
      </c>
      <c r="J26" s="4">
        <f t="shared" si="22"/>
        <v>56522175</v>
      </c>
      <c r="K26" s="4">
        <f t="shared" si="2"/>
        <v>75568116</v>
      </c>
      <c r="L26" s="4">
        <f t="shared" si="3"/>
        <v>75482955</v>
      </c>
      <c r="M26" s="4">
        <f t="shared" si="13"/>
        <v>17961</v>
      </c>
      <c r="N26" s="4">
        <f t="shared" si="4"/>
        <v>108786857</v>
      </c>
      <c r="O26" s="4">
        <f t="shared" si="14"/>
        <v>95999217</v>
      </c>
      <c r="P26" s="4">
        <f t="shared" si="5"/>
        <v>12720440</v>
      </c>
      <c r="Q26" s="4">
        <f t="shared" si="6"/>
        <v>-33218741</v>
      </c>
      <c r="R26" s="4">
        <f t="shared" si="7"/>
        <v>0</v>
      </c>
      <c r="S26" s="4">
        <f t="shared" si="8"/>
        <v>0</v>
      </c>
      <c r="T26" s="4">
        <f t="shared" si="23"/>
        <v>69179924</v>
      </c>
      <c r="U26" s="4">
        <f t="shared" si="9"/>
        <v>101448671</v>
      </c>
      <c r="V26" s="4">
        <f t="shared" si="16"/>
        <v>-32268747</v>
      </c>
      <c r="W26" s="4">
        <f t="shared" si="17"/>
        <v>48135055</v>
      </c>
      <c r="X26" s="4">
        <f t="shared" si="18"/>
        <v>69179924</v>
      </c>
      <c r="Y26" s="4">
        <f t="shared" si="10"/>
        <v>101448671</v>
      </c>
      <c r="Z26" s="4">
        <f t="shared" si="19"/>
        <v>-32268747</v>
      </c>
      <c r="AA26" s="4">
        <v>0</v>
      </c>
      <c r="AB26" s="4">
        <f>35545641+33616536</f>
        <v>69162177</v>
      </c>
      <c r="AC26" s="4">
        <v>0</v>
      </c>
      <c r="AD26" s="4">
        <v>0</v>
      </c>
      <c r="AE26" s="4">
        <v>0</v>
      </c>
      <c r="AF26" s="4">
        <f>-30000000-20000000-20000000+30000000+20000000+20000000-200000+200000</f>
        <v>0</v>
      </c>
      <c r="AG26" s="4">
        <f>6313+5014+27+2+84+6307</f>
        <v>17747</v>
      </c>
      <c r="AH26" s="4">
        <v>0</v>
      </c>
      <c r="AI26" s="4">
        <f>165000</f>
        <v>165000</v>
      </c>
      <c r="AJ26" s="4">
        <v>10500000</v>
      </c>
      <c r="AK26" s="4">
        <v>0</v>
      </c>
      <c r="AL26" s="4">
        <f>1705000+1760000*2+1650000+3520000+1100000+550000*4+600000</f>
        <v>14295000</v>
      </c>
      <c r="AM26" s="4">
        <f>180000+32044080+16505670+6006860+1861990+200000+700000+640000</f>
        <v>58138600</v>
      </c>
      <c r="AN26" s="4">
        <v>0</v>
      </c>
      <c r="AO26" s="4">
        <f>2862200+6545000</f>
        <v>9407200</v>
      </c>
      <c r="AP26" s="4">
        <f>81520</f>
        <v>81520</v>
      </c>
      <c r="AQ26" s="4">
        <f>1606380+1722550+55200</f>
        <v>3384130</v>
      </c>
      <c r="AR26" s="4">
        <f>-33000+37000+90000+90000+37000</f>
        <v>221000</v>
      </c>
      <c r="AS26" s="4">
        <f>600000</f>
        <v>600000</v>
      </c>
      <c r="AT26" s="4">
        <v>0</v>
      </c>
      <c r="AU26" s="4">
        <v>1100000</v>
      </c>
      <c r="AV26" s="4">
        <v>0</v>
      </c>
      <c r="AW26" s="4">
        <f>1772670</f>
        <v>1772670</v>
      </c>
      <c r="AX26" s="4">
        <f>29508+61967+292636</f>
        <v>384111</v>
      </c>
      <c r="AY26" s="4">
        <f>4400+35210+22000+41800+22000+770000+4400+250750+5000+160600+14000+47280+22000</f>
        <v>1399440</v>
      </c>
      <c r="AZ26" s="4">
        <f t="shared" si="29"/>
        <v>6388192</v>
      </c>
      <c r="BA26" s="4">
        <f t="shared" si="11"/>
        <v>7338186</v>
      </c>
      <c r="BB26" s="4">
        <f t="shared" si="21"/>
        <v>8387120</v>
      </c>
      <c r="BC26" s="4">
        <v>0</v>
      </c>
      <c r="BD26" s="4">
        <f>5912705+254979+220294</f>
        <v>6387978</v>
      </c>
      <c r="BE26" s="4">
        <v>0</v>
      </c>
      <c r="BF26" s="4">
        <v>0</v>
      </c>
      <c r="BG26" s="4">
        <v>0</v>
      </c>
      <c r="BH26" s="4">
        <v>214</v>
      </c>
      <c r="BI26" s="4">
        <f>67200</f>
        <v>67200</v>
      </c>
      <c r="BJ26" s="4">
        <v>0</v>
      </c>
      <c r="BK26" s="4">
        <v>0</v>
      </c>
      <c r="BL26" s="4">
        <v>0</v>
      </c>
      <c r="BM26" s="4">
        <v>0</v>
      </c>
      <c r="BN26" s="4">
        <f>985500+614000+35000+1753000+1885000+770000+173600+160500+78000+90000+78000+117040+494000</f>
        <v>7233640</v>
      </c>
      <c r="BO26" s="4">
        <v>0</v>
      </c>
      <c r="BP26" s="4">
        <v>0</v>
      </c>
      <c r="BQ26" s="4">
        <f>37346</f>
        <v>37346</v>
      </c>
      <c r="BR26" s="4">
        <v>0</v>
      </c>
    </row>
    <row r="27" spans="1:70">
      <c r="A27">
        <v>2024</v>
      </c>
      <c r="B27">
        <v>7</v>
      </c>
      <c r="C27">
        <v>39</v>
      </c>
      <c r="D27">
        <v>72</v>
      </c>
      <c r="E27">
        <v>29</v>
      </c>
      <c r="F27">
        <v>46</v>
      </c>
      <c r="G27" s="4">
        <f t="shared" si="0"/>
        <v>65811388</v>
      </c>
      <c r="H27" s="4">
        <f t="shared" si="1"/>
        <v>102567167</v>
      </c>
      <c r="I27" s="4">
        <f t="shared" si="12"/>
        <v>-36755779</v>
      </c>
      <c r="J27" s="4">
        <f t="shared" si="22"/>
        <v>19766396</v>
      </c>
      <c r="K27" s="4">
        <f t="shared" si="2"/>
        <v>65811388</v>
      </c>
      <c r="L27" s="4">
        <f t="shared" si="3"/>
        <v>65523162</v>
      </c>
      <c r="M27" s="4">
        <f t="shared" si="13"/>
        <v>80151</v>
      </c>
      <c r="N27" s="4">
        <f t="shared" si="4"/>
        <v>102567167</v>
      </c>
      <c r="O27" s="4">
        <f t="shared" si="14"/>
        <v>96013490</v>
      </c>
      <c r="P27" s="4">
        <f t="shared" si="5"/>
        <v>6344602</v>
      </c>
      <c r="Q27" s="4">
        <f t="shared" si="6"/>
        <v>-36755779</v>
      </c>
      <c r="R27" s="4">
        <f t="shared" si="7"/>
        <v>0</v>
      </c>
      <c r="S27" s="4">
        <f t="shared" si="8"/>
        <v>0</v>
      </c>
      <c r="T27" s="4">
        <f t="shared" si="23"/>
        <v>61433824</v>
      </c>
      <c r="U27" s="4">
        <f t="shared" si="9"/>
        <v>92303875</v>
      </c>
      <c r="V27" s="4">
        <f t="shared" si="16"/>
        <v>-30870051</v>
      </c>
      <c r="W27" s="4">
        <f t="shared" si="17"/>
        <v>17265004</v>
      </c>
      <c r="X27" s="4">
        <f t="shared" si="18"/>
        <v>61433824</v>
      </c>
      <c r="Y27" s="4">
        <f t="shared" si="10"/>
        <v>92303875</v>
      </c>
      <c r="Z27" s="4">
        <f t="shared" si="19"/>
        <v>-30870051</v>
      </c>
      <c r="AA27" s="4">
        <v>0</v>
      </c>
      <c r="AB27" s="4">
        <f>61434824</f>
        <v>61434824</v>
      </c>
      <c r="AC27" s="4">
        <v>0</v>
      </c>
      <c r="AD27" s="4">
        <v>0</v>
      </c>
      <c r="AE27" s="4">
        <v>0</v>
      </c>
      <c r="AF27" s="4">
        <f>-30000000-8000000-4000000-20000000+30000000+8000000+10000000+6000000+4000000+20000000-10000500-6000500</f>
        <v>-1000</v>
      </c>
      <c r="AG27" s="4">
        <v>0</v>
      </c>
      <c r="AH27" s="4">
        <v>0</v>
      </c>
      <c r="AI27" s="4">
        <f>165000</f>
        <v>165000</v>
      </c>
      <c r="AJ27" s="4">
        <v>0</v>
      </c>
      <c r="AK27" s="4">
        <v>0</v>
      </c>
      <c r="AL27" s="4">
        <f>1760000*2+1705000*2+550000*4+600000</f>
        <v>9730000</v>
      </c>
      <c r="AM27" s="4">
        <f>400000+240000+52001070+3787600+773600+2417500+240000+700000+400000+200000</f>
        <v>61159770</v>
      </c>
      <c r="AN27" s="4">
        <f>100000+3155075</f>
        <v>3255075</v>
      </c>
      <c r="AO27" s="4">
        <f>6606600+6333800</f>
        <v>12940400</v>
      </c>
      <c r="AP27" s="4">
        <f>768710+25040</f>
        <v>793750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f>1346750</f>
        <v>1346750</v>
      </c>
      <c r="AX27" s="4">
        <f>88524+283196</f>
        <v>371720</v>
      </c>
      <c r="AY27" s="4">
        <f>35210+22000+41800+22000+250750+160600+15120+46930+22000+1925000</f>
        <v>2541410</v>
      </c>
      <c r="AZ27" s="4">
        <f t="shared" si="29"/>
        <v>4377564</v>
      </c>
      <c r="BA27" s="4">
        <f t="shared" si="11"/>
        <v>10263292</v>
      </c>
      <c r="BB27" s="4">
        <f t="shared" si="21"/>
        <v>2501392</v>
      </c>
      <c r="BC27" s="4">
        <v>0</v>
      </c>
      <c r="BD27" s="4">
        <f>228174+194185+3875054</f>
        <v>4297413</v>
      </c>
      <c r="BE27" s="4">
        <v>0</v>
      </c>
      <c r="BF27" s="4">
        <v>0</v>
      </c>
      <c r="BG27" s="4">
        <v>0</v>
      </c>
      <c r="BH27" s="4">
        <f>32751+19900+27500</f>
        <v>80151</v>
      </c>
      <c r="BI27" s="4">
        <f>-50000+149625+109450</f>
        <v>209075</v>
      </c>
      <c r="BJ27" s="4">
        <v>0</v>
      </c>
      <c r="BK27" s="4">
        <v>0</v>
      </c>
      <c r="BL27" s="4">
        <v>0</v>
      </c>
      <c r="BM27" s="4">
        <v>0</v>
      </c>
      <c r="BN27" s="4">
        <f>120000+1763000+150000+537600+481000+24000+1159000+35000+1726000+102000+1726000+1013500+15000+35000+619000</f>
        <v>9506100</v>
      </c>
      <c r="BO27" s="4">
        <v>0</v>
      </c>
      <c r="BP27" s="4">
        <v>0</v>
      </c>
      <c r="BQ27" s="4">
        <v>0</v>
      </c>
      <c r="BR27" s="4">
        <f>178217+77100+283000+9800</f>
        <v>548117</v>
      </c>
    </row>
    <row r="28" spans="1:70">
      <c r="A28">
        <v>2024</v>
      </c>
      <c r="B28">
        <v>8</v>
      </c>
      <c r="C28">
        <v>41</v>
      </c>
      <c r="D28">
        <v>73</v>
      </c>
      <c r="E28">
        <v>26</v>
      </c>
      <c r="F28">
        <v>41</v>
      </c>
      <c r="G28" s="4">
        <f t="shared" si="0"/>
        <v>98193865</v>
      </c>
      <c r="H28" s="4">
        <f t="shared" si="1"/>
        <v>86456767</v>
      </c>
      <c r="I28" s="4">
        <f t="shared" si="12"/>
        <v>11737098</v>
      </c>
      <c r="J28" s="4">
        <f t="shared" si="22"/>
        <v>31503494</v>
      </c>
      <c r="K28" s="4">
        <f t="shared" si="2"/>
        <v>88193865</v>
      </c>
      <c r="L28" s="4">
        <f t="shared" si="3"/>
        <v>83323715</v>
      </c>
      <c r="M28" s="4">
        <f t="shared" si="13"/>
        <v>3600035</v>
      </c>
      <c r="N28" s="4">
        <f t="shared" si="4"/>
        <v>86456767</v>
      </c>
      <c r="O28" s="4">
        <f t="shared" si="14"/>
        <v>79455322</v>
      </c>
      <c r="P28" s="4">
        <f t="shared" si="5"/>
        <v>5730830</v>
      </c>
      <c r="Q28" s="4">
        <f t="shared" si="6"/>
        <v>1737098</v>
      </c>
      <c r="R28" s="4">
        <f t="shared" si="7"/>
        <v>10000000</v>
      </c>
      <c r="S28" s="4">
        <f t="shared" si="8"/>
        <v>0</v>
      </c>
      <c r="T28" s="4">
        <f t="shared" si="23"/>
        <v>89778394</v>
      </c>
      <c r="U28" s="4">
        <f t="shared" si="9"/>
        <v>85181327</v>
      </c>
      <c r="V28" s="4">
        <f t="shared" si="16"/>
        <v>4597067</v>
      </c>
      <c r="W28" s="4">
        <f t="shared" si="17"/>
        <v>21862071</v>
      </c>
      <c r="X28" s="4">
        <f t="shared" si="18"/>
        <v>79778394</v>
      </c>
      <c r="Y28" s="4">
        <f t="shared" si="10"/>
        <v>85181327</v>
      </c>
      <c r="Z28" s="4">
        <f t="shared" si="19"/>
        <v>-5402933</v>
      </c>
      <c r="AA28" s="4">
        <v>0</v>
      </c>
      <c r="AB28" s="4">
        <f>48102613+28076281</f>
        <v>76178894</v>
      </c>
      <c r="AC28" s="4">
        <f>9000000+1000000</f>
        <v>10000000</v>
      </c>
      <c r="AD28" s="4">
        <v>0</v>
      </c>
      <c r="AE28" s="4">
        <v>0</v>
      </c>
      <c r="AF28" s="4">
        <f>2000000-7700000-26000000-3000000-5000000-7000000-29000000+7700000+26000000+8000000+3000000+5000000+7000000+29000000-200000-2000000+200000-8000500</f>
        <v>-500</v>
      </c>
      <c r="AG28" s="4">
        <v>3600000</v>
      </c>
      <c r="AH28" s="4">
        <f>1270615</f>
        <v>1270615</v>
      </c>
      <c r="AI28" s="4">
        <f>165000</f>
        <v>165000</v>
      </c>
      <c r="AJ28" s="4">
        <v>0</v>
      </c>
      <c r="AK28" s="4">
        <v>5000000</v>
      </c>
      <c r="AL28" s="4">
        <f>550000+1650000+3520000+1100000+1320000*2+1705000+1650000+3520000+1100000+550000+600000+550000*2</f>
        <v>19685000</v>
      </c>
      <c r="AM28" s="4">
        <f>522540+266960+48914742+514708+66750</f>
        <v>50285700</v>
      </c>
      <c r="AN28" s="4">
        <v>0</v>
      </c>
      <c r="AO28" s="4">
        <v>0</v>
      </c>
      <c r="AP28" s="4">
        <f>1007610+282250+134990</f>
        <v>1424850</v>
      </c>
      <c r="AQ28" s="4">
        <f>84460+2234620+2110660+79440</f>
        <v>4509180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f>1219160+509422</f>
        <v>1728582</v>
      </c>
      <c r="AX28" s="4">
        <f>91475+290095</f>
        <v>381570</v>
      </c>
      <c r="AY28" s="4">
        <f>35210+85800+250750+160600+102070+14300+60100+22000</f>
        <v>730830</v>
      </c>
      <c r="AZ28" s="4">
        <f t="shared" si="29"/>
        <v>8415471</v>
      </c>
      <c r="BA28" s="4">
        <f t="shared" si="11"/>
        <v>1275440</v>
      </c>
      <c r="BB28" s="4">
        <f t="shared" si="21"/>
        <v>9641423</v>
      </c>
      <c r="BC28" s="4">
        <v>0</v>
      </c>
      <c r="BD28" s="4">
        <f>2938257+5025477+227816+223886</f>
        <v>8415436</v>
      </c>
      <c r="BE28" s="4">
        <v>0</v>
      </c>
      <c r="BF28" s="4">
        <v>0</v>
      </c>
      <c r="BG28" s="4">
        <v>0</v>
      </c>
      <c r="BH28" s="4">
        <v>35</v>
      </c>
      <c r="BI28" s="4">
        <v>0</v>
      </c>
      <c r="BJ28" s="4">
        <v>0</v>
      </c>
      <c r="BK28" s="4">
        <v>0</v>
      </c>
      <c r="BL28" s="4">
        <v>0</v>
      </c>
      <c r="BM28" s="4">
        <f>55000</f>
        <v>55000</v>
      </c>
      <c r="BN28" s="4">
        <f>-1726000+972000+203400+89000+364000+992840+91200+78000+149300</f>
        <v>1213740</v>
      </c>
      <c r="BO28" s="4">
        <v>0</v>
      </c>
      <c r="BP28" s="4">
        <v>0</v>
      </c>
      <c r="BQ28" s="4">
        <f>6700</f>
        <v>6700</v>
      </c>
      <c r="BR28" s="4">
        <v>0</v>
      </c>
    </row>
    <row r="29" spans="1:70">
      <c r="A29">
        <v>2024</v>
      </c>
      <c r="B29">
        <v>9</v>
      </c>
      <c r="C29">
        <v>37</v>
      </c>
      <c r="D29">
        <v>55</v>
      </c>
      <c r="E29">
        <v>24</v>
      </c>
      <c r="F29">
        <v>40</v>
      </c>
      <c r="G29" s="4">
        <f t="shared" si="0"/>
        <v>83502190</v>
      </c>
      <c r="H29" s="4">
        <f t="shared" si="1"/>
        <v>99474595</v>
      </c>
      <c r="I29" s="4">
        <f t="shared" si="12"/>
        <v>-15972405</v>
      </c>
      <c r="J29" s="4">
        <f t="shared" si="22"/>
        <v>15531089</v>
      </c>
      <c r="K29" s="4">
        <f t="shared" si="2"/>
        <v>85002190</v>
      </c>
      <c r="L29" s="4">
        <f t="shared" si="3"/>
        <v>83696376</v>
      </c>
      <c r="M29" s="4">
        <f t="shared" si="13"/>
        <v>1200344</v>
      </c>
      <c r="N29" s="4">
        <f t="shared" si="4"/>
        <v>99474595</v>
      </c>
      <c r="O29" s="4">
        <f t="shared" si="14"/>
        <v>95337409</v>
      </c>
      <c r="P29" s="4">
        <f t="shared" si="5"/>
        <v>4031716</v>
      </c>
      <c r="Q29" s="4">
        <f t="shared" si="6"/>
        <v>-14472405</v>
      </c>
      <c r="R29" s="4">
        <f t="shared" si="7"/>
        <v>-1500000</v>
      </c>
      <c r="S29" s="4">
        <f t="shared" si="8"/>
        <v>0</v>
      </c>
      <c r="T29" s="4">
        <f t="shared" si="23"/>
        <v>84433284</v>
      </c>
      <c r="U29" s="4">
        <f t="shared" si="9"/>
        <v>92353150</v>
      </c>
      <c r="V29" s="4">
        <f t="shared" si="16"/>
        <v>-7919866</v>
      </c>
      <c r="W29" s="4">
        <f t="shared" si="17"/>
        <v>13942205</v>
      </c>
      <c r="X29" s="4">
        <f t="shared" si="18"/>
        <v>78433284</v>
      </c>
      <c r="Y29" s="4">
        <f t="shared" si="10"/>
        <v>92353150</v>
      </c>
      <c r="Z29" s="4">
        <f t="shared" si="19"/>
        <v>-13919866</v>
      </c>
      <c r="AA29" s="4">
        <v>0</v>
      </c>
      <c r="AB29" s="4">
        <f>11821338+46516676+18895270</f>
        <v>77233284</v>
      </c>
      <c r="AC29" s="4">
        <f>150000-150000+6000000</f>
        <v>6000000</v>
      </c>
      <c r="AD29" s="4">
        <v>0</v>
      </c>
      <c r="AE29" s="4">
        <v>0</v>
      </c>
      <c r="AF29" s="4">
        <f>-50000000-11000000-1200000-8000000+50000000+11000000+1200000+8000000</f>
        <v>0</v>
      </c>
      <c r="AG29" s="4">
        <v>1200000</v>
      </c>
      <c r="AH29" s="4">
        <v>0</v>
      </c>
      <c r="AI29" s="4">
        <f>264000+140000+165000</f>
        <v>569000</v>
      </c>
      <c r="AJ29" s="4">
        <v>0</v>
      </c>
      <c r="AK29" s="4">
        <f>-5000000</f>
        <v>-5000000</v>
      </c>
      <c r="AL29" s="4">
        <f>-570+1320000*2+1705000+1650000+3520000+1100000</f>
        <v>10614430</v>
      </c>
      <c r="AM29" s="4">
        <f>-50000+700000+640000+200000+400000+240000+527181+34180939+7217140+689393+640000+10153840+1100000+309880+1879887+120000</f>
        <v>58948260</v>
      </c>
      <c r="AN29" s="4">
        <v>5185406</v>
      </c>
      <c r="AO29" s="4">
        <f>6892600+6534000</f>
        <v>13426600</v>
      </c>
      <c r="AP29" s="4">
        <f>837640</f>
        <v>837640</v>
      </c>
      <c r="AQ29" s="4">
        <f>217300</f>
        <v>217300</v>
      </c>
      <c r="AR29" s="4">
        <f>112000+177000+2519000</f>
        <v>2808000</v>
      </c>
      <c r="AS29" s="4">
        <v>0</v>
      </c>
      <c r="AT29" s="4">
        <v>0</v>
      </c>
      <c r="AU29" s="4">
        <v>1100000</v>
      </c>
      <c r="AV29" s="4">
        <v>0</v>
      </c>
      <c r="AW29" s="4">
        <f>2229175</f>
        <v>2229175</v>
      </c>
      <c r="AX29" s="4">
        <f>88934+290095</f>
        <v>379029</v>
      </c>
      <c r="AY29" s="4">
        <f>35210+22000+41800+22000+385000+250750+160600+21400+77550+22000</f>
        <v>1038310</v>
      </c>
      <c r="AZ29" s="4">
        <f t="shared" si="29"/>
        <v>-931094</v>
      </c>
      <c r="BA29" s="4">
        <f t="shared" si="11"/>
        <v>7121445</v>
      </c>
      <c r="BB29" s="4">
        <f t="shared" si="21"/>
        <v>1588884</v>
      </c>
      <c r="BC29" s="4">
        <f>-2500000-3000000-2000000</f>
        <v>-7500000</v>
      </c>
      <c r="BD29" s="4">
        <f>1097985+197359+5273218</f>
        <v>6568562</v>
      </c>
      <c r="BE29" s="4">
        <v>0</v>
      </c>
      <c r="BF29" s="4">
        <v>0</v>
      </c>
      <c r="BG29" s="4">
        <v>0</v>
      </c>
      <c r="BH29" s="4">
        <v>344</v>
      </c>
      <c r="BI29" s="4">
        <f>105470</f>
        <v>105470</v>
      </c>
      <c r="BJ29" s="4">
        <v>0</v>
      </c>
      <c r="BK29" s="4">
        <v>0</v>
      </c>
      <c r="BL29" s="4">
        <v>0</v>
      </c>
      <c r="BM29" s="4">
        <v>0</v>
      </c>
      <c r="BN29" s="4">
        <f>135000+819000+1647800+1056000+884000+90000+416000+35000+177650+1568000+9775+177750</f>
        <v>7015975</v>
      </c>
      <c r="BO29" s="4">
        <v>0</v>
      </c>
      <c r="BP29" s="4">
        <v>0</v>
      </c>
      <c r="BQ29" s="4">
        <v>0</v>
      </c>
      <c r="BR29" s="4">
        <v>0</v>
      </c>
    </row>
    <row r="30" spans="1:70">
      <c r="A30">
        <v>2024</v>
      </c>
      <c r="B30">
        <v>10</v>
      </c>
      <c r="C30">
        <v>37</v>
      </c>
      <c r="D30">
        <v>57</v>
      </c>
      <c r="E30">
        <v>25</v>
      </c>
      <c r="F30">
        <v>40</v>
      </c>
      <c r="G30" s="4">
        <f t="shared" si="0"/>
        <v>91564014</v>
      </c>
      <c r="H30" s="4">
        <f t="shared" si="1"/>
        <v>76505117</v>
      </c>
      <c r="I30" s="4">
        <f t="shared" si="12"/>
        <v>15058897</v>
      </c>
      <c r="J30" s="4">
        <f t="shared" si="22"/>
        <v>30589986</v>
      </c>
      <c r="K30" s="4">
        <f t="shared" si="2"/>
        <v>86214014</v>
      </c>
      <c r="L30" s="4">
        <f t="shared" si="3"/>
        <v>80814014</v>
      </c>
      <c r="M30" s="4">
        <f t="shared" si="13"/>
        <v>5400000</v>
      </c>
      <c r="N30" s="4">
        <f t="shared" si="4"/>
        <v>76505117</v>
      </c>
      <c r="O30" s="4">
        <f t="shared" si="14"/>
        <v>72220657</v>
      </c>
      <c r="P30" s="4">
        <f t="shared" si="5"/>
        <v>4284460</v>
      </c>
      <c r="Q30" s="4">
        <f t="shared" si="6"/>
        <v>9708897</v>
      </c>
      <c r="R30" s="4">
        <f t="shared" si="7"/>
        <v>5350000</v>
      </c>
      <c r="S30" s="4">
        <f t="shared" si="8"/>
        <v>0</v>
      </c>
      <c r="T30" s="4">
        <f t="shared" si="23"/>
        <v>82176482</v>
      </c>
      <c r="U30" s="4">
        <f t="shared" si="9"/>
        <v>69547277</v>
      </c>
      <c r="V30" s="4">
        <f t="shared" si="16"/>
        <v>12629205</v>
      </c>
      <c r="W30" s="4">
        <f t="shared" si="17"/>
        <v>26571410</v>
      </c>
      <c r="X30" s="4">
        <f t="shared" si="18"/>
        <v>79776482</v>
      </c>
      <c r="Y30" s="4">
        <f t="shared" si="10"/>
        <v>69547277</v>
      </c>
      <c r="Z30" s="4">
        <f t="shared" si="19"/>
        <v>10229205</v>
      </c>
      <c r="AA30" s="4">
        <v>0</v>
      </c>
      <c r="AB30" s="4">
        <f>38835385+1638845+2110050+19977573+11814629</f>
        <v>74376482</v>
      </c>
      <c r="AC30" s="4">
        <f>5000000+200000-1700000-1100000</f>
        <v>2400000</v>
      </c>
      <c r="AD30" s="4">
        <v>0</v>
      </c>
      <c r="AE30" s="4">
        <v>0</v>
      </c>
      <c r="AF30" s="4">
        <f>-16000000-32000000-1450000-5000000-200000-800000-4000000-1940000-5000000-28000000+16000000+32000000+1450000+5000000+200000+800000+4000000+1940000+5000000+28000000</f>
        <v>0</v>
      </c>
      <c r="AG30" s="4">
        <f>3600000+1800000</f>
        <v>5400000</v>
      </c>
      <c r="AH30" s="4">
        <v>0</v>
      </c>
      <c r="AI30" s="4">
        <f>165000</f>
        <v>165000</v>
      </c>
      <c r="AJ30" s="4">
        <v>0</v>
      </c>
      <c r="AK30" s="4">
        <v>0</v>
      </c>
      <c r="AL30" s="4">
        <f>550000*3+600000+550000+2640000+1705000</f>
        <v>7145000</v>
      </c>
      <c r="AM30" s="4">
        <f>200000+700000+640000+400000+44510243+5022280+1100000</f>
        <v>52572523</v>
      </c>
      <c r="AN30" s="4">
        <v>0</v>
      </c>
      <c r="AO30" s="4">
        <v>5238200</v>
      </c>
      <c r="AP30" s="4">
        <f>943400</f>
        <v>943400</v>
      </c>
      <c r="AQ30" s="4">
        <f>2220590+98540</f>
        <v>2319130</v>
      </c>
      <c r="AR30" s="4">
        <v>0</v>
      </c>
      <c r="AS30" s="4">
        <v>0</v>
      </c>
      <c r="AT30" s="4">
        <v>0</v>
      </c>
      <c r="AU30" s="4">
        <f>-3500000+1100000</f>
        <v>-2400000</v>
      </c>
      <c r="AV30" s="4">
        <v>25000</v>
      </c>
      <c r="AW30" s="4">
        <f>2404975</f>
        <v>2404975</v>
      </c>
      <c r="AX30" s="4">
        <f>68852+280737</f>
        <v>349589</v>
      </c>
      <c r="AY30" s="4">
        <f>4400+35210+44400+19060+41800+140170+250750+160600+16190+49880+22000</f>
        <v>784460</v>
      </c>
      <c r="AZ30" s="4">
        <f t="shared" si="29"/>
        <v>9387532</v>
      </c>
      <c r="BA30" s="4">
        <f t="shared" si="11"/>
        <v>6957840</v>
      </c>
      <c r="BB30" s="4">
        <f t="shared" si="21"/>
        <v>4018576</v>
      </c>
      <c r="BC30" s="4">
        <f>200000+1200000+40000+810000+500000+200000</f>
        <v>2950000</v>
      </c>
      <c r="BD30" s="4">
        <f>2628280+224584+47780+50000+2085973+1400915</f>
        <v>6437532</v>
      </c>
      <c r="BE30" s="4">
        <v>0</v>
      </c>
      <c r="BF30" s="4">
        <v>0</v>
      </c>
      <c r="BG30" s="4">
        <v>0</v>
      </c>
      <c r="BH30" s="4">
        <v>0</v>
      </c>
      <c r="BI30" s="4">
        <v>0</v>
      </c>
      <c r="BJ30" s="4">
        <v>0</v>
      </c>
      <c r="BK30" s="4">
        <v>0</v>
      </c>
      <c r="BL30" s="4">
        <v>0</v>
      </c>
      <c r="BM30" s="4">
        <v>0</v>
      </c>
      <c r="BN30" s="4">
        <f>468000+1373000+66500+75240+810000+3100+479000+175000</f>
        <v>3449840</v>
      </c>
      <c r="BO30" s="4">
        <v>3500000</v>
      </c>
      <c r="BP30" s="5">
        <f>8000</f>
        <v>8000</v>
      </c>
      <c r="BQ30" s="4">
        <v>0</v>
      </c>
      <c r="BR30" s="4">
        <v>0</v>
      </c>
    </row>
    <row r="31" spans="1:70">
      <c r="A31">
        <v>2024</v>
      </c>
      <c r="B31">
        <v>11</v>
      </c>
      <c r="C31">
        <v>38</v>
      </c>
      <c r="D31">
        <v>67</v>
      </c>
      <c r="E31">
        <v>23</v>
      </c>
      <c r="F31">
        <v>48</v>
      </c>
      <c r="G31" s="4">
        <f t="shared" si="0"/>
        <v>103654630</v>
      </c>
      <c r="H31" s="4">
        <f t="shared" si="1"/>
        <v>95426815</v>
      </c>
      <c r="I31" s="4">
        <f t="shared" si="12"/>
        <v>8227815</v>
      </c>
      <c r="J31" s="4">
        <f t="shared" si="22"/>
        <v>38817801</v>
      </c>
      <c r="K31" s="4">
        <f t="shared" si="2"/>
        <v>95154630</v>
      </c>
      <c r="L31" s="4">
        <f t="shared" si="3"/>
        <v>89988832</v>
      </c>
      <c r="M31" s="4">
        <f t="shared" si="13"/>
        <v>3600000</v>
      </c>
      <c r="N31" s="4">
        <f t="shared" si="4"/>
        <v>95426815</v>
      </c>
      <c r="O31" s="4">
        <f t="shared" si="14"/>
        <v>89014597</v>
      </c>
      <c r="P31" s="4">
        <f t="shared" si="5"/>
        <v>4846420</v>
      </c>
      <c r="Q31" s="4">
        <f t="shared" si="6"/>
        <v>-272185</v>
      </c>
      <c r="R31" s="4">
        <f t="shared" si="7"/>
        <v>8500000</v>
      </c>
      <c r="S31" s="4">
        <f t="shared" si="8"/>
        <v>0</v>
      </c>
      <c r="T31" s="4">
        <f t="shared" si="23"/>
        <v>98652268</v>
      </c>
      <c r="U31" s="4">
        <f t="shared" si="9"/>
        <v>90728321</v>
      </c>
      <c r="V31" s="4">
        <f t="shared" si="16"/>
        <v>7923947</v>
      </c>
      <c r="W31" s="4">
        <f t="shared" si="17"/>
        <v>34495357</v>
      </c>
      <c r="X31" s="4">
        <f t="shared" si="18"/>
        <v>87352268</v>
      </c>
      <c r="Y31" s="4">
        <f t="shared" si="10"/>
        <v>90728321</v>
      </c>
      <c r="Z31" s="4">
        <f t="shared" si="19"/>
        <v>-3376053</v>
      </c>
      <c r="AA31" s="4">
        <v>0</v>
      </c>
      <c r="AB31" s="4">
        <f>30260724+168000+5345879+10481986+37495679</f>
        <v>83752268</v>
      </c>
      <c r="AC31" s="4">
        <f>5000000+4000000+2200000+100000</f>
        <v>11300000</v>
      </c>
      <c r="AD31" s="4">
        <v>0</v>
      </c>
      <c r="AE31" s="4">
        <v>0</v>
      </c>
      <c r="AF31" s="4">
        <f>-32000000-5000000-4200000-5000000-2600000-9000000-11000000+32000000+5000000+4200000+5000000+2600000+9000000+11000000-100000+100000+300000-300000</f>
        <v>0</v>
      </c>
      <c r="AG31" s="4">
        <f>3600000</f>
        <v>3600000</v>
      </c>
      <c r="AH31" s="4">
        <f>278898+1170000+116900</f>
        <v>1565798</v>
      </c>
      <c r="AI31" s="4">
        <f>165000</f>
        <v>165000</v>
      </c>
      <c r="AJ31" s="4">
        <v>0</v>
      </c>
      <c r="AK31" s="4">
        <v>0</v>
      </c>
      <c r="AL31" s="4">
        <f>1650000+3520000+1100000+550000*3+600000+2640000+1705000+1650000+3520000+1100000+550000*2</f>
        <v>20235000</v>
      </c>
      <c r="AM31" s="4">
        <f>700000+640000+150000+400000+44733850+5572140+1063700</f>
        <v>53259690</v>
      </c>
      <c r="AN31" s="4">
        <v>4177120</v>
      </c>
      <c r="AO31" s="4">
        <v>5995000</v>
      </c>
      <c r="AP31" s="4">
        <f>709400</f>
        <v>709400</v>
      </c>
      <c r="AQ31" s="4">
        <f>96200+2163240</f>
        <v>2259440</v>
      </c>
      <c r="AR31" s="4">
        <v>0</v>
      </c>
      <c r="AS31" s="4">
        <v>0</v>
      </c>
      <c r="AT31" s="4">
        <v>0</v>
      </c>
      <c r="AU31" s="4">
        <v>0</v>
      </c>
      <c r="AV31" s="4">
        <v>0</v>
      </c>
      <c r="AW31" s="4">
        <f>1320742</f>
        <v>1320742</v>
      </c>
      <c r="AX31" s="4">
        <f>17213+279084+88934</f>
        <v>385231</v>
      </c>
      <c r="AY31" s="4">
        <f>35210+22000*2+41800+250750+160600+19780+81760+22000</f>
        <v>655900</v>
      </c>
      <c r="AZ31" s="4">
        <f t="shared" si="29"/>
        <v>5002362</v>
      </c>
      <c r="BA31" s="4">
        <f t="shared" si="11"/>
        <v>4698494</v>
      </c>
      <c r="BB31" s="4">
        <f t="shared" si="21"/>
        <v>4322444</v>
      </c>
      <c r="BC31" s="4">
        <f>-2300000+200000-700000</f>
        <v>-2800000</v>
      </c>
      <c r="BD31" s="4">
        <f>858937+3014443+3928982</f>
        <v>7802362</v>
      </c>
      <c r="BE31" s="4">
        <v>0</v>
      </c>
      <c r="BF31" s="4">
        <v>0</v>
      </c>
      <c r="BG31" s="4">
        <v>0</v>
      </c>
      <c r="BH31" s="4">
        <v>0</v>
      </c>
      <c r="BI31" s="4">
        <v>0</v>
      </c>
      <c r="BJ31" s="4">
        <v>0</v>
      </c>
      <c r="BK31" s="4">
        <v>0</v>
      </c>
      <c r="BL31" s="4">
        <v>0</v>
      </c>
      <c r="BM31" s="4">
        <v>0</v>
      </c>
      <c r="BN31" s="5">
        <f>25000+201600+638000+949000+446050+247650+1331000+156000+249000+413150</f>
        <v>4656450</v>
      </c>
      <c r="BO31" s="4">
        <v>0</v>
      </c>
      <c r="BP31" s="4">
        <v>0</v>
      </c>
      <c r="BQ31" s="4">
        <v>28644</v>
      </c>
      <c r="BR31" s="5">
        <f>13400</f>
        <v>13400</v>
      </c>
    </row>
    <row r="32" spans="1:70">
      <c r="A32">
        <v>2024</v>
      </c>
      <c r="B32">
        <v>12</v>
      </c>
      <c r="C32">
        <v>37</v>
      </c>
      <c r="D32">
        <v>51</v>
      </c>
      <c r="E32">
        <v>21</v>
      </c>
      <c r="F32">
        <v>45</v>
      </c>
      <c r="G32" s="4">
        <f t="shared" si="0"/>
        <v>72408586</v>
      </c>
      <c r="H32" s="4">
        <f t="shared" si="1"/>
        <v>77803150</v>
      </c>
      <c r="I32" s="4">
        <f t="shared" si="12"/>
        <v>-5394564</v>
      </c>
      <c r="J32" s="4">
        <f t="shared" si="22"/>
        <v>33423237</v>
      </c>
      <c r="K32" s="4">
        <f t="shared" si="2"/>
        <v>72408586</v>
      </c>
      <c r="L32" s="4">
        <f t="shared" si="3"/>
        <v>62217729</v>
      </c>
      <c r="M32" s="4">
        <f t="shared" si="13"/>
        <v>1213157</v>
      </c>
      <c r="N32" s="4">
        <f t="shared" si="4"/>
        <v>77803150</v>
      </c>
      <c r="O32" s="4">
        <f t="shared" si="14"/>
        <v>77070610</v>
      </c>
      <c r="P32" s="4">
        <f t="shared" si="5"/>
        <v>-8245160</v>
      </c>
      <c r="Q32" s="4">
        <f t="shared" si="6"/>
        <v>-5394564</v>
      </c>
      <c r="R32" s="4">
        <f t="shared" si="7"/>
        <v>0</v>
      </c>
      <c r="S32" s="4">
        <f t="shared" si="8"/>
        <v>0</v>
      </c>
      <c r="T32" s="4">
        <f t="shared" si="23"/>
        <v>66496333</v>
      </c>
      <c r="U32" s="4">
        <f t="shared" si="9"/>
        <v>72646203</v>
      </c>
      <c r="V32" s="4">
        <f t="shared" si="16"/>
        <v>-6149870</v>
      </c>
      <c r="W32" s="4">
        <f t="shared" si="17"/>
        <v>28345487</v>
      </c>
      <c r="X32" s="4">
        <f t="shared" si="18"/>
        <v>66496333</v>
      </c>
      <c r="Y32" s="4">
        <f t="shared" si="10"/>
        <v>72646203</v>
      </c>
      <c r="Z32" s="4">
        <f t="shared" si="19"/>
        <v>-6149870</v>
      </c>
      <c r="AA32" s="4">
        <v>0</v>
      </c>
      <c r="AB32" s="4">
        <f>43532639+3985842+2147935+15618448</f>
        <v>65284864</v>
      </c>
      <c r="AC32" s="4">
        <v>0</v>
      </c>
      <c r="AD32" s="4">
        <v>0</v>
      </c>
      <c r="AE32" s="4">
        <v>0</v>
      </c>
      <c r="AF32" s="4">
        <f>3000000-34000000-30000000-15000000-10000000+34000000+30000000+15000000+10000000-3000000</f>
        <v>0</v>
      </c>
      <c r="AG32" s="4">
        <f>5160+1200000+3433+43+1+405+2427</f>
        <v>1211469</v>
      </c>
      <c r="AH32" s="4">
        <f>1170000+1170000+168000+2340000+1070000+163700+1170000+252000+1170000</f>
        <v>8673700</v>
      </c>
      <c r="AI32" s="4">
        <f>165000</f>
        <v>165000</v>
      </c>
      <c r="AJ32" s="4">
        <f>-5000000-5000000-700000</f>
        <v>-10700000</v>
      </c>
      <c r="AK32" s="4">
        <v>0</v>
      </c>
      <c r="AL32" s="4">
        <f>550000+550000+600000+550000+2640000+1705000+3520000+652500+550000+550000+660000+1650000+1100000</f>
        <v>15277500</v>
      </c>
      <c r="AM32" s="4">
        <f>700000+640000+200000+400000+45593830+5548800</f>
        <v>53082630</v>
      </c>
      <c r="AN32" s="4">
        <v>0</v>
      </c>
      <c r="AO32" s="4">
        <v>0</v>
      </c>
      <c r="AP32" s="4">
        <f>1052250</f>
        <v>1052250</v>
      </c>
      <c r="AQ32" s="4">
        <f>1762490+65300</f>
        <v>1827790</v>
      </c>
      <c r="AR32" s="4">
        <v>0</v>
      </c>
      <c r="AS32" s="4">
        <v>0</v>
      </c>
      <c r="AT32" s="4">
        <v>0</v>
      </c>
      <c r="AU32" s="4">
        <v>0</v>
      </c>
      <c r="AV32" s="4">
        <v>0</v>
      </c>
      <c r="AW32" s="4">
        <f>541987+1315835</f>
        <v>1857822</v>
      </c>
      <c r="AX32" s="4">
        <f>84590+270081</f>
        <v>354671</v>
      </c>
      <c r="AY32" s="4">
        <f>121010+4400+385000+250750+160600+33900+77180+22000</f>
        <v>1054840</v>
      </c>
      <c r="AZ32" s="4">
        <f t="shared" si="29"/>
        <v>5912253</v>
      </c>
      <c r="BA32" s="4">
        <f t="shared" si="11"/>
        <v>5156947</v>
      </c>
      <c r="BB32" s="4">
        <f t="shared" si="21"/>
        <v>5077750</v>
      </c>
      <c r="BC32" s="4">
        <v>0</v>
      </c>
      <c r="BD32" s="4">
        <f>3304702+1044547+1561316</f>
        <v>5910565</v>
      </c>
      <c r="BE32" s="4">
        <v>0</v>
      </c>
      <c r="BF32" s="4">
        <v>0</v>
      </c>
      <c r="BG32" s="4">
        <v>0</v>
      </c>
      <c r="BH32" s="4">
        <f>1418+270</f>
        <v>1688</v>
      </c>
      <c r="BI32" s="4">
        <f>12000+292000</f>
        <v>304000</v>
      </c>
      <c r="BJ32" s="5">
        <f>1400000</f>
        <v>1400000</v>
      </c>
      <c r="BK32" s="4">
        <v>0</v>
      </c>
      <c r="BL32" s="4">
        <v>0</v>
      </c>
      <c r="BM32" s="4">
        <v>0</v>
      </c>
      <c r="BN32" s="4">
        <f>1373000+1017000+149000+48000+837000</f>
        <v>3424000</v>
      </c>
      <c r="BO32" s="4">
        <v>0</v>
      </c>
      <c r="BP32" s="4">
        <v>0</v>
      </c>
      <c r="BQ32" s="4">
        <v>28947</v>
      </c>
      <c r="BR32" s="4">
        <v>0</v>
      </c>
    </row>
    <row r="33" spans="1:70">
      <c r="A33">
        <v>2025</v>
      </c>
      <c r="B33">
        <v>1</v>
      </c>
      <c r="C33">
        <v>38</v>
      </c>
      <c r="D33">
        <f t="shared" ref="D33:D34" si="30">D32</f>
        <v>51</v>
      </c>
      <c r="E33">
        <v>20</v>
      </c>
      <c r="F33">
        <v>40</v>
      </c>
      <c r="G33" s="4">
        <f t="shared" si="0"/>
        <v>71326198</v>
      </c>
      <c r="H33" s="4">
        <f t="shared" si="1"/>
        <v>83321959</v>
      </c>
      <c r="I33" s="4">
        <f t="shared" si="12"/>
        <v>-11995761</v>
      </c>
      <c r="J33" s="4">
        <f t="shared" si="22"/>
        <v>21427476</v>
      </c>
      <c r="K33" s="4">
        <f t="shared" si="2"/>
        <v>53626198</v>
      </c>
      <c r="L33" s="4">
        <f t="shared" si="3"/>
        <v>56120046</v>
      </c>
      <c r="M33" s="4">
        <f t="shared" si="13"/>
        <v>7200000</v>
      </c>
      <c r="N33" s="4">
        <f t="shared" si="4"/>
        <v>83321959</v>
      </c>
      <c r="O33" s="4">
        <f t="shared" si="14"/>
        <v>86230117</v>
      </c>
      <c r="P33" s="4">
        <f t="shared" si="5"/>
        <v>-3914310</v>
      </c>
      <c r="Q33" s="4">
        <f t="shared" si="6"/>
        <v>-29695761</v>
      </c>
      <c r="R33" s="4">
        <f t="shared" si="7"/>
        <v>7000000</v>
      </c>
      <c r="S33" s="4">
        <f t="shared" si="8"/>
        <v>0</v>
      </c>
      <c r="T33" s="4">
        <f t="shared" si="23"/>
        <v>59921390</v>
      </c>
      <c r="U33" s="4">
        <f t="shared" si="9"/>
        <v>77644685</v>
      </c>
      <c r="V33" s="4">
        <f t="shared" si="16"/>
        <v>-17723295</v>
      </c>
      <c r="W33" s="4">
        <f t="shared" si="17"/>
        <v>10622192</v>
      </c>
      <c r="X33" s="4">
        <f t="shared" si="18"/>
        <v>61621390</v>
      </c>
      <c r="Y33" s="4">
        <f t="shared" si="10"/>
        <v>77644685</v>
      </c>
      <c r="Z33" s="4">
        <f t="shared" si="19"/>
        <v>-16023295</v>
      </c>
      <c r="AA33" s="4">
        <v>0</v>
      </c>
      <c r="AB33" s="4">
        <f>42562589+4211393+3339750+3896234+411424</f>
        <v>54421390</v>
      </c>
      <c r="AC33" s="4">
        <f>5000000+4000000</f>
        <v>9000000</v>
      </c>
      <c r="AD33" s="4">
        <f>-8700000-2000000</f>
        <v>-10700000</v>
      </c>
      <c r="AE33" s="4">
        <v>0</v>
      </c>
      <c r="AF33" s="4">
        <f>-10000000-50000000-100000-5000000-4000000-5000000-4300000-4000000-6000000+2000000+10000000+50000000+100000+5000000+4000000+5000000+4300000+4000000+6000000-100000-300000-2000000+100000+3887-3887+305234-5234</f>
        <v>0</v>
      </c>
      <c r="AG33" s="4">
        <f>5400000+1800000</f>
        <v>7200000</v>
      </c>
      <c r="AH33" s="4">
        <f>252000*2+166152+168000+168000</f>
        <v>1006152</v>
      </c>
      <c r="AI33" s="4">
        <f>165000</f>
        <v>165000</v>
      </c>
      <c r="AJ33" s="4">
        <v>0</v>
      </c>
      <c r="AK33" s="4">
        <f>-5000000</f>
        <v>-5000000</v>
      </c>
      <c r="AL33" s="4">
        <f>600000+550000+2640000+1705000+3520000+500000</f>
        <v>9515000</v>
      </c>
      <c r="AM33" s="4">
        <f>150000+640000+400000+193400+2079720+42870374+6407730</f>
        <v>52741224</v>
      </c>
      <c r="AN33" s="4">
        <f>100000</f>
        <v>100000</v>
      </c>
      <c r="AO33" s="4">
        <f>6274400+5464800</f>
        <v>11739200</v>
      </c>
      <c r="AP33" s="4">
        <f>931710+34000</f>
        <v>965710</v>
      </c>
      <c r="AQ33" s="4">
        <f>-48650+1889680+99460+261070</f>
        <v>2201560</v>
      </c>
      <c r="AR33" s="4">
        <v>0</v>
      </c>
      <c r="AS33" s="4">
        <f>225000</f>
        <v>225000</v>
      </c>
      <c r="AT33" s="4">
        <v>0</v>
      </c>
      <c r="AU33" s="4">
        <f>1100000</f>
        <v>1100000</v>
      </c>
      <c r="AV33" s="4">
        <v>0</v>
      </c>
      <c r="AW33" s="4">
        <f>750975+1011491</f>
        <v>1762466</v>
      </c>
      <c r="AX33" s="4">
        <f>14098+73457+27008+252520</f>
        <v>367083</v>
      </c>
      <c r="AY33" s="4">
        <f>35210+85800+30000+250750+160600+23930+86100+61900+22000</f>
        <v>756290</v>
      </c>
      <c r="AZ33" s="4">
        <f t="shared" si="29"/>
        <v>11404808</v>
      </c>
      <c r="BA33" s="4">
        <f t="shared" si="11"/>
        <v>5677274</v>
      </c>
      <c r="BB33" s="4">
        <f t="shared" si="21"/>
        <v>10805284</v>
      </c>
      <c r="BC33" s="4">
        <f>-2000000</f>
        <v>-2000000</v>
      </c>
      <c r="BD33" s="4">
        <f>2063615+178133+463060</f>
        <v>2704808</v>
      </c>
      <c r="BE33" s="4">
        <v>0</v>
      </c>
      <c r="BF33" s="4">
        <f>8700000+2000000</f>
        <v>10700000</v>
      </c>
      <c r="BG33" s="4">
        <v>0</v>
      </c>
      <c r="BH33" s="4">
        <v>0</v>
      </c>
      <c r="BI33" s="4">
        <v>0</v>
      </c>
      <c r="BJ33" s="6">
        <v>0</v>
      </c>
      <c r="BK33" s="4">
        <v>0</v>
      </c>
      <c r="BL33" s="4">
        <v>0</v>
      </c>
      <c r="BM33" s="4">
        <v>0</v>
      </c>
      <c r="BN33" s="4">
        <f>303550+1437000+104000+78000+422000+811300+936000+70000+1432000+66000</f>
        <v>5659850</v>
      </c>
      <c r="BO33" s="4">
        <v>0</v>
      </c>
      <c r="BP33" s="4">
        <v>0</v>
      </c>
      <c r="BQ33" s="4">
        <f>13024</f>
        <v>13024</v>
      </c>
      <c r="BR33" s="4">
        <f>-4400-4400+4400+4400+4400</f>
        <v>4400</v>
      </c>
    </row>
    <row r="34" spans="1:70">
      <c r="A34">
        <v>2025</v>
      </c>
      <c r="B34">
        <v>2</v>
      </c>
      <c r="C34">
        <v>39</v>
      </c>
      <c r="D34">
        <f t="shared" si="30"/>
        <v>51</v>
      </c>
      <c r="E34">
        <v>19</v>
      </c>
      <c r="F34">
        <v>33</v>
      </c>
      <c r="G34" s="4">
        <f t="shared" si="0"/>
        <v>99191251</v>
      </c>
      <c r="H34" s="4">
        <f t="shared" si="1"/>
        <v>96895178</v>
      </c>
      <c r="I34" s="4">
        <f t="shared" si="12"/>
        <v>2296073</v>
      </c>
      <c r="J34" s="4">
        <f t="shared" si="22"/>
        <v>23723549</v>
      </c>
      <c r="K34" s="4">
        <f t="shared" si="2"/>
        <v>91691251</v>
      </c>
      <c r="L34" s="4">
        <f t="shared" si="3"/>
        <v>76509393</v>
      </c>
      <c r="M34" s="4">
        <f t="shared" si="13"/>
        <v>0</v>
      </c>
      <c r="N34" s="4">
        <f t="shared" si="4"/>
        <v>96895178</v>
      </c>
      <c r="O34" s="4">
        <f t="shared" si="14"/>
        <v>86564060</v>
      </c>
      <c r="P34" s="4">
        <f t="shared" si="5"/>
        <v>5149260</v>
      </c>
      <c r="Q34" s="4">
        <f t="shared" si="6"/>
        <v>-5203927</v>
      </c>
      <c r="R34" s="4">
        <f t="shared" si="7"/>
        <v>17500000</v>
      </c>
      <c r="S34" s="4">
        <f t="shared" si="8"/>
        <v>0</v>
      </c>
      <c r="T34" s="4">
        <f t="shared" si="23"/>
        <v>94240441</v>
      </c>
      <c r="U34" s="4">
        <f t="shared" si="9"/>
        <v>88960068</v>
      </c>
      <c r="V34" s="4">
        <f t="shared" si="16"/>
        <v>5280373</v>
      </c>
      <c r="W34" s="4">
        <f t="shared" si="17"/>
        <v>15902565</v>
      </c>
      <c r="X34" s="4">
        <f t="shared" si="18"/>
        <v>69240441</v>
      </c>
      <c r="Y34" s="4">
        <f t="shared" si="10"/>
        <v>88960068</v>
      </c>
      <c r="Z34" s="4">
        <f t="shared" si="19"/>
        <v>-19719627</v>
      </c>
      <c r="AA34" s="4">
        <v>0</v>
      </c>
      <c r="AB34" s="4">
        <f>36929982+32310459</f>
        <v>69240441</v>
      </c>
      <c r="AC34" s="4">
        <f>5000000+5000000+2000000+3000000</f>
        <v>15000000</v>
      </c>
      <c r="AD34" s="4">
        <f>10000000</f>
        <v>10000000</v>
      </c>
      <c r="AE34" s="4">
        <v>0</v>
      </c>
      <c r="AF34" s="4">
        <f>-5000000-18000000-19000000-10000000-5000000-5000000-2000000-3000000-2000000-5000000-6000000-6000000+5000000+18000000+19000000+10000000+5000000+5000000+2000000+3000000+2000000+5000000+6000000+6000000-400000+400000+200000-200000</f>
        <v>0</v>
      </c>
      <c r="AG34" s="4">
        <v>0</v>
      </c>
      <c r="AH34" s="4">
        <f>1170000+249858+1170000*3+252000</f>
        <v>5181858</v>
      </c>
      <c r="AI34" s="4">
        <f>165000</f>
        <v>165000</v>
      </c>
      <c r="AJ34" s="4">
        <v>0</v>
      </c>
      <c r="AK34" s="4">
        <v>0</v>
      </c>
      <c r="AL34" s="4">
        <f>1650000+1100000+550000+605000+550000+2640000+1705000+550000+550000+3520000</f>
        <v>13420000</v>
      </c>
      <c r="AM34" s="4">
        <f>200000+600000+640000+400000+43719580+5948200+2755400</f>
        <v>54263180</v>
      </c>
      <c r="AN34" s="4">
        <v>0</v>
      </c>
      <c r="AO34" s="4">
        <v>0</v>
      </c>
      <c r="AP34" s="4">
        <f>1036010</f>
        <v>1036010</v>
      </c>
      <c r="AQ34" s="4">
        <f>106070+2036930+20500*2+157660</f>
        <v>2341660</v>
      </c>
      <c r="AR34" s="4">
        <f>2822000</f>
        <v>2822000</v>
      </c>
      <c r="AS34" s="4">
        <f>30000</f>
        <v>30000</v>
      </c>
      <c r="AT34" s="4">
        <v>0</v>
      </c>
      <c r="AU34" s="4">
        <f>4290000</f>
        <v>4290000</v>
      </c>
      <c r="AV34" s="4">
        <f>39766+153417+36215</f>
        <v>229398</v>
      </c>
      <c r="AW34" s="4">
        <f>2541375</f>
        <v>2541375</v>
      </c>
      <c r="AX34" s="4">
        <f>245876+96451</f>
        <v>342327</v>
      </c>
      <c r="AY34" s="4">
        <f>35210+121800+250750+385000+385000+36000+45000+160600+59400+24660+71840+22000+400000+300000</f>
        <v>2297260</v>
      </c>
      <c r="AZ34" s="4">
        <f t="shared" ref="AZ34:AZ40" si="31">SUM(BC34:BH34)</f>
        <v>4950810</v>
      </c>
      <c r="BA34" s="4">
        <f t="shared" si="11"/>
        <v>7935110</v>
      </c>
      <c r="BB34" s="4">
        <f t="shared" si="21"/>
        <v>7820984</v>
      </c>
      <c r="BC34" s="4">
        <f>2500000</f>
        <v>2500000</v>
      </c>
      <c r="BD34" s="4">
        <f>800229+5255185+6395396</f>
        <v>12450810</v>
      </c>
      <c r="BE34" s="4">
        <v>0</v>
      </c>
      <c r="BF34" s="4">
        <f>-10000000</f>
        <v>-10000000</v>
      </c>
      <c r="BG34" s="4">
        <v>0</v>
      </c>
      <c r="BH34" s="4">
        <v>0</v>
      </c>
      <c r="BI34" s="4">
        <v>0</v>
      </c>
      <c r="BJ34" s="6">
        <v>0</v>
      </c>
      <c r="BK34" s="4">
        <v>0</v>
      </c>
      <c r="BL34" s="4">
        <v>0</v>
      </c>
      <c r="BM34" s="4">
        <v>0</v>
      </c>
      <c r="BN34" s="4">
        <f>73000+30000+48000+503000+500000+17000+1018500+2235600+2780360+286750+130000+260000</f>
        <v>7882210</v>
      </c>
      <c r="BO34" s="4">
        <v>0</v>
      </c>
      <c r="BP34" s="4">
        <v>0</v>
      </c>
      <c r="BQ34" s="4">
        <f>52900</f>
        <v>52900</v>
      </c>
      <c r="BR34" s="4">
        <v>0</v>
      </c>
    </row>
    <row r="35" spans="1:70">
      <c r="A35">
        <v>2025</v>
      </c>
      <c r="B35">
        <v>3</v>
      </c>
      <c r="C35">
        <v>39</v>
      </c>
      <c r="D35">
        <v>69</v>
      </c>
      <c r="E35">
        <v>41</v>
      </c>
      <c r="F35">
        <v>59</v>
      </c>
      <c r="G35" s="4">
        <f t="shared" si="0"/>
        <v>155192944</v>
      </c>
      <c r="H35" s="4">
        <f t="shared" si="1"/>
        <v>118450296</v>
      </c>
      <c r="I35" s="4">
        <f t="shared" si="12"/>
        <v>36742648</v>
      </c>
      <c r="J35" s="4">
        <f t="shared" si="22"/>
        <v>60466197</v>
      </c>
      <c r="K35" s="4">
        <f t="shared" si="2"/>
        <v>122192944</v>
      </c>
      <c r="L35" s="4">
        <f t="shared" si="3"/>
        <v>117564144</v>
      </c>
      <c r="M35" s="4">
        <f t="shared" si="13"/>
        <v>1801000</v>
      </c>
      <c r="N35" s="4">
        <f t="shared" si="4"/>
        <v>118450296</v>
      </c>
      <c r="O35" s="4">
        <f t="shared" si="14"/>
        <v>106275246</v>
      </c>
      <c r="P35" s="4">
        <f t="shared" si="5"/>
        <v>9347250</v>
      </c>
      <c r="Q35" s="4">
        <f t="shared" si="6"/>
        <v>3742648</v>
      </c>
      <c r="R35" s="4">
        <f t="shared" si="7"/>
        <v>-27000000</v>
      </c>
      <c r="S35" s="4">
        <f t="shared" si="8"/>
        <v>60000000</v>
      </c>
      <c r="T35" s="4">
        <f t="shared" si="23"/>
        <v>112597092</v>
      </c>
      <c r="U35" s="4">
        <f t="shared" si="9"/>
        <v>100833358</v>
      </c>
      <c r="V35" s="4">
        <f t="shared" si="16"/>
        <v>11763734</v>
      </c>
      <c r="W35" s="4">
        <f t="shared" si="17"/>
        <v>27666299</v>
      </c>
      <c r="X35" s="4">
        <f t="shared" si="18"/>
        <v>102597092</v>
      </c>
      <c r="Y35" s="4">
        <f t="shared" si="10"/>
        <v>100833358</v>
      </c>
      <c r="Z35" s="4">
        <f t="shared" si="19"/>
        <v>1763734</v>
      </c>
      <c r="AA35" s="4">
        <v>0</v>
      </c>
      <c r="AB35" s="4">
        <f>35262260+7125060+7235415+8443180+136000+5592130+37003047</f>
        <v>100797092</v>
      </c>
      <c r="AC35" s="4">
        <f>4000000+6000000</f>
        <v>10000000</v>
      </c>
      <c r="AD35" s="4">
        <v>0</v>
      </c>
      <c r="AE35" s="4">
        <v>0</v>
      </c>
      <c r="AF35" s="4">
        <f>-64000000-7800000-8600000-4000000-3000000-4000000-10000000+64000000+7800000+8600000+4000000+3000000+4000000+10000000-500000-200000+200000+500000</f>
        <v>0</v>
      </c>
      <c r="AG35" s="4">
        <v>1800000</v>
      </c>
      <c r="AH35" s="4">
        <f>50000+108000+90000+252000+1157130+146000+119330+69340+102000+69000+168000+60000+129000+168000</f>
        <v>2687800</v>
      </c>
      <c r="AI35" s="4">
        <f>165000+1830000+1500000</f>
        <v>3495000</v>
      </c>
      <c r="AJ35" s="4">
        <v>0</v>
      </c>
      <c r="AK35" s="4">
        <f>-5000000-5000000</f>
        <v>-10000000</v>
      </c>
      <c r="AL35" s="4">
        <f>151120+2640000+1650000+1100000+550000*2+1705000+3520000</f>
        <v>11866120</v>
      </c>
      <c r="AM35" s="4">
        <f>200000+600000+640000+400000+32034324+1718990+15708763+5355690+20080</f>
        <v>56677847</v>
      </c>
      <c r="AN35" s="4">
        <f>13026920</f>
        <v>13026920</v>
      </c>
      <c r="AO35" s="4">
        <f>5997200+5799200</f>
        <v>11796400</v>
      </c>
      <c r="AP35" s="4">
        <v>0</v>
      </c>
      <c r="AQ35" s="4">
        <f>-104630+152010+20500+104240+2273500</f>
        <v>2445620</v>
      </c>
      <c r="AR35" s="4">
        <v>0</v>
      </c>
      <c r="AS35" s="4">
        <v>0</v>
      </c>
      <c r="AT35" s="4">
        <v>0</v>
      </c>
      <c r="AU35" s="4">
        <v>0</v>
      </c>
      <c r="AV35" s="4">
        <f>20017+18903+73700</f>
        <v>112620</v>
      </c>
      <c r="AW35" s="4">
        <f>2437505+2755737</f>
        <v>5193242</v>
      </c>
      <c r="AX35" s="4">
        <f>114378+222081</f>
        <v>336459</v>
      </c>
      <c r="AY35" s="4">
        <f>-2000+79000+35210+85800+255930+250750+1000+160600+22690+94250+22000+1415000+3100+385000+385000+1000+1000</f>
        <v>3195330</v>
      </c>
      <c r="AZ35" s="4">
        <f t="shared" si="31"/>
        <v>42595852</v>
      </c>
      <c r="BA35" s="4">
        <f t="shared" si="11"/>
        <v>17616938</v>
      </c>
      <c r="BB35" s="4">
        <f t="shared" si="21"/>
        <v>32799898</v>
      </c>
      <c r="BC35" s="4">
        <f>1000000-4000000-10000000-24000000</f>
        <v>-37000000</v>
      </c>
      <c r="BD35" s="4">
        <f>12660703+4317236+2616913</f>
        <v>19594852</v>
      </c>
      <c r="BE35" s="4">
        <v>60000000</v>
      </c>
      <c r="BF35" s="4">
        <v>0</v>
      </c>
      <c r="BG35" s="4">
        <v>0</v>
      </c>
      <c r="BH35" s="4">
        <v>1000</v>
      </c>
      <c r="BI35" s="4">
        <f>66000+66000+8000</f>
        <v>140000</v>
      </c>
      <c r="BJ35" s="6">
        <v>0</v>
      </c>
      <c r="BK35" s="4">
        <v>0</v>
      </c>
      <c r="BL35" s="5">
        <f>155960+483500+224374</f>
        <v>863834</v>
      </c>
      <c r="BM35" s="5">
        <f>-400-6050-1680-12110</f>
        <v>-20240</v>
      </c>
      <c r="BN35" s="6">
        <f>51000+75240+23900+6000+64600+3168200+202500+1079000+2024000+1279000+2000000+983700+342650+718000+65000+90250+16000+64000+184300+555000+73150</f>
        <v>13065490</v>
      </c>
      <c r="BO35" s="4">
        <v>0</v>
      </c>
      <c r="BP35" s="4">
        <v>0</v>
      </c>
      <c r="BQ35" s="4">
        <f>425790+17064</f>
        <v>442854</v>
      </c>
      <c r="BR35" s="4">
        <f>2010000+35000+1080000</f>
        <v>3125000</v>
      </c>
    </row>
    <row r="36" spans="1:70">
      <c r="A36">
        <v>2025</v>
      </c>
      <c r="B36">
        <v>4</v>
      </c>
      <c r="C36">
        <v>39</v>
      </c>
      <c r="D36">
        <v>69</v>
      </c>
      <c r="E36">
        <v>39</v>
      </c>
      <c r="F36">
        <v>73</v>
      </c>
      <c r="G36" s="4">
        <f t="shared" si="0"/>
        <v>80367879</v>
      </c>
      <c r="H36" s="4">
        <f t="shared" si="1"/>
        <v>103864298</v>
      </c>
      <c r="I36" s="4">
        <f t="shared" si="12"/>
        <v>-23496419</v>
      </c>
      <c r="J36" s="4">
        <f t="shared" si="22"/>
        <v>36969778</v>
      </c>
      <c r="K36" s="4">
        <f t="shared" si="2"/>
        <v>80757879</v>
      </c>
      <c r="L36" s="4">
        <f t="shared" si="3"/>
        <v>70015615</v>
      </c>
      <c r="M36" s="4">
        <f t="shared" si="13"/>
        <v>7200000</v>
      </c>
      <c r="N36" s="4">
        <f t="shared" si="4"/>
        <v>103864298</v>
      </c>
      <c r="O36" s="4">
        <f t="shared" si="14"/>
        <v>89964508</v>
      </c>
      <c r="P36" s="4">
        <f t="shared" si="5"/>
        <v>13357526</v>
      </c>
      <c r="Q36" s="4">
        <f t="shared" si="6"/>
        <v>-23106419</v>
      </c>
      <c r="R36" s="4">
        <f t="shared" si="7"/>
        <v>2610000</v>
      </c>
      <c r="S36" s="4">
        <f t="shared" si="8"/>
        <v>0</v>
      </c>
      <c r="T36" s="4">
        <f t="shared" si="23"/>
        <v>76844664</v>
      </c>
      <c r="U36" s="4">
        <f t="shared" si="9"/>
        <v>91545436</v>
      </c>
      <c r="V36" s="4">
        <f t="shared" si="16"/>
        <v>-14700772</v>
      </c>
      <c r="W36" s="4">
        <f t="shared" si="17"/>
        <v>12965527</v>
      </c>
      <c r="X36" s="4">
        <f t="shared" si="18"/>
        <v>73844664</v>
      </c>
      <c r="Y36" s="4">
        <f t="shared" si="10"/>
        <v>91545436</v>
      </c>
      <c r="Z36" s="4">
        <f t="shared" si="19"/>
        <v>-17700772</v>
      </c>
      <c r="AA36" s="4">
        <v>0</v>
      </c>
      <c r="AB36" s="4">
        <f>33671119+1621620+96030+6385190+24870705</f>
        <v>66644664</v>
      </c>
      <c r="AC36" s="4">
        <v>0</v>
      </c>
      <c r="AD36" s="4">
        <f>3000000</f>
        <v>3000000</v>
      </c>
      <c r="AE36" s="4">
        <v>0</v>
      </c>
      <c r="AF36" s="4">
        <f>-30000000-31425000-3000000-6000000-6000000-4000000-16000000+30000000+31425000+3000000+6000000+6000000+4000000+16000000-500000-200000+200000+500000</f>
        <v>0</v>
      </c>
      <c r="AG36" s="4">
        <f>1800000+5400000</f>
        <v>7200000</v>
      </c>
      <c r="AH36" s="4">
        <f>84000</f>
        <v>84000</v>
      </c>
      <c r="AI36" s="4">
        <f>165000+315000+480000</f>
        <v>960000</v>
      </c>
      <c r="AJ36" s="4">
        <v>0</v>
      </c>
      <c r="AK36" s="4">
        <v>0</v>
      </c>
      <c r="AL36" s="4">
        <f>550000+2640000+1650000+1100000+550000+1705000+3520000</f>
        <v>11715000</v>
      </c>
      <c r="AM36" s="4">
        <f>2543230+363000+700000+800000+70000+1000000+38936100+4022760+2245510+60000+2000000</f>
        <v>52740600</v>
      </c>
      <c r="AN36" s="4">
        <f>3198470+1258840+4675616+100000</f>
        <v>9232926</v>
      </c>
      <c r="AO36" s="4">
        <f>6555450</f>
        <v>6555450</v>
      </c>
      <c r="AP36" s="4">
        <f>-1040</f>
        <v>-1040</v>
      </c>
      <c r="AQ36" s="4">
        <f>2375470+20500+107050</f>
        <v>2503020</v>
      </c>
      <c r="AR36" s="4">
        <f>120000+77000+440000+2237000+94000+63000</f>
        <v>3031000</v>
      </c>
      <c r="AS36" s="4">
        <v>0</v>
      </c>
      <c r="AT36" s="4">
        <v>0</v>
      </c>
      <c r="AU36" s="4">
        <v>0</v>
      </c>
      <c r="AV36" s="4">
        <f>200000+32050</f>
        <v>232050</v>
      </c>
      <c r="AW36" s="4">
        <f>281299+2737612</f>
        <v>3018911</v>
      </c>
      <c r="AX36" s="4">
        <f>126632+253287</f>
        <v>379919</v>
      </c>
      <c r="AY36" s="4">
        <f>35210+252280+250750+33000+160600+23870+113660+224230</f>
        <v>1093600</v>
      </c>
      <c r="AZ36" s="4">
        <f t="shared" si="31"/>
        <v>3523215</v>
      </c>
      <c r="BA36" s="4">
        <f t="shared" si="11"/>
        <v>12318862</v>
      </c>
      <c r="BB36" s="4">
        <f t="shared" si="21"/>
        <v>24004251</v>
      </c>
      <c r="BC36" s="4">
        <f>500000+10000+100000+2000000</f>
        <v>2610000</v>
      </c>
      <c r="BD36" s="4">
        <f>1549560+223521+80000+372370+1289851+397913</f>
        <v>3913215</v>
      </c>
      <c r="BE36" s="4">
        <v>0</v>
      </c>
      <c r="BF36" s="4">
        <f>-3000000</f>
        <v>-3000000</v>
      </c>
      <c r="BG36" s="4">
        <f>3000000-3000000</f>
        <v>0</v>
      </c>
      <c r="BH36" s="4">
        <v>0</v>
      </c>
      <c r="BI36" s="4">
        <f>101592+81672+49000+65000+40000+90000+31000</f>
        <v>458264</v>
      </c>
      <c r="BJ36" s="6">
        <v>0</v>
      </c>
      <c r="BK36" s="4">
        <f>180394</f>
        <v>180394</v>
      </c>
      <c r="BL36" s="5">
        <f>580200+2707600+1063700</f>
        <v>4351500</v>
      </c>
      <c r="BM36" s="5">
        <f>71310</f>
        <v>71310</v>
      </c>
      <c r="BN36" s="4">
        <f>66500+369000+54000+3000000+680000+606000+378000+1183700+361500+550000</f>
        <v>7248700</v>
      </c>
      <c r="BO36" s="4">
        <v>0</v>
      </c>
      <c r="BP36" s="4">
        <v>0</v>
      </c>
      <c r="BQ36" s="4">
        <f>8694</f>
        <v>8694</v>
      </c>
      <c r="BR36" s="4">
        <v>0</v>
      </c>
    </row>
    <row r="37" spans="1:70">
      <c r="A37">
        <v>2025</v>
      </c>
      <c r="B37">
        <v>5</v>
      </c>
      <c r="C37">
        <v>40</v>
      </c>
      <c r="D37">
        <v>69</v>
      </c>
      <c r="E37">
        <v>39</v>
      </c>
      <c r="F37">
        <v>62</v>
      </c>
      <c r="G37" s="4">
        <f t="shared" si="0"/>
        <v>106797944</v>
      </c>
      <c r="H37" s="4">
        <f t="shared" si="1"/>
        <v>84483353</v>
      </c>
      <c r="I37" s="4">
        <f t="shared" si="12"/>
        <v>22314591</v>
      </c>
      <c r="J37" s="4">
        <f t="shared" si="22"/>
        <v>59284369</v>
      </c>
      <c r="K37" s="4">
        <f t="shared" si="2"/>
        <v>108797944</v>
      </c>
      <c r="L37" s="4">
        <f t="shared" si="3"/>
        <v>103573281</v>
      </c>
      <c r="M37" s="4">
        <f t="shared" si="13"/>
        <v>0</v>
      </c>
      <c r="N37" s="4">
        <f t="shared" si="4"/>
        <v>84483353</v>
      </c>
      <c r="O37" s="4">
        <f t="shared" si="14"/>
        <v>82883160</v>
      </c>
      <c r="P37" s="4">
        <f t="shared" si="5"/>
        <v>1375530</v>
      </c>
      <c r="Q37" s="4">
        <f t="shared" si="6"/>
        <v>24314591</v>
      </c>
      <c r="R37" s="4">
        <f t="shared" si="7"/>
        <v>3000000</v>
      </c>
      <c r="S37" s="4">
        <f t="shared" si="8"/>
        <v>0</v>
      </c>
      <c r="T37" s="4">
        <f t="shared" si="23"/>
        <v>100920813</v>
      </c>
      <c r="U37" s="4">
        <f t="shared" si="9"/>
        <v>75518285</v>
      </c>
      <c r="V37" s="4">
        <f t="shared" si="16"/>
        <v>25402528</v>
      </c>
      <c r="W37" s="4">
        <f t="shared" si="17"/>
        <v>38368055</v>
      </c>
      <c r="X37" s="4">
        <f t="shared" si="18"/>
        <v>95920813</v>
      </c>
      <c r="Y37" s="4">
        <f t="shared" si="10"/>
        <v>75518285</v>
      </c>
      <c r="Z37" s="4">
        <f t="shared" si="19"/>
        <v>20402528</v>
      </c>
      <c r="AA37" s="4">
        <v>0</v>
      </c>
      <c r="AB37" s="4">
        <f>41881356+13726948+40312509</f>
        <v>95920813</v>
      </c>
      <c r="AC37" s="4">
        <v>0</v>
      </c>
      <c r="AD37" s="4">
        <v>5000000</v>
      </c>
      <c r="AE37" s="4">
        <v>0</v>
      </c>
      <c r="AF37" s="4">
        <f>4000000-38000000-4000000-5000000-1000000-11000000-15000000+38000000+4000000+5000000+1000000+11000000+15000000-400000-4000000+400000</f>
        <v>0</v>
      </c>
      <c r="AG37" s="4">
        <v>0</v>
      </c>
      <c r="AH37" s="4">
        <v>0</v>
      </c>
      <c r="AI37" s="4">
        <f>165000</f>
        <v>165000</v>
      </c>
      <c r="AJ37" s="4">
        <f>286000</f>
        <v>286000</v>
      </c>
      <c r="AK37" s="4">
        <v>0</v>
      </c>
      <c r="AL37" s="4">
        <f>1320000+720000+600000+1100000+1650000+550000+1705000+3520000+1650000+1100000+550000*2</f>
        <v>15015000</v>
      </c>
      <c r="AM37" s="4">
        <f>543150-435150+60000*2+2420000+55000+37560918+754260+1353800+580200+177283+4643530+363000+453150+1100000+770000+164390+510000</f>
        <v>51133531</v>
      </c>
      <c r="AN37" s="4">
        <v>0</v>
      </c>
      <c r="AO37" s="4">
        <v>0</v>
      </c>
      <c r="AP37" s="4">
        <v>0</v>
      </c>
      <c r="AQ37" s="4">
        <f>2138630+20500+20500</f>
        <v>2179630</v>
      </c>
      <c r="AR37" s="4">
        <f>70000+49600+35000+94000+56000</f>
        <v>304600</v>
      </c>
      <c r="AS37" s="4">
        <v>0</v>
      </c>
      <c r="AT37" s="4">
        <v>0</v>
      </c>
      <c r="AU37" s="4">
        <v>1100000</v>
      </c>
      <c r="AV37" s="4">
        <v>0</v>
      </c>
      <c r="AW37" s="4">
        <f>1544757+2601664</f>
        <v>4146421</v>
      </c>
      <c r="AX37" s="4">
        <f>120763+282410</f>
        <v>403173</v>
      </c>
      <c r="AY37" s="4">
        <f>35210+22000+41800+22000+250750+33000+57600+160600+15050+146920</f>
        <v>784930</v>
      </c>
      <c r="AZ37" s="4">
        <f t="shared" si="31"/>
        <v>5877131</v>
      </c>
      <c r="BA37" s="4">
        <f t="shared" si="11"/>
        <v>8965068</v>
      </c>
      <c r="BB37" s="4">
        <f t="shared" si="21"/>
        <v>20916314</v>
      </c>
      <c r="BC37" s="4">
        <f>3000000</f>
        <v>3000000</v>
      </c>
      <c r="BD37" s="4">
        <f>2689081+5781232-968280+375098</f>
        <v>7877131</v>
      </c>
      <c r="BE37" s="4">
        <v>0</v>
      </c>
      <c r="BF37" s="4">
        <f>-5000000</f>
        <v>-5000000</v>
      </c>
      <c r="BG37" s="4">
        <v>0</v>
      </c>
      <c r="BH37" s="4">
        <v>0</v>
      </c>
      <c r="BI37" s="4">
        <f>134798+89865</f>
        <v>224663</v>
      </c>
      <c r="BJ37" s="6">
        <v>0</v>
      </c>
      <c r="BK37" s="4">
        <f>174575</f>
        <v>174575</v>
      </c>
      <c r="BL37" s="5">
        <f>-968280+968280+968280+2707600</f>
        <v>3675880</v>
      </c>
      <c r="BM37" s="5">
        <f>33040</f>
        <v>33040</v>
      </c>
      <c r="BN37" s="4">
        <f>5000+102000+1638000+144400+54150+698000+1110360+239400+184600+165000+516000</f>
        <v>4856910</v>
      </c>
      <c r="BO37" s="4">
        <v>0</v>
      </c>
      <c r="BP37" s="4">
        <v>0</v>
      </c>
      <c r="BQ37" s="4">
        <v>0</v>
      </c>
      <c r="BR37" s="4">
        <v>0</v>
      </c>
    </row>
    <row r="38" spans="1:70">
      <c r="A38">
        <v>2025</v>
      </c>
      <c r="B38">
        <v>6</v>
      </c>
      <c r="C38">
        <v>38</v>
      </c>
      <c r="D38">
        <v>57</v>
      </c>
      <c r="E38">
        <v>36</v>
      </c>
      <c r="F38">
        <v>61</v>
      </c>
      <c r="G38" s="4">
        <f t="shared" si="0"/>
        <v>75960396</v>
      </c>
      <c r="H38" s="4">
        <f t="shared" si="1"/>
        <v>91904883</v>
      </c>
      <c r="I38" s="4">
        <f t="shared" si="12"/>
        <v>-15944487</v>
      </c>
      <c r="J38" s="4">
        <f t="shared" si="22"/>
        <v>43339882</v>
      </c>
      <c r="K38" s="4">
        <f t="shared" si="2"/>
        <v>75960396</v>
      </c>
      <c r="L38" s="4">
        <f t="shared" si="3"/>
        <v>75715286</v>
      </c>
      <c r="M38" s="4">
        <f t="shared" si="13"/>
        <v>15110</v>
      </c>
      <c r="N38" s="4">
        <f t="shared" si="4"/>
        <v>91904883</v>
      </c>
      <c r="O38" s="4">
        <f t="shared" si="14"/>
        <v>86751483</v>
      </c>
      <c r="P38" s="4">
        <f>SUM(AJ38:AK38,AN38,AY38+BJ38,BR38,BO38,AR38:AT38)</f>
        <v>4923400</v>
      </c>
      <c r="Q38" s="4">
        <f t="shared" si="6"/>
        <v>-15944487</v>
      </c>
      <c r="R38" s="4">
        <f t="shared" si="7"/>
        <v>0</v>
      </c>
      <c r="S38" s="4">
        <f t="shared" si="8"/>
        <v>0</v>
      </c>
      <c r="T38" s="4">
        <f t="shared" si="23"/>
        <v>66950830</v>
      </c>
      <c r="U38" s="4">
        <f t="shared" si="9"/>
        <v>80521101</v>
      </c>
      <c r="V38" s="4">
        <f t="shared" si="16"/>
        <v>-13570271</v>
      </c>
      <c r="W38" s="4">
        <f t="shared" si="17"/>
        <v>24797784</v>
      </c>
      <c r="X38" s="4">
        <f t="shared" si="18"/>
        <v>66950830</v>
      </c>
      <c r="Y38" s="4">
        <f t="shared" si="10"/>
        <v>80521101</v>
      </c>
      <c r="Z38" s="4">
        <f t="shared" si="19"/>
        <v>-13570271</v>
      </c>
      <c r="AA38" s="4">
        <v>0</v>
      </c>
      <c r="AB38" s="4">
        <f>38714231+28228685</f>
        <v>66942916</v>
      </c>
      <c r="AC38" s="4">
        <v>0</v>
      </c>
      <c r="AD38" s="4">
        <v>0</v>
      </c>
      <c r="AE38" s="4">
        <v>0</v>
      </c>
      <c r="AF38" s="4">
        <f>-50000000-5000000-5000000-9000000+50000000+5000000+5000000+9000000</f>
        <v>0</v>
      </c>
      <c r="AG38" s="4">
        <f>4747+2997+74+96</f>
        <v>7914</v>
      </c>
      <c r="AH38" s="4">
        <f>168000+62000</f>
        <v>230000</v>
      </c>
      <c r="AI38" s="4">
        <f>165000+139500</f>
        <v>304500</v>
      </c>
      <c r="AJ38" s="4">
        <v>0</v>
      </c>
      <c r="AK38" s="4">
        <f>200000+1800000</f>
        <v>2000000</v>
      </c>
      <c r="AL38" s="4">
        <f>1320000+720000+600000+410000+1705000+3520000</f>
        <v>8275000</v>
      </c>
      <c r="AM38" s="4">
        <f>580200+203070+180000+2420000+46203591+4230250+90750</f>
        <v>53907861</v>
      </c>
      <c r="AN38" s="4">
        <v>1500000</v>
      </c>
      <c r="AO38" s="4">
        <v>7285410</v>
      </c>
      <c r="AP38" s="4">
        <f>422320</f>
        <v>422320</v>
      </c>
      <c r="AQ38" s="4">
        <f>368720+250110+70490</f>
        <v>689320</v>
      </c>
      <c r="AR38" s="4">
        <f>56000+59000</f>
        <v>115000</v>
      </c>
      <c r="AS38" s="4">
        <v>0</v>
      </c>
      <c r="AT38" s="4">
        <v>0</v>
      </c>
      <c r="AU38" s="4">
        <f>550000+550000</f>
        <v>1100000</v>
      </c>
      <c r="AV38" s="4">
        <v>0</v>
      </c>
      <c r="AW38" s="4">
        <v>3019800</v>
      </c>
      <c r="AX38" s="4">
        <f>118734+244756</f>
        <v>363490</v>
      </c>
      <c r="AY38" s="4">
        <f>48000+4400+35210+22000+41800+3100+10000+250750+2000+33000+5200+160600+19150+112190+561000</f>
        <v>1308400</v>
      </c>
      <c r="AZ38" s="4">
        <f t="shared" si="31"/>
        <v>9009566</v>
      </c>
      <c r="BA38" s="4">
        <f t="shared" si="11"/>
        <v>11383782</v>
      </c>
      <c r="BB38" s="4">
        <f t="shared" si="21"/>
        <v>18542098</v>
      </c>
      <c r="BC38" s="4">
        <v>0</v>
      </c>
      <c r="BD38" s="4">
        <f>780410-5113+5446868+1550291+1229914</f>
        <v>9002370</v>
      </c>
      <c r="BE38" s="4">
        <v>0</v>
      </c>
      <c r="BF38" s="4">
        <v>0</v>
      </c>
      <c r="BG38" s="4">
        <v>0</v>
      </c>
      <c r="BH38" s="4">
        <f>5113+2083</f>
        <v>7196</v>
      </c>
      <c r="BI38" s="4">
        <v>0</v>
      </c>
      <c r="BJ38" s="6">
        <v>0</v>
      </c>
      <c r="BK38" s="4">
        <f>180394</f>
        <v>180394</v>
      </c>
      <c r="BL38" s="5">
        <f>2707600+968280</f>
        <v>3675880</v>
      </c>
      <c r="BM38" s="5">
        <f>-1173280+30040+3000</f>
        <v>-1140240</v>
      </c>
      <c r="BN38" s="4">
        <f>24000+393000+529000+1500000+376500+64000+648000+1251000+18050+15000+1110000+167960</f>
        <v>6096510</v>
      </c>
      <c r="BO38" s="4">
        <v>0</v>
      </c>
      <c r="BP38" s="4">
        <v>0</v>
      </c>
      <c r="BQ38" s="4">
        <f>2571238</f>
        <v>2571238</v>
      </c>
      <c r="BR38" s="4">
        <v>0</v>
      </c>
    </row>
    <row r="39" spans="1:70">
      <c r="A39">
        <v>2025</v>
      </c>
      <c r="B39">
        <v>7</v>
      </c>
      <c r="C39">
        <v>39</v>
      </c>
      <c r="D39">
        <v>57</v>
      </c>
      <c r="E39">
        <v>34</v>
      </c>
      <c r="F39">
        <v>57</v>
      </c>
      <c r="G39" s="4">
        <f t="shared" si="0"/>
        <v>101536006</v>
      </c>
      <c r="H39" s="4">
        <f t="shared" si="1"/>
        <v>98343375</v>
      </c>
      <c r="I39" s="4">
        <f t="shared" si="12"/>
        <v>3192631</v>
      </c>
      <c r="J39" s="4">
        <f t="shared" si="22"/>
        <v>46532513</v>
      </c>
      <c r="K39" s="4">
        <f t="shared" si="2"/>
        <v>99536006</v>
      </c>
      <c r="L39" s="4">
        <f t="shared" si="3"/>
        <v>97556006</v>
      </c>
      <c r="M39" s="4">
        <f t="shared" si="13"/>
        <v>1800000</v>
      </c>
      <c r="N39" s="4">
        <f t="shared" si="4"/>
        <v>98343375</v>
      </c>
      <c r="O39" s="4">
        <f t="shared" si="14"/>
        <v>96268329</v>
      </c>
      <c r="P39" s="4">
        <f t="shared" si="5"/>
        <v>1895046</v>
      </c>
      <c r="Q39" s="4">
        <f t="shared" si="6"/>
        <v>1192631</v>
      </c>
      <c r="R39" s="4">
        <f t="shared" si="7"/>
        <v>2000000</v>
      </c>
      <c r="S39" s="4">
        <f t="shared" si="8"/>
        <v>0</v>
      </c>
      <c r="T39" s="4">
        <f t="shared" si="23"/>
        <v>100313568</v>
      </c>
      <c r="U39" s="4">
        <f t="shared" si="9"/>
        <v>89848002</v>
      </c>
      <c r="V39" s="4">
        <f t="shared" si="16"/>
        <v>10465566</v>
      </c>
      <c r="W39" s="4">
        <f t="shared" si="17"/>
        <v>35263350</v>
      </c>
      <c r="X39" s="4">
        <f t="shared" si="18"/>
        <v>94313568</v>
      </c>
      <c r="Y39" s="4">
        <f t="shared" si="10"/>
        <v>89848002</v>
      </c>
      <c r="Z39" s="4">
        <f t="shared" si="19"/>
        <v>4465566</v>
      </c>
      <c r="AA39" s="4">
        <v>0</v>
      </c>
      <c r="AB39" s="4">
        <f>46656995+1769130+10200158+14213155+19674130</f>
        <v>92513568</v>
      </c>
      <c r="AC39" s="4">
        <f>2500000+1500000+2000000</f>
        <v>6000000</v>
      </c>
      <c r="AD39" s="4">
        <v>0</v>
      </c>
      <c r="AE39" s="4">
        <v>0</v>
      </c>
      <c r="AF39" s="4">
        <f>5000000-36000000-30000000-3000000-1800000-1400000-2000000-4000000-6000000-15000000+36000000+30000000+3000000+1800000+1400000+2000000+4000000+6000000+15000000-300000-300000-5000000+300000*2</f>
        <v>0</v>
      </c>
      <c r="AG39" s="4">
        <f>1800000</f>
        <v>1800000</v>
      </c>
      <c r="AH39" s="4">
        <f>180000</f>
        <v>180000</v>
      </c>
      <c r="AI39" s="4">
        <f>165000+110000</f>
        <v>275000</v>
      </c>
      <c r="AJ39" s="4">
        <v>0</v>
      </c>
      <c r="AK39" s="4">
        <v>0</v>
      </c>
      <c r="AL39" s="4">
        <f>1650000+1100000+1320000+720000+600000+550000+550000+550000+1705000+3520000</f>
        <v>12265000</v>
      </c>
      <c r="AM39" s="4">
        <f>2475000+1284260+46622460+4199090+2400000+770000+272250</f>
        <v>58023060</v>
      </c>
      <c r="AN39" s="4">
        <v>0</v>
      </c>
      <c r="AO39" s="4">
        <f>6549950</f>
        <v>6549950</v>
      </c>
      <c r="AP39" s="4">
        <f>1080890+12000</f>
        <v>1092890</v>
      </c>
      <c r="AQ39" s="4">
        <f>13900+20500+4940+3678950+2120910</f>
        <v>5839200</v>
      </c>
      <c r="AR39" s="4">
        <v>0</v>
      </c>
      <c r="AS39" s="4">
        <v>0</v>
      </c>
      <c r="AT39" s="4">
        <v>0</v>
      </c>
      <c r="AU39" s="4">
        <f>550000</f>
        <v>550000</v>
      </c>
      <c r="AV39" s="4">
        <v>0</v>
      </c>
      <c r="AW39" s="4">
        <f>2773640</f>
        <v>2773640</v>
      </c>
      <c r="AX39" s="4">
        <f>114904+326738</f>
        <v>441642</v>
      </c>
      <c r="AY39" s="4">
        <f>35210+63800+39200+385000*3+250750+33000+160600+11640+108420</f>
        <v>1857620</v>
      </c>
      <c r="AZ39" s="4">
        <f t="shared" si="31"/>
        <v>1222438</v>
      </c>
      <c r="BA39" s="4">
        <f t="shared" si="11"/>
        <v>8495373</v>
      </c>
      <c r="BB39" s="4">
        <f t="shared" si="21"/>
        <v>11269163</v>
      </c>
      <c r="BC39" s="4">
        <f>-2000000-2000000</f>
        <v>-4000000</v>
      </c>
      <c r="BD39" s="4">
        <f>4855501+366937</f>
        <v>5222438</v>
      </c>
      <c r="BE39" s="4">
        <v>0</v>
      </c>
      <c r="BF39" s="4">
        <v>0</v>
      </c>
      <c r="BG39" s="4">
        <v>0</v>
      </c>
      <c r="BH39" s="4">
        <v>0</v>
      </c>
      <c r="BI39" s="4">
        <v>0</v>
      </c>
      <c r="BJ39" s="6">
        <v>0</v>
      </c>
      <c r="BK39" s="4">
        <f>160767</f>
        <v>160767</v>
      </c>
      <c r="BL39" s="4">
        <v>0</v>
      </c>
      <c r="BM39" s="4">
        <v>0</v>
      </c>
      <c r="BN39" s="4">
        <f>492000+125000+1813500+175500+1000000+648000+64000+40500+555000+730500+292500+225000</f>
        <v>6161500</v>
      </c>
      <c r="BO39" s="4">
        <v>0</v>
      </c>
      <c r="BP39" s="4">
        <v>0</v>
      </c>
      <c r="BQ39" s="4">
        <f>2135680</f>
        <v>2135680</v>
      </c>
      <c r="BR39" s="4">
        <f>28070+9356</f>
        <v>37426</v>
      </c>
    </row>
    <row r="40" spans="1:70">
      <c r="A40">
        <v>2025</v>
      </c>
      <c r="B40">
        <v>8</v>
      </c>
      <c r="C40">
        <v>39</v>
      </c>
      <c r="D40">
        <v>57</v>
      </c>
      <c r="E40">
        <v>32</v>
      </c>
      <c r="F40">
        <v>49</v>
      </c>
      <c r="G40" s="4">
        <f t="shared" si="0"/>
        <v>69060888</v>
      </c>
      <c r="H40" s="4">
        <f t="shared" si="1"/>
        <v>96131041</v>
      </c>
      <c r="I40" s="4">
        <f t="shared" si="12"/>
        <v>-27070153</v>
      </c>
      <c r="J40" s="4">
        <f t="shared" si="22"/>
        <v>19462360</v>
      </c>
      <c r="K40" s="4">
        <f t="shared" si="2"/>
        <v>72660888</v>
      </c>
      <c r="L40" s="4">
        <f t="shared" si="3"/>
        <v>65419266</v>
      </c>
      <c r="M40" s="4">
        <f t="shared" si="13"/>
        <v>150000</v>
      </c>
      <c r="N40" s="4">
        <f t="shared" si="4"/>
        <v>96131041</v>
      </c>
      <c r="O40" s="4">
        <f t="shared" si="14"/>
        <v>93456749</v>
      </c>
      <c r="P40" s="4">
        <f t="shared" si="5"/>
        <v>582670</v>
      </c>
      <c r="Q40" s="4">
        <f t="shared" si="6"/>
        <v>-23470153</v>
      </c>
      <c r="R40" s="4">
        <f t="shared" si="7"/>
        <v>1400000</v>
      </c>
      <c r="S40" s="4">
        <f t="shared" si="8"/>
        <v>0</v>
      </c>
      <c r="T40" s="4">
        <f t="shared" si="23"/>
        <v>67831315</v>
      </c>
      <c r="U40" s="4">
        <f t="shared" si="9"/>
        <v>89542535</v>
      </c>
      <c r="V40" s="4">
        <f t="shared" si="16"/>
        <v>-21711220</v>
      </c>
      <c r="W40" s="4">
        <f t="shared" si="17"/>
        <v>13552130</v>
      </c>
      <c r="X40" s="4">
        <f t="shared" si="18"/>
        <v>60681315</v>
      </c>
      <c r="Y40" s="4">
        <f t="shared" si="10"/>
        <v>89542535</v>
      </c>
      <c r="Z40" s="4">
        <f t="shared" si="19"/>
        <v>-28861220</v>
      </c>
      <c r="AA40" s="4">
        <v>0</v>
      </c>
      <c r="AB40" s="4">
        <f>20804916+14744017+25132382</f>
        <v>60681315</v>
      </c>
      <c r="AC40" s="4">
        <f>2000000</f>
        <v>2000000</v>
      </c>
      <c r="AD40" s="4">
        <f>5000000+150000</f>
        <v>5150000</v>
      </c>
      <c r="AE40" s="4">
        <v>0</v>
      </c>
      <c r="AF40" s="4">
        <f>-43000000-2600000-5000000-5000000-10000000-1000000-5000000-9000000+43000000+2600000+5000000+5000000+10000000+1000000+5000000+9000000</f>
        <v>0</v>
      </c>
      <c r="AG40" s="4">
        <v>0</v>
      </c>
      <c r="AH40" s="4">
        <f>63000+35000+322000+800000+206440+94000+99920+208000</f>
        <v>1828360</v>
      </c>
      <c r="AI40" s="4">
        <f>165000+110000</f>
        <v>275000</v>
      </c>
      <c r="AJ40" s="4">
        <v>0</v>
      </c>
      <c r="AK40" s="4">
        <v>0</v>
      </c>
      <c r="AL40" s="4">
        <f>410000+1100000+1100000+3300000+1705000+1320000+720000+600000+1100000+3520000</f>
        <v>14875000</v>
      </c>
      <c r="AM40" s="4">
        <f>52877037+1133000+869399+1424887</f>
        <v>56304323</v>
      </c>
      <c r="AN40" s="4">
        <v>0</v>
      </c>
      <c r="AO40" s="4">
        <f>6345240</f>
        <v>6345240</v>
      </c>
      <c r="AP40" s="4">
        <f>1105010+16000+282250</f>
        <v>1403260</v>
      </c>
      <c r="AQ40" s="4">
        <f>87240+41000+1920+2286720+8660</f>
        <v>2425540</v>
      </c>
      <c r="AR40" s="4">
        <f>-63000</f>
        <v>-63000</v>
      </c>
      <c r="AS40" s="4">
        <v>0</v>
      </c>
      <c r="AT40" s="4">
        <v>0</v>
      </c>
      <c r="AU40" s="4">
        <f>550000</f>
        <v>550000</v>
      </c>
      <c r="AV40" s="4">
        <v>0</v>
      </c>
      <c r="AW40" s="4">
        <f>2513722+2046884</f>
        <v>4560606</v>
      </c>
      <c r="AX40" s="4">
        <f>117698+274838</f>
        <v>392536</v>
      </c>
      <c r="AY40" s="4">
        <f>35210+63800+250750+33000+160600+18100+84210</f>
        <v>645670</v>
      </c>
      <c r="AZ40" s="4">
        <f t="shared" si="31"/>
        <v>1229573</v>
      </c>
      <c r="BA40" s="4">
        <f t="shared" si="11"/>
        <v>6588506</v>
      </c>
      <c r="BB40" s="4">
        <f t="shared" si="21"/>
        <v>5910230</v>
      </c>
      <c r="BC40" s="4">
        <f>2000000-4000000+1000000+400000</f>
        <v>-600000</v>
      </c>
      <c r="BD40" s="4">
        <f>635300+914569+603123+2087791+94000+99920+4151870-1757000</f>
        <v>6829573</v>
      </c>
      <c r="BE40" s="4">
        <v>0</v>
      </c>
      <c r="BF40" s="4">
        <f>-5000000</f>
        <v>-5000000</v>
      </c>
      <c r="BG40" s="4">
        <v>0</v>
      </c>
      <c r="BH40" s="4">
        <v>0</v>
      </c>
      <c r="BI40" s="4">
        <f>11000+73704+150000+28558</f>
        <v>263262</v>
      </c>
      <c r="BJ40" s="6">
        <v>0</v>
      </c>
      <c r="BK40" s="4">
        <f>166126</f>
        <v>166126</v>
      </c>
      <c r="BL40" s="4">
        <v>0</v>
      </c>
      <c r="BM40" s="4">
        <f>55000</f>
        <v>55000</v>
      </c>
      <c r="BN40" s="5">
        <f>54150+18050+436000+1669150+64000+64000+551000+338000</f>
        <v>3194350</v>
      </c>
      <c r="BO40" s="4">
        <v>0</v>
      </c>
      <c r="BP40" s="4">
        <v>0</v>
      </c>
      <c r="BQ40" s="4">
        <f>1085840+1823928</f>
        <v>2909768</v>
      </c>
      <c r="BR40" s="4">
        <v>0</v>
      </c>
    </row>
    <row r="41" spans="1:70">
      <c r="A41">
        <v>2025</v>
      </c>
      <c r="B41">
        <v>9</v>
      </c>
      <c r="C41">
        <v>34</v>
      </c>
      <c r="D41">
        <v>63</v>
      </c>
      <c r="E41">
        <v>30</v>
      </c>
      <c r="F41">
        <v>53</v>
      </c>
      <c r="G41" s="4">
        <f t="shared" si="0"/>
        <v>70323935</v>
      </c>
      <c r="H41" s="4">
        <f t="shared" si="1"/>
        <v>77478177</v>
      </c>
      <c r="I41" s="4">
        <f t="shared" ref="I41" si="32">G41-H41</f>
        <v>-7154242</v>
      </c>
      <c r="J41" s="4">
        <f t="shared" ref="J41" si="33">J40+G41-H41</f>
        <v>12308118</v>
      </c>
      <c r="K41" s="4">
        <f t="shared" si="2"/>
        <v>72323935</v>
      </c>
      <c r="L41" s="4">
        <f t="shared" si="3"/>
        <v>67665154</v>
      </c>
      <c r="M41" s="4">
        <f t="shared" si="13"/>
        <v>141739</v>
      </c>
      <c r="N41" s="4">
        <f t="shared" si="4"/>
        <v>77478177</v>
      </c>
      <c r="O41" s="4">
        <f t="shared" si="14"/>
        <v>76320535</v>
      </c>
      <c r="P41" s="4">
        <f t="shared" si="5"/>
        <v>-1359400</v>
      </c>
      <c r="Q41" s="4">
        <f t="shared" si="6"/>
        <v>-5154242</v>
      </c>
      <c r="R41" s="4">
        <f t="shared" si="7"/>
        <v>0</v>
      </c>
      <c r="S41" s="4">
        <f t="shared" si="8"/>
        <v>0</v>
      </c>
      <c r="T41" s="4">
        <f t="shared" ref="T41" si="34">SUM(AA41:AG41)</f>
        <v>62661342</v>
      </c>
      <c r="U41" s="4">
        <f t="shared" si="9"/>
        <v>73866951</v>
      </c>
      <c r="V41" s="4">
        <f t="shared" ref="V41" si="35">T41-U41</f>
        <v>-11205609</v>
      </c>
      <c r="W41" s="4">
        <f t="shared" ref="W41" si="36">W40+T41-U41</f>
        <v>2346521</v>
      </c>
      <c r="X41" s="4">
        <f t="shared" si="18"/>
        <v>60661342</v>
      </c>
      <c r="Y41" s="4">
        <f t="shared" si="10"/>
        <v>73866951</v>
      </c>
      <c r="Z41" s="4">
        <f t="shared" ref="Z41" si="37">X41-Y41</f>
        <v>-13205609</v>
      </c>
      <c r="AA41" s="4">
        <v>0</v>
      </c>
      <c r="AB41" s="4">
        <f>62521342-2000000</f>
        <v>60521342</v>
      </c>
      <c r="AC41" s="4">
        <v>0</v>
      </c>
      <c r="AD41" s="4">
        <f>2000000</f>
        <v>2000000</v>
      </c>
      <c r="AE41" s="4">
        <v>0</v>
      </c>
      <c r="AF41" s="4">
        <f>-43000000-2600000-5000000-5000000-10000000-1000000-5000000-9000000+43000000+2600000+5000000+5000000+10000000+1000000+5000000+9000000</f>
        <v>0</v>
      </c>
      <c r="AG41" s="4">
        <v>140000</v>
      </c>
      <c r="AH41" s="4">
        <f>2253780</f>
        <v>2253780</v>
      </c>
      <c r="AI41" s="4">
        <f>165000+110000</f>
        <v>275000</v>
      </c>
      <c r="AJ41" s="4">
        <v>0</v>
      </c>
      <c r="AK41" s="4">
        <v>0</v>
      </c>
      <c r="AL41" s="4">
        <f>1705000+600000+720000+1320000</f>
        <v>4345000</v>
      </c>
      <c r="AM41" s="4">
        <f>363000+660000+770000+1696450+5275440+1257100+290100+274511+451615+580200+1257100+580200+1120245+2417500+2610900+1015350+2417500+275600+1760680+2127400+2224100+1888680+2628850+1249009+2617330+2251650+3156310+1992070+2083590+2693760+2522340+261090</f>
        <v>52769670</v>
      </c>
      <c r="AN41" s="4">
        <v>0</v>
      </c>
      <c r="AO41" s="4">
        <f>6885010</f>
        <v>6885010</v>
      </c>
      <c r="AP41" s="4">
        <f>104260+688040+355120</f>
        <v>1147420</v>
      </c>
      <c r="AQ41" s="4">
        <f>131950+21750*6+32200+26500*2</f>
        <v>347650</v>
      </c>
      <c r="AR41" s="4">
        <f>1807000</f>
        <v>1807000</v>
      </c>
      <c r="AS41" s="4">
        <v>0</v>
      </c>
      <c r="AT41" s="4">
        <v>0</v>
      </c>
      <c r="AU41" s="4">
        <f>550000+33000</f>
        <v>583000</v>
      </c>
      <c r="AV41" s="4">
        <f>50031+24928+160000</f>
        <v>234959</v>
      </c>
      <c r="AW41" s="4">
        <v>2792326</v>
      </c>
      <c r="AX41" s="4">
        <f>117698+274838</f>
        <v>392536</v>
      </c>
      <c r="AY41" s="4">
        <f>28000+5600</f>
        <v>33600</v>
      </c>
      <c r="AZ41" s="4">
        <f t="shared" ref="AZ41" si="38">SUM(BC41:BH41)</f>
        <v>7662593</v>
      </c>
      <c r="BA41" s="4">
        <f t="shared" si="11"/>
        <v>3611226</v>
      </c>
      <c r="BB41" s="4">
        <f t="shared" ref="BB41" si="39">BB40+AZ41-BA41</f>
        <v>9961597</v>
      </c>
      <c r="BC41" s="4">
        <v>0</v>
      </c>
      <c r="BD41" s="4">
        <f>11901955-3500000-1+422276+47808+119520+159062+336232+174002</f>
        <v>9660854</v>
      </c>
      <c r="BE41" s="4">
        <v>0</v>
      </c>
      <c r="BF41" s="4">
        <f>-2000000</f>
        <v>-2000000</v>
      </c>
      <c r="BG41" s="4">
        <v>0</v>
      </c>
      <c r="BH41" s="4">
        <f>1+1738</f>
        <v>1739</v>
      </c>
      <c r="BI41" s="4">
        <f>11000+73704+150000+28558</f>
        <v>263262</v>
      </c>
      <c r="BJ41" s="6">
        <v>0</v>
      </c>
      <c r="BK41" s="4">
        <f>166126</f>
        <v>166126</v>
      </c>
      <c r="BL41" s="4">
        <v>0</v>
      </c>
      <c r="BM41" s="4">
        <f>55000</f>
        <v>55000</v>
      </c>
      <c r="BN41" s="6">
        <f>57950+53200+703000+64000+27000+2174170+36000+291750</f>
        <v>3407070</v>
      </c>
      <c r="BO41" s="4">
        <v>-3500000</v>
      </c>
      <c r="BP41" s="4">
        <f>10000</f>
        <v>10000</v>
      </c>
      <c r="BQ41" s="4">
        <f>1085840+1823928</f>
        <v>2909768</v>
      </c>
      <c r="BR41" s="4">
        <f>300000</f>
        <v>300000</v>
      </c>
    </row>
    <row r="42" spans="1:70">
      <c r="BJ42" s="6"/>
    </row>
    <row r="43" spans="1:70">
      <c r="BJ43" s="6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6D875-0EFA-410E-B2E1-9905684F0593}">
  <dimension ref="A1:BO54"/>
  <sheetViews>
    <sheetView zoomScale="75" zoomScaleNormal="55" workbookViewId="0">
      <pane xSplit="2" ySplit="1" topLeftCell="C2" activePane="bottomRight" state="frozen"/>
      <selection activeCell="K40" sqref="K40"/>
      <selection pane="topRight" activeCell="K40" sqref="K40"/>
      <selection pane="bottomLeft" activeCell="K40" sqref="K40"/>
      <selection pane="bottomRight" activeCell="L3" sqref="L3:L40"/>
    </sheetView>
  </sheetViews>
  <sheetFormatPr baseColWidth="10" defaultColWidth="8.83203125" defaultRowHeight="16"/>
  <cols>
    <col min="1" max="1" width="6.33203125" bestFit="1" customWidth="1"/>
    <col min="2" max="2" width="4.33203125" bestFit="1" customWidth="1"/>
    <col min="3" max="3" width="6" bestFit="1" customWidth="1"/>
    <col min="4" max="4" width="7.83203125" bestFit="1" customWidth="1"/>
    <col min="5" max="6" width="6" bestFit="1" customWidth="1"/>
    <col min="7" max="8" width="14.1640625" style="4" bestFit="1" customWidth="1"/>
    <col min="9" max="9" width="14.1640625" style="4" customWidth="1"/>
    <col min="10" max="10" width="14.1640625" style="4" bestFit="1" customWidth="1"/>
    <col min="11" max="15" width="14.1640625" style="4" customWidth="1"/>
    <col min="16" max="17" width="14.1640625" style="4" bestFit="1" customWidth="1"/>
    <col min="18" max="18" width="14.1640625" style="4" customWidth="1"/>
    <col min="19" max="19" width="14.1640625" style="4" bestFit="1" customWidth="1"/>
    <col min="20" max="22" width="14.1640625" style="4" customWidth="1"/>
    <col min="23" max="23" width="14.1640625" style="4" bestFit="1" customWidth="1"/>
    <col min="24" max="24" width="13.1640625" style="4" bestFit="1" customWidth="1"/>
    <col min="25" max="25" width="13.1640625" style="4" customWidth="1"/>
    <col min="26" max="26" width="18.33203125" style="4" bestFit="1" customWidth="1"/>
    <col min="27" max="29" width="13.1640625" style="4" customWidth="1"/>
    <col min="30" max="30" width="12.5" style="4" bestFit="1" customWidth="1"/>
    <col min="31" max="31" width="14" style="4" bestFit="1" customWidth="1"/>
    <col min="32" max="32" width="13.6640625" style="4" bestFit="1" customWidth="1"/>
    <col min="33" max="33" width="13.5" style="4" bestFit="1" customWidth="1"/>
    <col min="34" max="34" width="12.5" style="4" bestFit="1" customWidth="1"/>
    <col min="35" max="35" width="13.1640625" style="4" bestFit="1" customWidth="1"/>
    <col min="36" max="37" width="13.1640625" style="4" customWidth="1"/>
    <col min="38" max="38" width="11.33203125" style="4" bestFit="1" customWidth="1"/>
    <col min="39" max="39" width="11.33203125" style="4" customWidth="1"/>
    <col min="40" max="40" width="12.5" style="4" bestFit="1" customWidth="1"/>
    <col min="41" max="41" width="12" style="4" bestFit="1" customWidth="1"/>
    <col min="42" max="42" width="12" style="4" customWidth="1"/>
    <col min="43" max="43" width="13.1640625" style="4" bestFit="1" customWidth="1"/>
    <col min="44" max="45" width="12" style="4" bestFit="1" customWidth="1"/>
    <col min="46" max="46" width="12" style="4" customWidth="1"/>
    <col min="47" max="47" width="12" style="4" bestFit="1" customWidth="1"/>
    <col min="48" max="48" width="16.83203125" style="4" bestFit="1" customWidth="1"/>
    <col min="49" max="51" width="14.1640625" style="4" bestFit="1" customWidth="1"/>
    <col min="52" max="52" width="14.1640625" style="4" customWidth="1"/>
    <col min="53" max="53" width="13.1640625" style="4" bestFit="1" customWidth="1"/>
    <col min="54" max="57" width="13.1640625" style="4" customWidth="1"/>
    <col min="58" max="58" width="12.5" style="4" bestFit="1" customWidth="1"/>
    <col min="59" max="59" width="12.5" style="4" customWidth="1"/>
    <col min="60" max="60" width="11.33203125" style="4" bestFit="1" customWidth="1"/>
    <col min="61" max="61" width="13.1640625" style="4" bestFit="1" customWidth="1"/>
    <col min="62" max="62" width="11.33203125" style="4" bestFit="1" customWidth="1"/>
    <col min="63" max="64" width="13.1640625" style="4" bestFit="1" customWidth="1"/>
    <col min="65" max="66" width="12" style="4" bestFit="1" customWidth="1"/>
    <col min="67" max="67" width="16.83203125" style="4" bestFit="1" customWidth="1"/>
  </cols>
  <sheetData>
    <row r="1" spans="1:67">
      <c r="A1" t="s">
        <v>172</v>
      </c>
      <c r="B1" t="s">
        <v>128</v>
      </c>
      <c r="C1" t="s">
        <v>129</v>
      </c>
      <c r="D1" t="s">
        <v>8</v>
      </c>
      <c r="E1" t="s">
        <v>10</v>
      </c>
      <c r="F1" t="s">
        <v>130</v>
      </c>
      <c r="G1" s="4" t="s">
        <v>146</v>
      </c>
      <c r="H1" s="4" t="s">
        <v>147</v>
      </c>
      <c r="I1" s="4" t="s">
        <v>170</v>
      </c>
      <c r="J1" s="4" t="s">
        <v>148</v>
      </c>
      <c r="K1" s="4" t="s">
        <v>167</v>
      </c>
      <c r="L1" s="4" t="s">
        <v>168</v>
      </c>
      <c r="M1" s="4" t="s">
        <v>169</v>
      </c>
      <c r="N1" s="4" t="s">
        <v>174</v>
      </c>
      <c r="O1" s="4" t="s">
        <v>173</v>
      </c>
      <c r="P1" s="4" t="s">
        <v>150</v>
      </c>
      <c r="Q1" s="4" t="s">
        <v>151</v>
      </c>
      <c r="R1" s="4" t="s">
        <v>171</v>
      </c>
      <c r="S1" s="4" t="s">
        <v>152</v>
      </c>
      <c r="T1" s="4" t="s">
        <v>164</v>
      </c>
      <c r="U1" s="4" t="s">
        <v>165</v>
      </c>
      <c r="V1" s="4" t="s">
        <v>166</v>
      </c>
      <c r="W1" s="4" t="s">
        <v>132</v>
      </c>
      <c r="X1" s="4" t="s">
        <v>2</v>
      </c>
      <c r="Y1" s="4" t="s">
        <v>149</v>
      </c>
      <c r="Z1" s="4" t="s">
        <v>163</v>
      </c>
      <c r="AA1" s="4" t="s">
        <v>154</v>
      </c>
      <c r="AB1" s="4" t="s">
        <v>153</v>
      </c>
      <c r="AC1" s="4" t="s">
        <v>156</v>
      </c>
      <c r="AD1" s="4" t="s">
        <v>144</v>
      </c>
      <c r="AE1" s="4" t="s">
        <v>133</v>
      </c>
      <c r="AF1" s="4" t="s">
        <v>134</v>
      </c>
      <c r="AG1" s="4" t="s">
        <v>138</v>
      </c>
      <c r="AH1" s="4" t="s">
        <v>139</v>
      </c>
      <c r="AI1" s="4" t="s">
        <v>140</v>
      </c>
      <c r="AJ1" s="4" t="s">
        <v>158</v>
      </c>
      <c r="AK1" s="4" t="s">
        <v>7</v>
      </c>
      <c r="AL1" s="4" t="s">
        <v>143</v>
      </c>
      <c r="AM1" s="4" t="s">
        <v>22</v>
      </c>
      <c r="AN1" s="4" t="s">
        <v>141</v>
      </c>
      <c r="AO1" s="4" t="s">
        <v>145</v>
      </c>
      <c r="AP1" s="4" t="s">
        <v>157</v>
      </c>
      <c r="AQ1" s="4" t="s">
        <v>142</v>
      </c>
      <c r="AR1" s="4" t="s">
        <v>137</v>
      </c>
      <c r="AS1" s="4" t="s">
        <v>136</v>
      </c>
      <c r="AT1" s="4" t="s">
        <v>155</v>
      </c>
      <c r="AU1" s="4" t="s">
        <v>135</v>
      </c>
      <c r="AV1" s="4" t="s">
        <v>131</v>
      </c>
      <c r="AW1" s="4" t="s">
        <v>160</v>
      </c>
      <c r="AX1" s="4" t="s">
        <v>161</v>
      </c>
      <c r="AY1" s="4" t="s">
        <v>159</v>
      </c>
      <c r="AZ1" s="4" t="s">
        <v>149</v>
      </c>
      <c r="BA1" s="4" t="s">
        <v>6</v>
      </c>
      <c r="BB1" s="4" t="s">
        <v>154</v>
      </c>
      <c r="BC1" s="4" t="s">
        <v>150</v>
      </c>
      <c r="BD1" s="4" t="s">
        <v>162</v>
      </c>
      <c r="BE1" s="4" t="s">
        <v>156</v>
      </c>
      <c r="BF1" s="4" t="s">
        <v>144</v>
      </c>
      <c r="BG1" s="4" t="s">
        <v>134</v>
      </c>
      <c r="BH1" s="4" t="s">
        <v>155</v>
      </c>
      <c r="BI1" s="4" t="s">
        <v>140</v>
      </c>
      <c r="BJ1" s="4" t="s">
        <v>143</v>
      </c>
      <c r="BK1" s="4" t="s">
        <v>145</v>
      </c>
      <c r="BL1" s="4" t="s">
        <v>142</v>
      </c>
      <c r="BM1" s="4" t="s">
        <v>137</v>
      </c>
      <c r="BN1" s="4" t="s">
        <v>136</v>
      </c>
      <c r="BO1" s="4" t="s">
        <v>131</v>
      </c>
    </row>
    <row r="2" spans="1:67">
      <c r="A2">
        <v>2022</v>
      </c>
      <c r="B2">
        <v>6</v>
      </c>
      <c r="C2">
        <v>0</v>
      </c>
      <c r="D2">
        <v>0</v>
      </c>
      <c r="E2">
        <v>0</v>
      </c>
      <c r="F2">
        <v>0</v>
      </c>
      <c r="G2" s="4">
        <f t="shared" ref="G2:G40" si="0">P2+AW2</f>
        <v>60000000</v>
      </c>
      <c r="H2" s="4">
        <f t="shared" ref="H2:H21" si="1">Q2+AX2</f>
        <v>0</v>
      </c>
      <c r="I2" s="4">
        <f>G2-H2</f>
        <v>60000000</v>
      </c>
      <c r="J2" s="4">
        <f>G2-H2</f>
        <v>60000000</v>
      </c>
      <c r="K2" s="4">
        <f>SUM(X2,AC2,BA2,BE2)-AD2-BF2</f>
        <v>0</v>
      </c>
      <c r="L2" s="4">
        <f>SUM(AE2:AV2)+SUM(BG2:BO2)</f>
        <v>0</v>
      </c>
      <c r="M2" s="4">
        <f>K2-L2</f>
        <v>0</v>
      </c>
      <c r="N2" s="4">
        <f>Y2+AZ2</f>
        <v>0</v>
      </c>
      <c r="O2" s="4">
        <f>AA2+BB2</f>
        <v>0</v>
      </c>
      <c r="P2" s="4">
        <f>SUM(W2:AC2)</f>
        <v>60000000</v>
      </c>
      <c r="Q2" s="4">
        <f t="shared" ref="Q2:Q21" si="2">SUM(AD2:AV2)</f>
        <v>0</v>
      </c>
      <c r="R2" s="4">
        <f>P2-Q2</f>
        <v>60000000</v>
      </c>
      <c r="S2" s="4">
        <f>P2-Q2</f>
        <v>60000000</v>
      </c>
      <c r="T2" s="4">
        <f>X2+AB2+AC2</f>
        <v>0</v>
      </c>
      <c r="U2" s="4">
        <f>SUM(AD2:AV2)</f>
        <v>0</v>
      </c>
      <c r="V2" s="4">
        <f>T2-U2</f>
        <v>0</v>
      </c>
      <c r="W2" s="4">
        <v>60000000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0</v>
      </c>
      <c r="AQ2" s="4">
        <v>0</v>
      </c>
      <c r="AR2" s="4">
        <v>0</v>
      </c>
      <c r="AS2" s="4">
        <v>0</v>
      </c>
      <c r="AT2" s="4">
        <v>0</v>
      </c>
      <c r="AU2" s="4">
        <v>0</v>
      </c>
      <c r="AV2" s="4">
        <v>0</v>
      </c>
      <c r="AW2" s="4">
        <f>SUM(AZ2:BE2)</f>
        <v>0</v>
      </c>
      <c r="AX2" s="4">
        <f t="shared" ref="AX2:AX40" si="3">SUM(BF2:BO2)</f>
        <v>0</v>
      </c>
      <c r="AY2" s="4">
        <f>AW2-AX2</f>
        <v>0</v>
      </c>
      <c r="AZ2" s="4"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v>0</v>
      </c>
      <c r="BK2" s="6">
        <v>0</v>
      </c>
      <c r="BL2" s="6">
        <v>0</v>
      </c>
      <c r="BM2" s="6">
        <v>0</v>
      </c>
      <c r="BN2" s="6">
        <v>0</v>
      </c>
      <c r="BO2" s="6">
        <v>0</v>
      </c>
    </row>
    <row r="3" spans="1:67">
      <c r="A3">
        <v>2022</v>
      </c>
      <c r="B3">
        <v>7</v>
      </c>
      <c r="C3">
        <v>0</v>
      </c>
      <c r="D3">
        <v>0</v>
      </c>
      <c r="E3">
        <v>0</v>
      </c>
      <c r="F3">
        <v>0</v>
      </c>
      <c r="G3" s="4">
        <f t="shared" si="0"/>
        <v>540005000</v>
      </c>
      <c r="H3" s="4">
        <f t="shared" si="1"/>
        <v>84303670</v>
      </c>
      <c r="I3" s="4">
        <f t="shared" ref="I3:I40" si="4">G3-H3</f>
        <v>455701330</v>
      </c>
      <c r="J3" s="4">
        <f>J2+G3-H3</f>
        <v>515701330</v>
      </c>
      <c r="K3" s="4">
        <f t="shared" ref="K3:K40" si="5">SUM(X3,AC3,BA3,BE3)-AD3-BF3</f>
        <v>0</v>
      </c>
      <c r="L3" s="4">
        <f t="shared" ref="L3:L40" si="6">SUM(AD3:AV3)+SUM(BF3:BO3)</f>
        <v>84303670</v>
      </c>
      <c r="M3" s="4">
        <f t="shared" ref="M3:M40" si="7">K3-L3</f>
        <v>-84303670</v>
      </c>
      <c r="N3" s="4">
        <f t="shared" ref="N3" si="8">Y3+AZ3</f>
        <v>0</v>
      </c>
      <c r="O3" s="4">
        <f t="shared" ref="O3:O40" si="9">AA3+BB3</f>
        <v>0</v>
      </c>
      <c r="P3" s="4">
        <f t="shared" ref="P3:P8" si="10">SUM(W3:AC3)</f>
        <v>540005000</v>
      </c>
      <c r="Q3" s="4">
        <f t="shared" si="2"/>
        <v>84303670</v>
      </c>
      <c r="R3" s="4">
        <f t="shared" ref="R3:R40" si="11">P3-Q3</f>
        <v>455701330</v>
      </c>
      <c r="S3" s="4">
        <f t="shared" ref="S3:S40" si="12">S2+P3-Q3</f>
        <v>515701330</v>
      </c>
      <c r="T3" s="4">
        <f t="shared" ref="T3:T40" si="13">X3+AB3+AC3</f>
        <v>0</v>
      </c>
      <c r="U3" s="4">
        <f t="shared" ref="U3:U40" si="14">SUM(AD3:AV3)</f>
        <v>84303670</v>
      </c>
      <c r="V3" s="4">
        <f t="shared" ref="V3:V40" si="15">T3-U3</f>
        <v>-84303670</v>
      </c>
      <c r="W3" s="4">
        <f>30000000+60000000+30000000+120000000+60005000+180000000+60000000</f>
        <v>540005000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f>5500000+495000+3054020+165000+2200000</f>
        <v>11414020</v>
      </c>
      <c r="AF3" s="5">
        <f>13475000+13475000</f>
        <v>26950000</v>
      </c>
      <c r="AG3" s="4">
        <v>12500000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33000000</v>
      </c>
      <c r="AR3" s="4">
        <v>0</v>
      </c>
      <c r="AS3" s="4">
        <v>139550</v>
      </c>
      <c r="AT3" s="4">
        <v>0</v>
      </c>
      <c r="AU3" s="4">
        <f>189700+106000</f>
        <v>295700</v>
      </c>
      <c r="AV3" s="4">
        <f>4400</f>
        <v>4400</v>
      </c>
      <c r="AW3" s="4">
        <f t="shared" ref="AW3:AW8" si="16">SUM(AZ3:BE3)</f>
        <v>0</v>
      </c>
      <c r="AX3" s="4">
        <f t="shared" si="3"/>
        <v>0</v>
      </c>
      <c r="AY3" s="4">
        <f t="shared" ref="AY3:AY9" si="17">AY2+AW3-AX3</f>
        <v>0</v>
      </c>
      <c r="AZ3" s="4"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v>0</v>
      </c>
      <c r="BK3" s="6">
        <v>0</v>
      </c>
      <c r="BL3" s="6">
        <v>0</v>
      </c>
      <c r="BM3" s="6">
        <v>0</v>
      </c>
      <c r="BN3" s="6">
        <v>0</v>
      </c>
      <c r="BO3" s="6">
        <v>0</v>
      </c>
    </row>
    <row r="4" spans="1:67">
      <c r="A4">
        <v>2022</v>
      </c>
      <c r="B4">
        <v>8</v>
      </c>
      <c r="C4">
        <v>0</v>
      </c>
      <c r="D4">
        <v>0</v>
      </c>
      <c r="E4">
        <v>0</v>
      </c>
      <c r="F4">
        <v>0</v>
      </c>
      <c r="G4" s="4">
        <f t="shared" si="0"/>
        <v>0</v>
      </c>
      <c r="H4" s="4">
        <f t="shared" si="1"/>
        <v>587850</v>
      </c>
      <c r="I4" s="4">
        <f t="shared" si="4"/>
        <v>-587850</v>
      </c>
      <c r="J4" s="4">
        <f t="shared" ref="J4:J8" si="18">J3+G4-H4</f>
        <v>515113480</v>
      </c>
      <c r="K4" s="4">
        <f t="shared" si="5"/>
        <v>0</v>
      </c>
      <c r="L4" s="4">
        <f t="shared" si="6"/>
        <v>587850</v>
      </c>
      <c r="M4" s="4">
        <f t="shared" si="7"/>
        <v>-587850</v>
      </c>
      <c r="N4" s="4">
        <f t="shared" ref="N4:N40" si="19">Y4+AZ4</f>
        <v>0</v>
      </c>
      <c r="O4" s="4">
        <f t="shared" si="9"/>
        <v>0</v>
      </c>
      <c r="P4" s="4">
        <f t="shared" si="10"/>
        <v>0</v>
      </c>
      <c r="Q4" s="4">
        <f t="shared" si="2"/>
        <v>587850</v>
      </c>
      <c r="R4" s="4">
        <f t="shared" si="11"/>
        <v>-587850</v>
      </c>
      <c r="S4" s="4">
        <f t="shared" si="12"/>
        <v>515113480</v>
      </c>
      <c r="T4" s="4">
        <f t="shared" si="13"/>
        <v>0</v>
      </c>
      <c r="U4" s="4">
        <f t="shared" si="14"/>
        <v>587850</v>
      </c>
      <c r="V4" s="4">
        <f t="shared" si="15"/>
        <v>-587850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165000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f>8000</f>
        <v>8000</v>
      </c>
      <c r="AS4" s="4">
        <v>334350</v>
      </c>
      <c r="AT4" s="4">
        <v>0</v>
      </c>
      <c r="AU4" s="4">
        <f>55500+25000</f>
        <v>80500</v>
      </c>
      <c r="AV4" s="4">
        <v>0</v>
      </c>
      <c r="AW4" s="4">
        <f t="shared" si="16"/>
        <v>0</v>
      </c>
      <c r="AX4" s="4">
        <f t="shared" si="3"/>
        <v>0</v>
      </c>
      <c r="AY4" s="4">
        <f t="shared" si="17"/>
        <v>0</v>
      </c>
      <c r="AZ4" s="4"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v>0</v>
      </c>
      <c r="BK4" s="6">
        <v>0</v>
      </c>
      <c r="BL4" s="6">
        <v>0</v>
      </c>
      <c r="BM4" s="6">
        <v>0</v>
      </c>
      <c r="BN4" s="6">
        <v>0</v>
      </c>
      <c r="BO4" s="6">
        <v>0</v>
      </c>
    </row>
    <row r="5" spans="1:67">
      <c r="A5">
        <v>2022</v>
      </c>
      <c r="B5">
        <v>9</v>
      </c>
      <c r="C5">
        <v>0</v>
      </c>
      <c r="D5">
        <v>0</v>
      </c>
      <c r="E5">
        <v>0</v>
      </c>
      <c r="F5">
        <v>0</v>
      </c>
      <c r="G5" s="4">
        <f t="shared" si="0"/>
        <v>0</v>
      </c>
      <c r="H5" s="4">
        <f t="shared" si="1"/>
        <v>6110020</v>
      </c>
      <c r="I5" s="4">
        <f t="shared" si="4"/>
        <v>-6110020</v>
      </c>
      <c r="J5" s="4">
        <f t="shared" si="18"/>
        <v>509003460</v>
      </c>
      <c r="K5" s="4">
        <f t="shared" si="5"/>
        <v>0</v>
      </c>
      <c r="L5" s="4">
        <f t="shared" si="6"/>
        <v>6110020</v>
      </c>
      <c r="M5" s="4">
        <f t="shared" si="7"/>
        <v>-6110020</v>
      </c>
      <c r="N5" s="4">
        <f t="shared" si="19"/>
        <v>0</v>
      </c>
      <c r="O5" s="4">
        <f t="shared" si="9"/>
        <v>0</v>
      </c>
      <c r="P5" s="4">
        <f t="shared" si="10"/>
        <v>0</v>
      </c>
      <c r="Q5" s="4">
        <f t="shared" si="2"/>
        <v>6110020</v>
      </c>
      <c r="R5" s="4">
        <f t="shared" si="11"/>
        <v>-6110020</v>
      </c>
      <c r="S5" s="4">
        <f t="shared" si="12"/>
        <v>509003460</v>
      </c>
      <c r="T5" s="4">
        <f t="shared" si="13"/>
        <v>0</v>
      </c>
      <c r="U5" s="4">
        <f t="shared" si="14"/>
        <v>6110020</v>
      </c>
      <c r="V5" s="4">
        <f t="shared" si="15"/>
        <v>-6110020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f>165000+330000</f>
        <v>495000</v>
      </c>
      <c r="AF5" s="4">
        <v>599570</v>
      </c>
      <c r="AG5" s="4">
        <v>3000500</v>
      </c>
      <c r="AH5" s="4">
        <v>880500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f>165600+38650</f>
        <v>204250</v>
      </c>
      <c r="AS5" s="4">
        <v>430200</v>
      </c>
      <c r="AT5" s="4">
        <v>0</v>
      </c>
      <c r="AU5" s="4">
        <f>500000</f>
        <v>500000</v>
      </c>
      <c r="AV5" s="4">
        <v>0</v>
      </c>
      <c r="AW5" s="4">
        <f t="shared" si="16"/>
        <v>0</v>
      </c>
      <c r="AX5" s="4">
        <f t="shared" si="3"/>
        <v>0</v>
      </c>
      <c r="AY5" s="4">
        <f t="shared" si="17"/>
        <v>0</v>
      </c>
      <c r="AZ5" s="4"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v>0</v>
      </c>
      <c r="BK5" s="6">
        <v>0</v>
      </c>
      <c r="BL5" s="6">
        <v>0</v>
      </c>
      <c r="BM5" s="6">
        <v>0</v>
      </c>
      <c r="BN5" s="6">
        <v>0</v>
      </c>
      <c r="BO5" s="6">
        <v>0</v>
      </c>
    </row>
    <row r="6" spans="1:67">
      <c r="A6">
        <v>2022</v>
      </c>
      <c r="B6">
        <v>10</v>
      </c>
      <c r="C6">
        <v>0</v>
      </c>
      <c r="D6">
        <v>0</v>
      </c>
      <c r="E6">
        <v>0</v>
      </c>
      <c r="F6">
        <v>0</v>
      </c>
      <c r="G6" s="4">
        <f t="shared" si="0"/>
        <v>0</v>
      </c>
      <c r="H6" s="4">
        <f t="shared" si="1"/>
        <v>131523170</v>
      </c>
      <c r="I6" s="4">
        <f t="shared" si="4"/>
        <v>-131523170</v>
      </c>
      <c r="J6" s="4">
        <f t="shared" si="18"/>
        <v>377480290</v>
      </c>
      <c r="K6" s="4">
        <f t="shared" si="5"/>
        <v>0</v>
      </c>
      <c r="L6" s="4">
        <f t="shared" si="6"/>
        <v>131523170</v>
      </c>
      <c r="M6" s="4">
        <f t="shared" si="7"/>
        <v>-131523170</v>
      </c>
      <c r="N6" s="4">
        <f t="shared" si="19"/>
        <v>0</v>
      </c>
      <c r="O6" s="4">
        <f t="shared" si="9"/>
        <v>0</v>
      </c>
      <c r="P6" s="4">
        <f t="shared" si="10"/>
        <v>0</v>
      </c>
      <c r="Q6" s="4">
        <f t="shared" si="2"/>
        <v>131523170</v>
      </c>
      <c r="R6" s="4">
        <f t="shared" si="11"/>
        <v>-131523170</v>
      </c>
      <c r="S6" s="4">
        <f t="shared" si="12"/>
        <v>377480290</v>
      </c>
      <c r="T6" s="4">
        <f t="shared" si="13"/>
        <v>0</v>
      </c>
      <c r="U6" s="4">
        <f t="shared" si="14"/>
        <v>131523170</v>
      </c>
      <c r="V6" s="4">
        <f t="shared" si="15"/>
        <v>-131523170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165000</v>
      </c>
      <c r="AF6" s="4">
        <f>287500+15400+318500+90400+73500000+217500+119250</f>
        <v>74548550</v>
      </c>
      <c r="AG6" s="4">
        <f>18000500+18000500</f>
        <v>36001000</v>
      </c>
      <c r="AH6" s="4">
        <v>0</v>
      </c>
      <c r="AI6" s="4">
        <f>4614490+1467390</f>
        <v>6081880</v>
      </c>
      <c r="AJ6" s="4">
        <v>0</v>
      </c>
      <c r="AK6" s="4">
        <v>0</v>
      </c>
      <c r="AL6" s="4">
        <v>0</v>
      </c>
      <c r="AM6" s="4">
        <v>3610</v>
      </c>
      <c r="AN6" s="4">
        <v>3000500</v>
      </c>
      <c r="AO6" s="4">
        <v>5200000</v>
      </c>
      <c r="AP6" s="4">
        <v>0</v>
      </c>
      <c r="AQ6" s="4">
        <v>3300500</v>
      </c>
      <c r="AR6" s="4">
        <f>39000+319500+75000+952050+19800+13500</f>
        <v>1418850</v>
      </c>
      <c r="AS6" s="4">
        <v>1192550</v>
      </c>
      <c r="AT6" s="4">
        <v>0</v>
      </c>
      <c r="AU6" s="4">
        <f>36880+25000+30000+98900+33000</f>
        <v>223780</v>
      </c>
      <c r="AV6" s="4">
        <f>33000+107850+22800+18400+200500+4400</f>
        <v>386950</v>
      </c>
      <c r="AW6" s="4">
        <f t="shared" si="16"/>
        <v>0</v>
      </c>
      <c r="AX6" s="4">
        <f t="shared" si="3"/>
        <v>0</v>
      </c>
      <c r="AY6" s="4">
        <f t="shared" si="17"/>
        <v>0</v>
      </c>
      <c r="AZ6" s="4"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v>0</v>
      </c>
      <c r="BK6" s="6">
        <v>0</v>
      </c>
      <c r="BL6" s="6">
        <v>0</v>
      </c>
      <c r="BM6" s="6">
        <v>0</v>
      </c>
      <c r="BN6" s="6">
        <v>0</v>
      </c>
      <c r="BO6" s="6">
        <v>0</v>
      </c>
    </row>
    <row r="7" spans="1:67">
      <c r="A7">
        <v>2022</v>
      </c>
      <c r="B7">
        <v>11</v>
      </c>
      <c r="C7">
        <f>20-2+1+1-1-1-1+1-1-1</f>
        <v>16</v>
      </c>
      <c r="D7">
        <v>0</v>
      </c>
      <c r="E7">
        <v>0</v>
      </c>
      <c r="F7">
        <v>0</v>
      </c>
      <c r="G7" s="4">
        <f t="shared" si="0"/>
        <v>33579140</v>
      </c>
      <c r="H7" s="4">
        <f t="shared" si="1"/>
        <v>137687005</v>
      </c>
      <c r="I7" s="4">
        <f t="shared" si="4"/>
        <v>-104107865</v>
      </c>
      <c r="J7" s="4">
        <f t="shared" si="18"/>
        <v>273372425</v>
      </c>
      <c r="K7" s="4">
        <f t="shared" si="5"/>
        <v>24654140</v>
      </c>
      <c r="L7" s="4">
        <f t="shared" si="6"/>
        <v>137687005</v>
      </c>
      <c r="M7" s="4">
        <f t="shared" si="7"/>
        <v>-113032865</v>
      </c>
      <c r="N7" s="4">
        <f t="shared" si="19"/>
        <v>25000</v>
      </c>
      <c r="O7" s="4">
        <f t="shared" si="9"/>
        <v>0</v>
      </c>
      <c r="P7" s="4">
        <f t="shared" si="10"/>
        <v>33554140</v>
      </c>
      <c r="Q7" s="4">
        <f t="shared" si="2"/>
        <v>137687005</v>
      </c>
      <c r="R7" s="4">
        <f t="shared" si="11"/>
        <v>-104132865</v>
      </c>
      <c r="S7" s="4">
        <f t="shared" si="12"/>
        <v>273347425</v>
      </c>
      <c r="T7" s="4">
        <f t="shared" si="13"/>
        <v>33554140</v>
      </c>
      <c r="U7" s="4">
        <f t="shared" si="14"/>
        <v>137687005</v>
      </c>
      <c r="V7" s="4">
        <f t="shared" si="15"/>
        <v>-104132865</v>
      </c>
      <c r="W7" s="4">
        <v>0</v>
      </c>
      <c r="X7" s="4">
        <f>1620000*17+1620000+400000+400000+1620000+1582740+391400</f>
        <v>33554140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f>1620000+400000+1620000+1620000+1620000+400000+1620000</f>
        <v>8900000</v>
      </c>
      <c r="AE7" s="4">
        <f>264000+334000+603000+687500+165000</f>
        <v>2053500</v>
      </c>
      <c r="AF7" s="4">
        <f>7810000+10890000+71880+88800+11760000</f>
        <v>30620680</v>
      </c>
      <c r="AG7" s="4">
        <f>18000000+18000000+300000+200000+18000000+22500000</f>
        <v>77000000</v>
      </c>
      <c r="AH7" s="4">
        <f>880000</f>
        <v>880000</v>
      </c>
      <c r="AI7" s="4">
        <f>81850+96700+145050+48350+48350+362630+3546980+4193300+1676200</f>
        <v>10199410</v>
      </c>
      <c r="AJ7" s="4">
        <v>0</v>
      </c>
      <c r="AK7" s="4">
        <v>0</v>
      </c>
      <c r="AL7" s="4">
        <f>35900+359130</f>
        <v>395030</v>
      </c>
      <c r="AM7" s="4">
        <v>61380</v>
      </c>
      <c r="AN7" s="4">
        <v>0</v>
      </c>
      <c r="AO7" s="4">
        <f>2676000+593000</f>
        <v>3269000</v>
      </c>
      <c r="AP7" s="4">
        <v>0</v>
      </c>
      <c r="AQ7" s="4">
        <v>0</v>
      </c>
      <c r="AR7" s="4">
        <f>396000+209000+49900</f>
        <v>654900</v>
      </c>
      <c r="AS7" s="4">
        <v>2587775</v>
      </c>
      <c r="AT7" s="4">
        <v>0</v>
      </c>
      <c r="AU7" s="4">
        <v>0</v>
      </c>
      <c r="AV7" s="4">
        <f>49950+400000+27000+18000+102250+11000+45940+3500+55500+9900+24680+51900+20560+35900+32700+31750+6000+137400+700+700</f>
        <v>1065330</v>
      </c>
      <c r="AW7" s="4">
        <f t="shared" si="16"/>
        <v>25000</v>
      </c>
      <c r="AX7" s="4">
        <f t="shared" si="3"/>
        <v>0</v>
      </c>
      <c r="AY7" s="4">
        <f t="shared" si="17"/>
        <v>25000</v>
      </c>
      <c r="AZ7" s="4">
        <f>10000+15000</f>
        <v>25000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v>0</v>
      </c>
      <c r="BN7" s="6">
        <v>0</v>
      </c>
      <c r="BO7" s="6">
        <v>0</v>
      </c>
    </row>
    <row r="8" spans="1:67">
      <c r="A8">
        <v>2022</v>
      </c>
      <c r="B8">
        <v>12</v>
      </c>
      <c r="C8">
        <f>C7+1-2-1-2-1+1-1-1+1-1</f>
        <v>10</v>
      </c>
      <c r="D8">
        <v>0</v>
      </c>
      <c r="E8">
        <v>0</v>
      </c>
      <c r="F8">
        <v>0</v>
      </c>
      <c r="G8" s="4">
        <f t="shared" si="0"/>
        <v>18815560</v>
      </c>
      <c r="H8" s="4">
        <f t="shared" si="1"/>
        <v>208454020</v>
      </c>
      <c r="I8" s="4">
        <f t="shared" si="4"/>
        <v>-189638460</v>
      </c>
      <c r="J8" s="4">
        <f t="shared" si="18"/>
        <v>83733965</v>
      </c>
      <c r="K8" s="4">
        <f t="shared" si="5"/>
        <v>-1344440</v>
      </c>
      <c r="L8" s="4">
        <f t="shared" si="6"/>
        <v>208454020</v>
      </c>
      <c r="M8" s="4">
        <f t="shared" si="7"/>
        <v>-209798460</v>
      </c>
      <c r="N8" s="4">
        <f t="shared" si="19"/>
        <v>6800000</v>
      </c>
      <c r="O8" s="4">
        <f t="shared" si="9"/>
        <v>0</v>
      </c>
      <c r="P8" s="4">
        <f t="shared" si="10"/>
        <v>7343175</v>
      </c>
      <c r="Q8" s="4">
        <f t="shared" si="2"/>
        <v>200654020</v>
      </c>
      <c r="R8" s="4">
        <f t="shared" si="11"/>
        <v>-193310845</v>
      </c>
      <c r="S8" s="4">
        <f t="shared" si="12"/>
        <v>80036580</v>
      </c>
      <c r="T8" s="4">
        <f t="shared" si="13"/>
        <v>7343175</v>
      </c>
      <c r="U8" s="4">
        <f t="shared" si="14"/>
        <v>200654020</v>
      </c>
      <c r="V8" s="4">
        <f t="shared" si="15"/>
        <v>-193310845</v>
      </c>
      <c r="W8" s="4">
        <v>0</v>
      </c>
      <c r="X8" s="4">
        <f>1582740+400000+2078000+452351+524649+2150000</f>
        <v>7187740</v>
      </c>
      <c r="Y8" s="4">
        <v>0</v>
      </c>
      <c r="Z8" s="4">
        <v>0</v>
      </c>
      <c r="AA8" s="4">
        <v>0</v>
      </c>
      <c r="AB8" s="4">
        <v>0</v>
      </c>
      <c r="AC8" s="4">
        <v>155435</v>
      </c>
      <c r="AD8" s="4">
        <f>1620000+1620000+1620000+1620000+1620000+1620000+1620000+1620000+400000</f>
        <v>13360000</v>
      </c>
      <c r="AE8" s="4">
        <f>165000+50000+30000+30000</f>
        <v>275000</v>
      </c>
      <c r="AF8" s="4">
        <f>107800000+7920000+7920000+7930750+14520000</f>
        <v>146090750</v>
      </c>
      <c r="AG8" s="4">
        <f>10000000+4700000</f>
        <v>14700000</v>
      </c>
      <c r="AH8" s="4">
        <f>880000+880000+550000</f>
        <v>2310000</v>
      </c>
      <c r="AI8" s="4">
        <f>860630+3546980+2431710+4193300+1248570</f>
        <v>12281190</v>
      </c>
      <c r="AJ8" s="4">
        <v>0</v>
      </c>
      <c r="AK8" s="4">
        <v>0</v>
      </c>
      <c r="AL8" s="4">
        <f>588130+21750+60970+629760+26700+65630</f>
        <v>1392940</v>
      </c>
      <c r="AM8" s="4">
        <v>110800</v>
      </c>
      <c r="AN8" s="4">
        <f>8436600+3927600+117000</f>
        <v>12481200</v>
      </c>
      <c r="AO8" s="4">
        <f>-5200000</f>
        <v>-5200000</v>
      </c>
      <c r="AP8" s="4">
        <v>0</v>
      </c>
      <c r="AQ8" s="4">
        <v>0</v>
      </c>
      <c r="AR8" s="4">
        <f>213500+550000</f>
        <v>763500</v>
      </c>
      <c r="AS8" s="4">
        <v>1542670</v>
      </c>
      <c r="AT8" s="4">
        <v>0</v>
      </c>
      <c r="AU8" s="4">
        <v>0</v>
      </c>
      <c r="AV8" s="4">
        <f>9900+41210+10000+48220+202280+62530+146930+13900+8000+3000</f>
        <v>545970</v>
      </c>
      <c r="AW8" s="4">
        <f t="shared" si="16"/>
        <v>11472385</v>
      </c>
      <c r="AX8" s="4">
        <f t="shared" si="3"/>
        <v>7800000</v>
      </c>
      <c r="AY8" s="4">
        <f t="shared" si="17"/>
        <v>3697385</v>
      </c>
      <c r="AZ8" s="4">
        <f>4200000+2600000</f>
        <v>6800000</v>
      </c>
      <c r="BA8" s="6">
        <f>978000+955506+1576878+1162000</f>
        <v>4672384</v>
      </c>
      <c r="BB8" s="6">
        <v>0</v>
      </c>
      <c r="BC8" s="6">
        <v>0</v>
      </c>
      <c r="BD8" s="6">
        <v>0</v>
      </c>
      <c r="BE8" s="6">
        <v>1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7800000</v>
      </c>
      <c r="BL8" s="6">
        <v>0</v>
      </c>
      <c r="BM8" s="6">
        <v>0</v>
      </c>
      <c r="BN8" s="6">
        <v>0</v>
      </c>
      <c r="BO8" s="6">
        <v>0</v>
      </c>
    </row>
    <row r="9" spans="1:67">
      <c r="A9">
        <v>2023</v>
      </c>
      <c r="B9">
        <v>1</v>
      </c>
      <c r="C9">
        <f>C8-1+1+1</f>
        <v>11</v>
      </c>
      <c r="D9">
        <v>0</v>
      </c>
      <c r="E9">
        <v>1</v>
      </c>
      <c r="F9">
        <v>0</v>
      </c>
      <c r="G9" s="4">
        <f t="shared" si="0"/>
        <v>46133986</v>
      </c>
      <c r="H9" s="4">
        <f t="shared" si="1"/>
        <v>123758805</v>
      </c>
      <c r="I9" s="4">
        <f t="shared" si="4"/>
        <v>-77624819</v>
      </c>
      <c r="J9" s="4">
        <f t="shared" ref="J9" si="20">J8+G9-H9</f>
        <v>6109146</v>
      </c>
      <c r="K9" s="4">
        <f t="shared" si="5"/>
        <v>2113986</v>
      </c>
      <c r="L9" s="4">
        <f t="shared" si="6"/>
        <v>123758805</v>
      </c>
      <c r="M9" s="4">
        <f t="shared" si="7"/>
        <v>-121644819</v>
      </c>
      <c r="N9" s="4">
        <f t="shared" si="19"/>
        <v>42400000</v>
      </c>
      <c r="O9" s="4">
        <f t="shared" si="9"/>
        <v>0</v>
      </c>
      <c r="P9" s="4">
        <f t="shared" ref="P9" si="21">SUM(W9:AC9)</f>
        <v>48777986</v>
      </c>
      <c r="Q9" s="4">
        <f t="shared" si="2"/>
        <v>123758805</v>
      </c>
      <c r="R9" s="4">
        <f t="shared" si="11"/>
        <v>-74980819</v>
      </c>
      <c r="S9" s="4">
        <f t="shared" si="12"/>
        <v>5055761</v>
      </c>
      <c r="T9" s="4">
        <f t="shared" si="13"/>
        <v>2777986</v>
      </c>
      <c r="U9" s="4">
        <f t="shared" si="14"/>
        <v>123758805</v>
      </c>
      <c r="V9" s="4">
        <f t="shared" si="15"/>
        <v>-120980819</v>
      </c>
      <c r="W9" s="4">
        <v>0</v>
      </c>
      <c r="X9" s="4">
        <f>1360000+240000+378680+400000+369306+30000</f>
        <v>2777986</v>
      </c>
      <c r="Y9" s="4">
        <v>46000000</v>
      </c>
      <c r="Z9" s="4">
        <v>0</v>
      </c>
      <c r="AA9" s="4">
        <v>0</v>
      </c>
      <c r="AB9" s="4">
        <f>-70000000+20000000-10000000+70000000-20000000+10000000</f>
        <v>0</v>
      </c>
      <c r="AC9" s="4">
        <v>0</v>
      </c>
      <c r="AD9" s="4">
        <v>1620000</v>
      </c>
      <c r="AE9" s="4">
        <f>250000+165000+1300000</f>
        <v>1715000</v>
      </c>
      <c r="AF9" s="4">
        <f>1312300+30000+6515740+10833850+14850000+7127600+46000000</f>
        <v>86669490</v>
      </c>
      <c r="AG9" s="4">
        <v>500000</v>
      </c>
      <c r="AH9" s="4">
        <v>0</v>
      </c>
      <c r="AI9" s="4">
        <f>2745+1434600+8663060</f>
        <v>10100405</v>
      </c>
      <c r="AJ9" s="4">
        <v>0</v>
      </c>
      <c r="AK9" s="4">
        <v>0</v>
      </c>
      <c r="AL9" s="4">
        <v>0</v>
      </c>
      <c r="AM9" s="4">
        <f>55100+66760+107640+106100+208140</f>
        <v>543740</v>
      </c>
      <c r="AN9" s="4">
        <v>0</v>
      </c>
      <c r="AO9" s="4">
        <v>0</v>
      </c>
      <c r="AP9" s="4">
        <v>0</v>
      </c>
      <c r="AQ9" s="4">
        <f>3410000</f>
        <v>3410000</v>
      </c>
      <c r="AR9" s="4">
        <f>24200+3371500+180000-180000+1626400</f>
        <v>5022100</v>
      </c>
      <c r="AS9" s="4">
        <v>9963020</v>
      </c>
      <c r="AT9" s="4">
        <v>0</v>
      </c>
      <c r="AU9" s="4">
        <v>0</v>
      </c>
      <c r="AV9" s="4">
        <f>602460+329570+10000+4000+4000+35700+195800+25000+37000+54100+160000+16800+16000+46940+9600+25000+19000+484000+350000+11000+1779080</f>
        <v>4215050</v>
      </c>
      <c r="AW9" s="4">
        <f t="shared" ref="AW9" si="22">SUM(AZ9:BE9)</f>
        <v>-2644000</v>
      </c>
      <c r="AX9" s="4">
        <f t="shared" si="3"/>
        <v>0</v>
      </c>
      <c r="AY9" s="4">
        <f t="shared" si="17"/>
        <v>1053385</v>
      </c>
      <c r="AZ9" s="4">
        <v>-3600000</v>
      </c>
      <c r="BA9" s="6">
        <v>956000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  <c r="BK9" s="6">
        <v>0</v>
      </c>
      <c r="BL9" s="6">
        <v>0</v>
      </c>
      <c r="BM9" s="6">
        <v>0</v>
      </c>
      <c r="BN9" s="6">
        <v>0</v>
      </c>
      <c r="BO9" s="6">
        <v>0</v>
      </c>
    </row>
    <row r="10" spans="1:67">
      <c r="A10">
        <v>2023</v>
      </c>
      <c r="B10">
        <v>2</v>
      </c>
      <c r="C10">
        <f>C9+1-1+2+1</f>
        <v>14</v>
      </c>
      <c r="D10">
        <f t="shared" ref="D10" si="23">D9</f>
        <v>0</v>
      </c>
      <c r="E10">
        <f>E9+1+1</f>
        <v>3</v>
      </c>
      <c r="F10">
        <f t="shared" ref="F10" si="24">F9</f>
        <v>0</v>
      </c>
      <c r="G10" s="4">
        <f t="shared" si="0"/>
        <v>128053672</v>
      </c>
      <c r="H10" s="4">
        <f t="shared" si="1"/>
        <v>60734152</v>
      </c>
      <c r="I10" s="4">
        <f t="shared" si="4"/>
        <v>67319520</v>
      </c>
      <c r="J10" s="4">
        <f t="shared" ref="J10:J20" si="25">J9+G10-H10</f>
        <v>73428666</v>
      </c>
      <c r="K10" s="4">
        <f t="shared" si="5"/>
        <v>46686132</v>
      </c>
      <c r="L10" s="4">
        <f t="shared" si="6"/>
        <v>60734152</v>
      </c>
      <c r="M10" s="4">
        <f t="shared" si="7"/>
        <v>-14048020</v>
      </c>
      <c r="N10" s="4">
        <f t="shared" si="19"/>
        <v>-2000000</v>
      </c>
      <c r="O10" s="4">
        <f t="shared" si="9"/>
        <v>47800000</v>
      </c>
      <c r="P10" s="4">
        <f t="shared" ref="P10:P21" si="26">SUM(W10:AC10)</f>
        <v>115920705</v>
      </c>
      <c r="Q10" s="4">
        <f t="shared" si="2"/>
        <v>59506752</v>
      </c>
      <c r="R10" s="4">
        <f t="shared" si="11"/>
        <v>56413953</v>
      </c>
      <c r="S10" s="4">
        <f t="shared" si="12"/>
        <v>61469714</v>
      </c>
      <c r="T10" s="4">
        <f t="shared" si="13"/>
        <v>38120705</v>
      </c>
      <c r="U10" s="4">
        <f t="shared" si="14"/>
        <v>59506752</v>
      </c>
      <c r="V10" s="4">
        <f t="shared" si="15"/>
        <v>-21386047</v>
      </c>
      <c r="W10" s="4">
        <f>10000000+5000000+10000000+10000000+10000000+10000000+5000000-30000000</f>
        <v>30000000</v>
      </c>
      <c r="X10" s="4">
        <f>369306+29310+29925+346260+135000+30000+30000+1730000+112500+1394000+30000+30000+135000+30000+60000+60000+291000+120000+252000+30000+168000+30000+30000+60000+53865+239400+30000+352230+134325+59850+252000+157500+25000+30000*5+55000+555807+292530+250740+30000+252000+294000+168000+30000+252000+252000+294000+251370+29850+294000+30000+252000+2647365+542640+262680+30000+50000+250740+1048730+294000+252000+239400+995000+293265+2247500+770130+30000+1234000+292530+252000+29850+1254000+30000+1183055+299250+29850+1880000+294000+282000+156000+167580+252000+1028000+280590+224700+29850+199500+93530+1194000+1287530+250740+29850+1194000+265367+310440+282000+252000+340290+422875+197010+31920+13930+1207930+103480+280590+29850+400000</f>
        <v>38109305</v>
      </c>
      <c r="Y10" s="4">
        <v>0</v>
      </c>
      <c r="Z10" s="4">
        <v>0</v>
      </c>
      <c r="AA10" s="4">
        <f>17800000+30000000</f>
        <v>47800000</v>
      </c>
      <c r="AB10" s="4">
        <v>0</v>
      </c>
      <c r="AC10" s="4">
        <v>11400</v>
      </c>
      <c r="AD10" s="4">
        <f>400000+291000+250000+252000+30000+294000+30000+30000+105000+252000+30000+269000+30000+90000+700000+1582740+282000</f>
        <v>4917740</v>
      </c>
      <c r="AE10" s="4">
        <f>165000+650000+687500+240000+702000</f>
        <v>2444500</v>
      </c>
      <c r="AF10" s="4">
        <f>594000</f>
        <v>594000</v>
      </c>
      <c r="AG10" s="4">
        <f>-20000000+20000000-3000000+500000+4500000</f>
        <v>2000000</v>
      </c>
      <c r="AH10" s="4">
        <f>550000+550000</f>
        <v>1100000</v>
      </c>
      <c r="AI10" s="4">
        <f>2499570+10184660+1934000</f>
        <v>14618230</v>
      </c>
      <c r="AJ10" s="4">
        <v>0</v>
      </c>
      <c r="AK10" s="4">
        <v>0</v>
      </c>
      <c r="AL10" s="4">
        <f>36910+89960+279290</f>
        <v>406160</v>
      </c>
      <c r="AM10" s="4">
        <f>214830+88000+967980+1769090</f>
        <v>3039900</v>
      </c>
      <c r="AN10" s="4">
        <v>0</v>
      </c>
      <c r="AO10" s="4">
        <f>2532000+31500</f>
        <v>2563500</v>
      </c>
      <c r="AP10" s="4">
        <f>1000000+14200000+975420+400000+90000</f>
        <v>16665420</v>
      </c>
      <c r="AQ10" s="4">
        <f>296060+3500000</f>
        <v>3796060</v>
      </c>
      <c r="AR10" s="4">
        <f>10000+10000</f>
        <v>20000</v>
      </c>
      <c r="AS10" s="4">
        <v>6581872</v>
      </c>
      <c r="AT10" s="4">
        <v>0</v>
      </c>
      <c r="AU10" s="4">
        <v>0</v>
      </c>
      <c r="AV10" s="4">
        <f>92580-92580+198350+50000+66370+444650</f>
        <v>759370</v>
      </c>
      <c r="AW10" s="4">
        <f t="shared" ref="AW10:AW20" si="27">SUM(AZ10:BE10)</f>
        <v>12132967</v>
      </c>
      <c r="AX10" s="4">
        <f t="shared" si="3"/>
        <v>1227400</v>
      </c>
      <c r="AY10" s="4">
        <f t="shared" ref="AY10:AY20" si="28">AY9+AW10-AX10</f>
        <v>11958952</v>
      </c>
      <c r="AZ10" s="4">
        <v>-2000000</v>
      </c>
      <c r="BA10" s="6">
        <f>956000+13176967</f>
        <v>14132967</v>
      </c>
      <c r="BB10" s="6">
        <v>0</v>
      </c>
      <c r="BC10" s="6">
        <v>0</v>
      </c>
      <c r="BD10" s="6">
        <v>0</v>
      </c>
      <c r="BE10" s="6">
        <v>0</v>
      </c>
      <c r="BF10" s="6">
        <f>168000+291000+156600+17100+17100</f>
        <v>649800</v>
      </c>
      <c r="BG10" s="6">
        <v>0</v>
      </c>
      <c r="BH10" s="6">
        <v>0</v>
      </c>
      <c r="BI10" s="6">
        <v>0</v>
      </c>
      <c r="BJ10" s="6">
        <v>0</v>
      </c>
      <c r="BK10" s="6">
        <v>577600</v>
      </c>
      <c r="BL10" s="6">
        <v>0</v>
      </c>
      <c r="BM10" s="6">
        <v>0</v>
      </c>
      <c r="BN10" s="6">
        <v>0</v>
      </c>
      <c r="BO10" s="6">
        <v>0</v>
      </c>
    </row>
    <row r="11" spans="1:67">
      <c r="A11">
        <v>2023</v>
      </c>
      <c r="B11">
        <v>3</v>
      </c>
      <c r="C11">
        <v>16</v>
      </c>
      <c r="D11">
        <v>43</v>
      </c>
      <c r="E11">
        <v>24</v>
      </c>
      <c r="F11">
        <v>26</v>
      </c>
      <c r="G11" s="4">
        <f t="shared" si="0"/>
        <v>37105357</v>
      </c>
      <c r="H11" s="4">
        <f t="shared" si="1"/>
        <v>54007727</v>
      </c>
      <c r="I11" s="4">
        <f t="shared" si="4"/>
        <v>-16902370</v>
      </c>
      <c r="J11" s="4">
        <f t="shared" si="25"/>
        <v>56526296</v>
      </c>
      <c r="K11" s="4">
        <f t="shared" si="5"/>
        <v>75027859</v>
      </c>
      <c r="L11" s="4">
        <f t="shared" si="6"/>
        <v>54007727</v>
      </c>
      <c r="M11" s="4">
        <f t="shared" si="7"/>
        <v>21020132</v>
      </c>
      <c r="N11" s="4">
        <f t="shared" si="19"/>
        <v>-47200000</v>
      </c>
      <c r="O11" s="4">
        <f t="shared" si="9"/>
        <v>0</v>
      </c>
      <c r="P11" s="4">
        <f t="shared" si="26"/>
        <v>25706673</v>
      </c>
      <c r="Q11" s="4">
        <f t="shared" si="2"/>
        <v>45909107</v>
      </c>
      <c r="R11" s="4">
        <f t="shared" si="11"/>
        <v>-20202434</v>
      </c>
      <c r="S11" s="4">
        <f t="shared" si="12"/>
        <v>41267280</v>
      </c>
      <c r="T11" s="4">
        <f t="shared" si="13"/>
        <v>71706673</v>
      </c>
      <c r="U11" s="4">
        <f t="shared" si="14"/>
        <v>45909107</v>
      </c>
      <c r="V11" s="4">
        <f t="shared" si="15"/>
        <v>25797566</v>
      </c>
      <c r="W11" s="4">
        <v>0</v>
      </c>
      <c r="X11" s="4">
        <f>30000+20000+20000+294000+20000+20000+252000+167580+199500+51740+29850+250740+23700+955200+200000+943635+46000000+30000+449740+293265+250740+251370+280590+220890+1000075+188055+377056+16470+35964+12985+8334+33731+698250+125370+1054000+994000+30000+979080+328000+626430+628000+180000+628000+931320+399000+895500+159400+168000+282000+280590+624860+982065+282000+294000+1094000+282000+168000+989030+83790+252000+208950+292530+294000+877800+193030+1081290+447750+292530+362318+280590</f>
        <v>71696683</v>
      </c>
      <c r="Y11" s="4">
        <v>-46000000</v>
      </c>
      <c r="Z11" s="4">
        <v>0</v>
      </c>
      <c r="AA11" s="4">
        <v>0</v>
      </c>
      <c r="AB11" s="4">
        <f>-46000000-15000000+20000000-30000000+46000000+15000000+30000000+80547-80547-20000500</f>
        <v>-500</v>
      </c>
      <c r="AC11" s="4">
        <f>540+9950</f>
        <v>10490</v>
      </c>
      <c r="AD11" s="4">
        <f>400000+252000+252000+282000+282000+294000+252000+139300+1068630+1000373+49750+1611900+168000+20000+1094000+238800+280590+376110</f>
        <v>8061453</v>
      </c>
      <c r="AE11" s="4">
        <f>165000+660000+650000</f>
        <v>1475000</v>
      </c>
      <c r="AF11" s="4">
        <v>0</v>
      </c>
      <c r="AG11" s="4">
        <v>0</v>
      </c>
      <c r="AH11" s="4">
        <f>550000+550000</f>
        <v>1100000</v>
      </c>
      <c r="AI11" s="4">
        <f>705970+20283499+2760030+120000+600000</f>
        <v>24469499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f>2640000+500000</f>
        <v>3140000</v>
      </c>
      <c r="AS11" s="4">
        <v>4943452</v>
      </c>
      <c r="AT11" s="4">
        <f>379796+80547</f>
        <v>460343</v>
      </c>
      <c r="AU11" s="4">
        <v>0</v>
      </c>
      <c r="AV11" s="4">
        <f>36770+41800+52500+264210+19900+403000+104000+108300+155000+24460+3740+9330+117590+95170+6900+14150+35640+15950+10320+8890+55740+28800+15840+5400+45220+19180+144100+88560+328900</f>
        <v>2259360</v>
      </c>
      <c r="AW11" s="4">
        <f t="shared" si="27"/>
        <v>11398684</v>
      </c>
      <c r="AX11" s="4">
        <f t="shared" si="3"/>
        <v>8098620</v>
      </c>
      <c r="AY11" s="4">
        <f t="shared" si="28"/>
        <v>15259016</v>
      </c>
      <c r="AZ11" s="4">
        <v>-1200000</v>
      </c>
      <c r="BA11" s="6">
        <f>11506699+27082+365713+69900+462198+149475</f>
        <v>12581067</v>
      </c>
      <c r="BB11" s="6">
        <v>0</v>
      </c>
      <c r="BC11" s="6">
        <v>0</v>
      </c>
      <c r="BD11" s="6">
        <v>0</v>
      </c>
      <c r="BE11" s="6">
        <v>17617</v>
      </c>
      <c r="BF11" s="6">
        <f>216000+6000+344500+299000+11750+339295</f>
        <v>1216545</v>
      </c>
      <c r="BG11" s="6">
        <v>0</v>
      </c>
      <c r="BH11" s="6">
        <v>0</v>
      </c>
      <c r="BI11" s="6">
        <v>0</v>
      </c>
      <c r="BJ11" s="6">
        <v>0</v>
      </c>
      <c r="BK11" s="6">
        <f>177650+189050+494000+348000+450000+270000+476000+114950+2221725+168000+1605000-102000+404000</f>
        <v>6816375</v>
      </c>
      <c r="BL11" s="6">
        <v>0</v>
      </c>
      <c r="BM11" s="6">
        <v>0</v>
      </c>
      <c r="BN11" s="6">
        <v>0</v>
      </c>
      <c r="BO11" s="6">
        <f>30000+15600+20100</f>
        <v>65700</v>
      </c>
    </row>
    <row r="12" spans="1:67">
      <c r="A12">
        <v>2023</v>
      </c>
      <c r="B12">
        <v>4</v>
      </c>
      <c r="C12">
        <v>16</v>
      </c>
      <c r="D12">
        <v>46</v>
      </c>
      <c r="E12">
        <v>29</v>
      </c>
      <c r="F12">
        <v>42</v>
      </c>
      <c r="G12" s="4">
        <f t="shared" si="0"/>
        <v>36666822</v>
      </c>
      <c r="H12" s="4">
        <f t="shared" si="1"/>
        <v>52601448</v>
      </c>
      <c r="I12" s="4">
        <f t="shared" si="4"/>
        <v>-15934626</v>
      </c>
      <c r="J12" s="4">
        <f t="shared" si="25"/>
        <v>40591670</v>
      </c>
      <c r="K12" s="4">
        <f t="shared" si="5"/>
        <v>36044738</v>
      </c>
      <c r="L12" s="4">
        <f t="shared" si="6"/>
        <v>52601448</v>
      </c>
      <c r="M12" s="4">
        <f t="shared" si="7"/>
        <v>-16556710</v>
      </c>
      <c r="N12" s="4">
        <f t="shared" si="19"/>
        <v>2200</v>
      </c>
      <c r="O12" s="4">
        <f t="shared" si="9"/>
        <v>0</v>
      </c>
      <c r="P12" s="4">
        <f t="shared" si="26"/>
        <v>32101558</v>
      </c>
      <c r="Q12" s="4">
        <f t="shared" si="2"/>
        <v>44981496</v>
      </c>
      <c r="R12" s="4">
        <f t="shared" si="11"/>
        <v>-12879938</v>
      </c>
      <c r="S12" s="4">
        <f t="shared" si="12"/>
        <v>28387342</v>
      </c>
      <c r="T12" s="4">
        <f t="shared" si="13"/>
        <v>32101558</v>
      </c>
      <c r="U12" s="4">
        <f t="shared" si="14"/>
        <v>44981496</v>
      </c>
      <c r="V12" s="4">
        <f t="shared" si="15"/>
        <v>-12879938</v>
      </c>
      <c r="W12" s="4">
        <v>0</v>
      </c>
      <c r="X12" s="4">
        <f>282000+282000+989030+1050730+167580+277904+292530+459690+142044+1148230+973560+294000+181687+292530+543270+2552970+879795+280590+293265+294000+208950+156000+197505+126000+126000+125370+125370+227000+83580+250740+40000+113217+1054000+994000+299250+39800+39900+393025+39900+25720+994000+2138640+854000+140000+280590+168000+294000+30000+989030+994000+677496+113500+68000+1562150+293265+292530+280590+225865+1048730+126000+1016890+99500+995000+247380+798000+193030+350240+152400+20000+252000+30000</f>
        <v>32067558</v>
      </c>
      <c r="Y12" s="4">
        <v>0</v>
      </c>
      <c r="Z12" s="4">
        <v>0</v>
      </c>
      <c r="AA12" s="4">
        <v>0</v>
      </c>
      <c r="AB12" s="4">
        <f>-19000000-13000000+19000000+13000000+100000-100000</f>
        <v>0</v>
      </c>
      <c r="AC12" s="4">
        <v>34000</v>
      </c>
      <c r="AD12" s="4">
        <v>0</v>
      </c>
      <c r="AE12" s="4">
        <f>165000+50000+55000+1300000</f>
        <v>1570000</v>
      </c>
      <c r="AF12" s="4">
        <f>363000</f>
        <v>363000</v>
      </c>
      <c r="AG12" s="4">
        <v>5000000</v>
      </c>
      <c r="AH12" s="4">
        <f>550000+550000</f>
        <v>1100000</v>
      </c>
      <c r="AI12" s="4">
        <f>2557900+60000+27198410+823330</f>
        <v>30639640</v>
      </c>
      <c r="AJ12" s="4">
        <v>0</v>
      </c>
      <c r="AK12" s="4">
        <f>466400+3220800</f>
        <v>3687200</v>
      </c>
      <c r="AL12" s="4">
        <f>34000</f>
        <v>34000</v>
      </c>
      <c r="AM12" s="4">
        <f>2148760</f>
        <v>2148760</v>
      </c>
      <c r="AN12" s="4">
        <f>1918000-6085000</f>
        <v>-4167000</v>
      </c>
      <c r="AO12" s="4">
        <v>0</v>
      </c>
      <c r="AP12" s="4">
        <v>0</v>
      </c>
      <c r="AQ12" s="4">
        <v>0</v>
      </c>
      <c r="AR12" s="4">
        <f>33000+264000</f>
        <v>297000</v>
      </c>
      <c r="AS12" s="4">
        <v>2053600</v>
      </c>
      <c r="AT12" s="4">
        <f>408658+89178</f>
        <v>497836</v>
      </c>
      <c r="AU12" s="4">
        <v>160000</v>
      </c>
      <c r="AV12" s="4">
        <f>35210+41800+162670+250750+69810+70340+59970+67140+49560+96270+17200+160600+99950+44390+371800</f>
        <v>1597460</v>
      </c>
      <c r="AW12" s="4">
        <f t="shared" si="27"/>
        <v>4565264</v>
      </c>
      <c r="AX12" s="4">
        <f t="shared" si="3"/>
        <v>7619952</v>
      </c>
      <c r="AY12" s="4">
        <f t="shared" si="28"/>
        <v>12204328</v>
      </c>
      <c r="AZ12" s="4">
        <f>50000-19000+-28800</f>
        <v>2200</v>
      </c>
      <c r="BA12" s="6">
        <f>389457+1777286+138900+38000+500+766909+181090+184175+109222+977525</f>
        <v>4563064</v>
      </c>
      <c r="BB12" s="6">
        <v>0</v>
      </c>
      <c r="BC12" s="6">
        <v>0</v>
      </c>
      <c r="BD12" s="6">
        <v>0</v>
      </c>
      <c r="BE12" s="6">
        <v>0</v>
      </c>
      <c r="BF12" s="6">
        <f>138900+138206+342778</f>
        <v>619884</v>
      </c>
      <c r="BG12" s="6">
        <v>0</v>
      </c>
      <c r="BH12" s="6">
        <v>0</v>
      </c>
      <c r="BI12" s="5">
        <f>18218+1257100+2151660</f>
        <v>3426978</v>
      </c>
      <c r="BJ12" s="6">
        <v>0</v>
      </c>
      <c r="BK12" s="6">
        <f>38500+598000+1642000+64400+282000+736500</f>
        <v>3361400</v>
      </c>
      <c r="BL12" s="6">
        <v>0</v>
      </c>
      <c r="BM12" s="6">
        <v>0</v>
      </c>
      <c r="BN12" s="6">
        <v>0</v>
      </c>
      <c r="BO12" s="6">
        <f>1004-1004+1000+200000+1004-1004+1000+1000+8690</f>
        <v>211690</v>
      </c>
    </row>
    <row r="13" spans="1:67">
      <c r="A13">
        <v>2023</v>
      </c>
      <c r="B13">
        <v>5</v>
      </c>
      <c r="C13">
        <v>17</v>
      </c>
      <c r="D13">
        <v>48</v>
      </c>
      <c r="E13">
        <v>19</v>
      </c>
      <c r="F13">
        <v>35</v>
      </c>
      <c r="G13" s="4">
        <f t="shared" si="0"/>
        <v>64602844</v>
      </c>
      <c r="H13" s="4">
        <f t="shared" si="1"/>
        <v>75233147</v>
      </c>
      <c r="I13" s="4">
        <f t="shared" si="4"/>
        <v>-10630303</v>
      </c>
      <c r="J13" s="4">
        <f t="shared" si="25"/>
        <v>29961367</v>
      </c>
      <c r="K13" s="4">
        <f t="shared" si="5"/>
        <v>54316852</v>
      </c>
      <c r="L13" s="4">
        <f t="shared" si="6"/>
        <v>75233147</v>
      </c>
      <c r="M13" s="4">
        <f t="shared" si="7"/>
        <v>-20916295</v>
      </c>
      <c r="N13" s="4">
        <f t="shared" si="19"/>
        <v>-15000000</v>
      </c>
      <c r="O13" s="4">
        <f t="shared" si="9"/>
        <v>25000000</v>
      </c>
      <c r="P13" s="4">
        <f t="shared" si="26"/>
        <v>58834957</v>
      </c>
      <c r="Q13" s="4">
        <f t="shared" si="2"/>
        <v>59131161</v>
      </c>
      <c r="R13" s="4">
        <f t="shared" si="11"/>
        <v>-296204</v>
      </c>
      <c r="S13" s="4">
        <f t="shared" si="12"/>
        <v>28091138</v>
      </c>
      <c r="T13" s="4">
        <f t="shared" si="13"/>
        <v>48834957</v>
      </c>
      <c r="U13" s="4">
        <f t="shared" si="14"/>
        <v>59131161</v>
      </c>
      <c r="V13" s="4">
        <f t="shared" si="15"/>
        <v>-10296204</v>
      </c>
      <c r="W13" s="4">
        <v>0</v>
      </c>
      <c r="X13" s="4">
        <f>294000+231000+650730+1697745+650370+159200+167160+193030+294000+250740+1615880+3093615+1747620+200990+913410+836535+299250+586530+125685+167160+282000+250740+293265+125270+159600+39800+281295+280590+1051365+250740+125685+292530+417900+40000+2344000+2254000+2653000+353225+206960+374120+168000+207380+2005920+550122+39800+1059675+994000+294000+1583543+1099245+1200990+64675+761175+208000+294000+1051715+1038780+293265+566580+1705430+280590+1011915+3844432+173565+1304445+501480+252000+30000</f>
        <v>48835457</v>
      </c>
      <c r="Y13" s="4">
        <v>10000000</v>
      </c>
      <c r="Z13" s="4">
        <v>0</v>
      </c>
      <c r="AA13" s="4">
        <v>0</v>
      </c>
      <c r="AB13" s="4">
        <f>-15000000-2400000-1000000+15000000+9000000+2400000+1000000+100000+273803-100000-9000500-273803</f>
        <v>-500</v>
      </c>
      <c r="AC13" s="4">
        <v>0</v>
      </c>
      <c r="AD13" s="4">
        <f>68000</f>
        <v>68000</v>
      </c>
      <c r="AE13" s="4">
        <v>165000</v>
      </c>
      <c r="AF13" s="4">
        <v>0</v>
      </c>
      <c r="AG13" s="4">
        <v>0</v>
      </c>
      <c r="AH13" s="4">
        <f>2400000</f>
        <v>2400000</v>
      </c>
      <c r="AI13" s="4">
        <f>120000+600000+3985010+6322880+18199180+5254840+681090</f>
        <v>35163000</v>
      </c>
      <c r="AJ13" s="4">
        <f>6110400+80000</f>
        <v>6190400</v>
      </c>
      <c r="AK13" s="4">
        <f>3093200+3379200</f>
        <v>6472400</v>
      </c>
      <c r="AL13" s="4">
        <v>0</v>
      </c>
      <c r="AM13" s="4">
        <f>1484510+1331900</f>
        <v>2816410</v>
      </c>
      <c r="AN13" s="4">
        <v>0</v>
      </c>
      <c r="AO13" s="4">
        <v>0</v>
      </c>
      <c r="AP13" s="4">
        <v>0</v>
      </c>
      <c r="AQ13" s="4">
        <v>1100000</v>
      </c>
      <c r="AR13" s="4">
        <f>65550+30570+88000</f>
        <v>184120</v>
      </c>
      <c r="AS13" s="4">
        <v>2693182</v>
      </c>
      <c r="AT13" s="4">
        <f>408658+86301</f>
        <v>494959</v>
      </c>
      <c r="AU13" s="4">
        <v>0</v>
      </c>
      <c r="AV13" s="4">
        <f>35210+41800+120000+250750+327930+269460+4480+1100+189480+15600+7490+7490+22000+90900</f>
        <v>1383690</v>
      </c>
      <c r="AW13" s="4">
        <f t="shared" si="27"/>
        <v>5767887</v>
      </c>
      <c r="AX13" s="4">
        <f t="shared" si="3"/>
        <v>16101986</v>
      </c>
      <c r="AY13" s="4">
        <f t="shared" si="28"/>
        <v>1870229</v>
      </c>
      <c r="AZ13" s="4">
        <v>-25000000</v>
      </c>
      <c r="BA13" s="6">
        <f>584205+2+4633843+98753+252084+199000</f>
        <v>5767887</v>
      </c>
      <c r="BB13" s="6">
        <f>25000000</f>
        <v>25000000</v>
      </c>
      <c r="BC13" s="6">
        <f>876020-876020</f>
        <v>0</v>
      </c>
      <c r="BD13" s="6">
        <v>0</v>
      </c>
      <c r="BE13" s="6">
        <v>0</v>
      </c>
      <c r="BF13" s="6">
        <f>58000+60492+100000</f>
        <v>218492</v>
      </c>
      <c r="BG13" s="6">
        <v>0</v>
      </c>
      <c r="BH13" s="6">
        <v>11424</v>
      </c>
      <c r="BI13" s="5">
        <f>2033090+2320800+1649620</f>
        <v>6003510</v>
      </c>
      <c r="BJ13" s="5">
        <f>64950+107740</f>
        <v>172690</v>
      </c>
      <c r="BK13" s="6">
        <f>445500+73150+199500+1943000+60000+175000+105600+408000+54000+4752500</f>
        <v>8216250</v>
      </c>
      <c r="BL13" s="6">
        <v>0</v>
      </c>
      <c r="BM13" s="6">
        <v>0</v>
      </c>
      <c r="BN13" s="6">
        <v>400</v>
      </c>
      <c r="BO13" s="5">
        <f>29700-29700+56950+876000+20+110250+31000+100000+305000</f>
        <v>1479220</v>
      </c>
    </row>
    <row r="14" spans="1:67">
      <c r="A14">
        <v>2023</v>
      </c>
      <c r="B14">
        <v>6</v>
      </c>
      <c r="C14">
        <v>18</v>
      </c>
      <c r="D14">
        <v>41</v>
      </c>
      <c r="E14">
        <v>26</v>
      </c>
      <c r="F14">
        <v>32</v>
      </c>
      <c r="G14" s="4">
        <f t="shared" si="0"/>
        <v>63708939</v>
      </c>
      <c r="H14" s="4">
        <f t="shared" si="1"/>
        <v>53683988</v>
      </c>
      <c r="I14" s="4">
        <f t="shared" si="4"/>
        <v>10024951</v>
      </c>
      <c r="J14" s="4">
        <f t="shared" si="25"/>
        <v>39986318</v>
      </c>
      <c r="K14" s="4">
        <f t="shared" si="5"/>
        <v>61970306</v>
      </c>
      <c r="L14" s="4">
        <f t="shared" si="6"/>
        <v>53683988</v>
      </c>
      <c r="M14" s="4">
        <f t="shared" si="7"/>
        <v>8286318</v>
      </c>
      <c r="N14" s="4">
        <f t="shared" si="19"/>
        <v>0</v>
      </c>
      <c r="O14" s="4">
        <f t="shared" si="9"/>
        <v>0</v>
      </c>
      <c r="P14" s="4">
        <f t="shared" si="26"/>
        <v>53640508</v>
      </c>
      <c r="Q14" s="4">
        <f t="shared" si="2"/>
        <v>48593019</v>
      </c>
      <c r="R14" s="4">
        <f t="shared" si="11"/>
        <v>5047489</v>
      </c>
      <c r="S14" s="4">
        <f t="shared" si="12"/>
        <v>33138627</v>
      </c>
      <c r="T14" s="4">
        <f t="shared" si="13"/>
        <v>53640508</v>
      </c>
      <c r="U14" s="4">
        <f t="shared" si="14"/>
        <v>48593019</v>
      </c>
      <c r="V14" s="4">
        <f t="shared" si="15"/>
        <v>5047489</v>
      </c>
      <c r="W14" s="4">
        <v>0</v>
      </c>
      <c r="X14" s="4">
        <f>761175+2176563+292530+333065+972115+292530+392765+292000+568077+188029+1864000+271635+2283525+99500+454500+294000+765000+936915+99750+1506430+123380+282000+280590+763088+521693+955200+280590+2223825+534158+763088+164175+1241263+7723812+1533010+994000+3002060+17399360</f>
        <v>53629396</v>
      </c>
      <c r="Y14" s="4">
        <v>0</v>
      </c>
      <c r="Z14" s="4">
        <v>0</v>
      </c>
      <c r="AA14" s="4">
        <v>0</v>
      </c>
      <c r="AB14" s="4">
        <f>-30000000-30000000+30000000+30000000</f>
        <v>0</v>
      </c>
      <c r="AC14" s="4">
        <f>7205+24+3883</f>
        <v>11112</v>
      </c>
      <c r="AD14" s="4">
        <f>761175+180000</f>
        <v>941175</v>
      </c>
      <c r="AE14" s="4">
        <v>165000</v>
      </c>
      <c r="AF14" s="4">
        <v>0</v>
      </c>
      <c r="AG14" s="4">
        <v>0</v>
      </c>
      <c r="AH14" s="4">
        <f>550000+1600000+1650000+550000</f>
        <v>4350000</v>
      </c>
      <c r="AI14" s="4">
        <f>210000+600000+4427140+30576920+1219660+894000+90000+600000+30000</f>
        <v>38647720</v>
      </c>
      <c r="AJ14" s="4">
        <v>0</v>
      </c>
      <c r="AK14" s="4">
        <v>0</v>
      </c>
      <c r="AL14" s="4">
        <f>-2570+392520</f>
        <v>389950</v>
      </c>
      <c r="AM14" s="4">
        <v>1369650</v>
      </c>
      <c r="AN14" s="4">
        <v>69000</v>
      </c>
      <c r="AO14" s="4">
        <v>0</v>
      </c>
      <c r="AP14" s="4">
        <v>53260</v>
      </c>
      <c r="AQ14" s="4">
        <v>0</v>
      </c>
      <c r="AR14" s="4">
        <f>44220+44220</f>
        <v>88440</v>
      </c>
      <c r="AS14" s="4">
        <v>1369905</v>
      </c>
      <c r="AT14" s="4">
        <f>408658+92991</f>
        <v>501649</v>
      </c>
      <c r="AU14" s="4">
        <v>0</v>
      </c>
      <c r="AV14" s="4">
        <f>4400+35210+41800+250750+160600+39520+43230+8990+39770+3000+20000</f>
        <v>647270</v>
      </c>
      <c r="AW14" s="4">
        <f t="shared" si="27"/>
        <v>10068431</v>
      </c>
      <c r="AX14" s="4">
        <f t="shared" si="3"/>
        <v>5090969</v>
      </c>
      <c r="AY14" s="4">
        <f t="shared" si="28"/>
        <v>6847691</v>
      </c>
      <c r="AZ14" s="4">
        <v>0</v>
      </c>
      <c r="BA14" s="6">
        <f>7987857+1675363+237308+164275</f>
        <v>10064803</v>
      </c>
      <c r="BB14" s="6">
        <v>0</v>
      </c>
      <c r="BC14" s="6">
        <v>0</v>
      </c>
      <c r="BD14" s="6">
        <v>0</v>
      </c>
      <c r="BE14" s="6">
        <f>3419+209</f>
        <v>3628</v>
      </c>
      <c r="BF14" s="6">
        <f>255715+88778+99500+48000+305465</f>
        <v>797458</v>
      </c>
      <c r="BG14" s="6">
        <v>0</v>
      </c>
      <c r="BH14" s="6">
        <v>88541</v>
      </c>
      <c r="BI14" s="5">
        <f>2033090</f>
        <v>2033090</v>
      </c>
      <c r="BJ14" s="6">
        <v>0</v>
      </c>
      <c r="BK14" s="6">
        <f>1168500+56050+507000+66880+146300+213750</f>
        <v>2158480</v>
      </c>
      <c r="BL14" s="6">
        <v>0</v>
      </c>
      <c r="BM14" s="6">
        <v>0</v>
      </c>
      <c r="BN14" s="6">
        <f>400+13000</f>
        <v>13400</v>
      </c>
      <c r="BO14" s="6">
        <v>0</v>
      </c>
    </row>
    <row r="15" spans="1:67">
      <c r="A15">
        <v>2023</v>
      </c>
      <c r="B15">
        <v>7</v>
      </c>
      <c r="C15">
        <v>18</v>
      </c>
      <c r="D15">
        <v>45</v>
      </c>
      <c r="E15">
        <v>26</v>
      </c>
      <c r="F15">
        <v>32</v>
      </c>
      <c r="G15" s="4">
        <f t="shared" si="0"/>
        <v>44079717</v>
      </c>
      <c r="H15" s="4">
        <f t="shared" si="1"/>
        <v>60903233</v>
      </c>
      <c r="I15" s="4">
        <f t="shared" si="4"/>
        <v>-16823516</v>
      </c>
      <c r="J15" s="4">
        <f t="shared" si="25"/>
        <v>23162802</v>
      </c>
      <c r="K15" s="4">
        <f t="shared" si="5"/>
        <v>42056857</v>
      </c>
      <c r="L15" s="4">
        <f t="shared" si="6"/>
        <v>60903233</v>
      </c>
      <c r="M15" s="4">
        <f t="shared" si="7"/>
        <v>-18846376</v>
      </c>
      <c r="N15" s="4">
        <f t="shared" si="19"/>
        <v>1000000</v>
      </c>
      <c r="O15" s="4">
        <f t="shared" si="9"/>
        <v>0</v>
      </c>
      <c r="P15" s="4">
        <f t="shared" si="26"/>
        <v>42003920</v>
      </c>
      <c r="Q15" s="4">
        <f t="shared" si="2"/>
        <v>52798784</v>
      </c>
      <c r="R15" s="4">
        <f t="shared" si="11"/>
        <v>-10794864</v>
      </c>
      <c r="S15" s="4">
        <f t="shared" si="12"/>
        <v>22343763</v>
      </c>
      <c r="T15" s="4">
        <f t="shared" si="13"/>
        <v>42003920</v>
      </c>
      <c r="U15" s="4">
        <f t="shared" si="14"/>
        <v>52798784</v>
      </c>
      <c r="V15" s="4">
        <f t="shared" si="15"/>
        <v>-10794864</v>
      </c>
      <c r="W15" s="4">
        <v>0</v>
      </c>
      <c r="X15" s="4">
        <v>42003920</v>
      </c>
      <c r="Y15" s="4">
        <v>0</v>
      </c>
      <c r="Z15" s="4">
        <v>0</v>
      </c>
      <c r="AA15" s="4">
        <v>0</v>
      </c>
      <c r="AB15" s="4">
        <f>-40000000+40000000</f>
        <v>0</v>
      </c>
      <c r="AC15" s="4">
        <v>0</v>
      </c>
      <c r="AD15" s="4">
        <v>0</v>
      </c>
      <c r="AE15" s="4">
        <v>165000</v>
      </c>
      <c r="AF15" s="4">
        <v>0</v>
      </c>
      <c r="AG15" s="4">
        <v>0</v>
      </c>
      <c r="AH15" s="4">
        <f>1600000+1650000+550000</f>
        <v>3800000</v>
      </c>
      <c r="AI15" s="4">
        <f>4182080+574290+31448200+941160+120000+600000</f>
        <v>37865730</v>
      </c>
      <c r="AJ15" s="4">
        <v>183000</v>
      </c>
      <c r="AK15" s="4">
        <v>3300000</v>
      </c>
      <c r="AL15" s="4">
        <v>796010</v>
      </c>
      <c r="AM15" s="4">
        <f>397000+168000</f>
        <v>565000</v>
      </c>
      <c r="AN15" s="4">
        <v>0</v>
      </c>
      <c r="AO15" s="5">
        <f>1383000+270000+240000</f>
        <v>1893000</v>
      </c>
      <c r="AP15" s="4">
        <v>60000</v>
      </c>
      <c r="AQ15" s="4">
        <v>0</v>
      </c>
      <c r="AR15" s="4">
        <f>511500</f>
        <v>511500</v>
      </c>
      <c r="AS15" s="4">
        <v>1743050</v>
      </c>
      <c r="AT15" s="4">
        <f>408658+90246</f>
        <v>498904</v>
      </c>
      <c r="AU15" s="4">
        <v>0</v>
      </c>
      <c r="AV15" s="4">
        <f>35210+41800+250750+15000+160600+110230+385000+385000+34000</f>
        <v>1417590</v>
      </c>
      <c r="AW15" s="4">
        <f t="shared" si="27"/>
        <v>2075797</v>
      </c>
      <c r="AX15" s="4">
        <f t="shared" si="3"/>
        <v>8104449</v>
      </c>
      <c r="AY15" s="4">
        <f t="shared" si="28"/>
        <v>819039</v>
      </c>
      <c r="AZ15" s="4">
        <v>1000000</v>
      </c>
      <c r="BA15" s="6">
        <f>1045947+29850</f>
        <v>1075797</v>
      </c>
      <c r="BB15" s="6">
        <v>0</v>
      </c>
      <c r="BC15" s="6">
        <v>0</v>
      </c>
      <c r="BD15" s="6">
        <v>0</v>
      </c>
      <c r="BE15" s="6">
        <v>0</v>
      </c>
      <c r="BF15" s="6">
        <v>1022860</v>
      </c>
      <c r="BG15" s="6">
        <v>0</v>
      </c>
      <c r="BH15" s="6">
        <v>84999</v>
      </c>
      <c r="BI15" s="5">
        <f>463430</f>
        <v>463430</v>
      </c>
      <c r="BJ15" s="6">
        <v>0</v>
      </c>
      <c r="BK15" s="6">
        <f>4333950+66880+120770+11160+1980000</f>
        <v>6512760</v>
      </c>
      <c r="BL15" s="6">
        <v>0</v>
      </c>
      <c r="BM15" s="6">
        <v>0</v>
      </c>
      <c r="BN15" s="6">
        <v>400</v>
      </c>
      <c r="BO15" s="5">
        <v>20000</v>
      </c>
    </row>
    <row r="16" spans="1:67">
      <c r="A16">
        <v>2023</v>
      </c>
      <c r="B16">
        <v>8</v>
      </c>
      <c r="C16">
        <v>16</v>
      </c>
      <c r="D16">
        <v>45</v>
      </c>
      <c r="G16" s="4">
        <f t="shared" si="0"/>
        <v>94153073</v>
      </c>
      <c r="H16" s="4">
        <f t="shared" si="1"/>
        <v>63462268</v>
      </c>
      <c r="I16" s="4">
        <f t="shared" si="4"/>
        <v>30690805</v>
      </c>
      <c r="J16" s="4">
        <f t="shared" si="25"/>
        <v>53853607</v>
      </c>
      <c r="K16" s="4">
        <f t="shared" si="5"/>
        <v>48810435</v>
      </c>
      <c r="L16" s="4">
        <f t="shared" si="6"/>
        <v>63462268</v>
      </c>
      <c r="M16" s="4">
        <f t="shared" si="7"/>
        <v>-14651833</v>
      </c>
      <c r="N16" s="4">
        <f t="shared" si="19"/>
        <v>-10000000</v>
      </c>
      <c r="O16" s="4">
        <f t="shared" si="9"/>
        <v>0</v>
      </c>
      <c r="P16" s="4">
        <f t="shared" si="26"/>
        <v>80419656</v>
      </c>
      <c r="Q16" s="4">
        <f t="shared" si="2"/>
        <v>60930038</v>
      </c>
      <c r="R16" s="4">
        <f t="shared" si="11"/>
        <v>19489618</v>
      </c>
      <c r="S16" s="4">
        <f t="shared" si="12"/>
        <v>41833381</v>
      </c>
      <c r="T16" s="4">
        <f t="shared" si="13"/>
        <v>40419656</v>
      </c>
      <c r="U16" s="4">
        <f t="shared" si="14"/>
        <v>60930038</v>
      </c>
      <c r="V16" s="4">
        <f t="shared" si="15"/>
        <v>-20510382</v>
      </c>
      <c r="W16" s="4">
        <f>30000000+20000000</f>
        <v>50000000</v>
      </c>
      <c r="X16" s="4">
        <v>40154796</v>
      </c>
      <c r="Y16" s="4">
        <f>-10000000</f>
        <v>-10000000</v>
      </c>
      <c r="Z16" s="4">
        <v>0</v>
      </c>
      <c r="AA16" s="4">
        <v>0</v>
      </c>
      <c r="AB16" s="4">
        <f>-20000000-9000000+1000000+20000000+9000000-1000000</f>
        <v>0</v>
      </c>
      <c r="AC16" s="4">
        <f>4000+260860</f>
        <v>264860</v>
      </c>
      <c r="AD16" s="4">
        <f>1804930+1782543</f>
        <v>3587473</v>
      </c>
      <c r="AE16" s="4">
        <f>165000+809240</f>
        <v>974240</v>
      </c>
      <c r="AF16" s="4">
        <v>352000</v>
      </c>
      <c r="AG16" s="4">
        <f>-2168401</f>
        <v>-2168401</v>
      </c>
      <c r="AH16" s="4">
        <f>1600000+720000+1650000+550000</f>
        <v>4520000</v>
      </c>
      <c r="AI16" s="4">
        <f>425480+600000+3508960+1800000+31834330+600000+120000</f>
        <v>38888770</v>
      </c>
      <c r="AJ16" s="4">
        <v>0</v>
      </c>
      <c r="AK16" s="4">
        <v>4281200</v>
      </c>
      <c r="AL16" s="4">
        <f>786380+32000</f>
        <v>818380</v>
      </c>
      <c r="AM16" s="4">
        <f>1910380+2287100</f>
        <v>4197480</v>
      </c>
      <c r="AN16" s="4">
        <v>0</v>
      </c>
      <c r="AO16" s="4">
        <v>481680</v>
      </c>
      <c r="AP16" s="4">
        <v>0</v>
      </c>
      <c r="AQ16" s="4">
        <v>770000</v>
      </c>
      <c r="AR16" s="4">
        <v>0</v>
      </c>
      <c r="AS16" s="4">
        <v>2395994</v>
      </c>
      <c r="AT16" s="4">
        <f>408658+93254</f>
        <v>501912</v>
      </c>
      <c r="AU16" s="4">
        <v>0</v>
      </c>
      <c r="AV16" s="4">
        <f>35210+41800+250750+192000+45980+32270+52760+1000+241410+29130+22000+385000</f>
        <v>1329310</v>
      </c>
      <c r="AW16" s="4">
        <f>SUM(AZ16:BE16)</f>
        <v>13733417</v>
      </c>
      <c r="AX16" s="4">
        <f t="shared" si="3"/>
        <v>2532230</v>
      </c>
      <c r="AY16" s="4">
        <f t="shared" si="28"/>
        <v>12020226</v>
      </c>
      <c r="AZ16" s="4">
        <v>0</v>
      </c>
      <c r="BA16" s="6">
        <f>11325717+1028000+30000+444850+904850</f>
        <v>13733417</v>
      </c>
      <c r="BB16" s="6">
        <v>0</v>
      </c>
      <c r="BC16" s="6">
        <v>0</v>
      </c>
      <c r="BD16" s="6">
        <v>0</v>
      </c>
      <c r="BE16" s="6">
        <v>0</v>
      </c>
      <c r="BF16" s="6">
        <f>25000+210972+103480+415340+1000373</f>
        <v>1755165</v>
      </c>
      <c r="BG16" s="6">
        <v>0</v>
      </c>
      <c r="BH16" s="6">
        <v>86417</v>
      </c>
      <c r="BI16" s="5">
        <f>7000</f>
        <v>7000</v>
      </c>
      <c r="BJ16" s="6">
        <v>0</v>
      </c>
      <c r="BK16" s="6">
        <f>536648+18000*5+19000*3</f>
        <v>683648</v>
      </c>
      <c r="BL16" s="6">
        <v>0</v>
      </c>
      <c r="BM16" s="6">
        <v>0</v>
      </c>
      <c r="BN16" s="6">
        <v>0</v>
      </c>
      <c r="BO16" s="6">
        <v>0</v>
      </c>
    </row>
    <row r="17" spans="1:67">
      <c r="A17">
        <v>2023</v>
      </c>
      <c r="B17">
        <v>9</v>
      </c>
      <c r="C17">
        <v>16</v>
      </c>
      <c r="D17">
        <v>43</v>
      </c>
      <c r="G17" s="4">
        <f t="shared" si="0"/>
        <v>48838702</v>
      </c>
      <c r="H17" s="4">
        <f t="shared" si="1"/>
        <v>78266574</v>
      </c>
      <c r="I17" s="4">
        <f t="shared" si="4"/>
        <v>-29427872</v>
      </c>
      <c r="J17" s="4">
        <f t="shared" si="25"/>
        <v>24425735</v>
      </c>
      <c r="K17" s="4">
        <f t="shared" si="5"/>
        <v>58521834</v>
      </c>
      <c r="L17" s="4">
        <f t="shared" si="6"/>
        <v>78266574</v>
      </c>
      <c r="M17" s="4">
        <f t="shared" si="7"/>
        <v>-19744740</v>
      </c>
      <c r="N17" s="4">
        <f t="shared" si="19"/>
        <v>-11000000</v>
      </c>
      <c r="O17" s="4">
        <f t="shared" si="9"/>
        <v>0</v>
      </c>
      <c r="P17" s="4">
        <f t="shared" si="26"/>
        <v>42215175</v>
      </c>
      <c r="Q17" s="4">
        <f t="shared" si="2"/>
        <v>63670365</v>
      </c>
      <c r="R17" s="4">
        <f t="shared" si="11"/>
        <v>-21455190</v>
      </c>
      <c r="S17" s="4">
        <f t="shared" si="12"/>
        <v>20378191</v>
      </c>
      <c r="T17" s="4">
        <f t="shared" si="13"/>
        <v>42215175</v>
      </c>
      <c r="U17" s="4">
        <f t="shared" si="14"/>
        <v>63670365</v>
      </c>
      <c r="V17" s="4">
        <f t="shared" si="15"/>
        <v>-21455190</v>
      </c>
      <c r="W17" s="4">
        <v>0</v>
      </c>
      <c r="X17" s="4">
        <v>42215175</v>
      </c>
      <c r="Y17" s="4">
        <v>0</v>
      </c>
      <c r="Z17" s="4">
        <v>0</v>
      </c>
      <c r="AA17" s="4">
        <v>0</v>
      </c>
      <c r="AB17" s="4">
        <f>-100000+100000</f>
        <v>0</v>
      </c>
      <c r="AC17" s="4">
        <v>0</v>
      </c>
      <c r="AD17" s="4">
        <v>197000</v>
      </c>
      <c r="AE17" s="4">
        <v>165000</v>
      </c>
      <c r="AF17" s="4">
        <v>0</v>
      </c>
      <c r="AG17" s="4">
        <v>0</v>
      </c>
      <c r="AH17" s="4">
        <f>880000+880000+2750000+550000+1650000</f>
        <v>6710000</v>
      </c>
      <c r="AI17" s="4">
        <f>5321970+34515920+1200000+600000+120000</f>
        <v>41757890</v>
      </c>
      <c r="AJ17" s="4">
        <v>0</v>
      </c>
      <c r="AK17" s="4">
        <v>4648600</v>
      </c>
      <c r="AL17" s="4">
        <v>834360</v>
      </c>
      <c r="AM17" s="4">
        <f>-35240+2538030</f>
        <v>2502790</v>
      </c>
      <c r="AN17" s="4">
        <v>0</v>
      </c>
      <c r="AO17" s="4">
        <v>0</v>
      </c>
      <c r="AP17" s="4">
        <v>0</v>
      </c>
      <c r="AQ17" s="4">
        <v>2200000</v>
      </c>
      <c r="AR17" s="4">
        <f>16200</f>
        <v>16200</v>
      </c>
      <c r="AS17" s="4">
        <v>2694557</v>
      </c>
      <c r="AT17" s="4">
        <f>408658+94240</f>
        <v>502898</v>
      </c>
      <c r="AU17" s="4">
        <v>0</v>
      </c>
      <c r="AV17" s="4">
        <f>35210+41800+43950+40000+250750+43300+385000+160600+68730+14190+236500+41040+80000</f>
        <v>1441070</v>
      </c>
      <c r="AW17" s="4">
        <f t="shared" si="27"/>
        <v>6623527</v>
      </c>
      <c r="AX17" s="4">
        <f t="shared" si="3"/>
        <v>14596209</v>
      </c>
      <c r="AY17" s="4">
        <f t="shared" si="28"/>
        <v>4047544</v>
      </c>
      <c r="AZ17" s="4">
        <f>2000000+3000000+2000000-18000000</f>
        <v>-11000000</v>
      </c>
      <c r="BA17" s="6">
        <f>17427664+192533</f>
        <v>17620197</v>
      </c>
      <c r="BB17" s="6">
        <v>0</v>
      </c>
      <c r="BC17" s="6">
        <v>0</v>
      </c>
      <c r="BD17" s="6">
        <v>0</v>
      </c>
      <c r="BE17" s="6">
        <f>3000+330</f>
        <v>3330</v>
      </c>
      <c r="BF17" s="6">
        <f>923360+196508</f>
        <v>1119868</v>
      </c>
      <c r="BG17" s="6">
        <v>0</v>
      </c>
      <c r="BH17" s="6">
        <v>86417</v>
      </c>
      <c r="BI17" s="6">
        <v>0</v>
      </c>
      <c r="BJ17" s="6">
        <v>0</v>
      </c>
      <c r="BK17" s="6">
        <f>28960+1832000+114000+338000+508750+432500+1721000+133760+2233050+418000+540000+492000+611000+546000</f>
        <v>9949020</v>
      </c>
      <c r="BL17" s="6">
        <v>0</v>
      </c>
      <c r="BM17" s="6">
        <v>0</v>
      </c>
      <c r="BN17" s="6">
        <v>140904</v>
      </c>
      <c r="BO17" s="6">
        <f>3300000</f>
        <v>3300000</v>
      </c>
    </row>
    <row r="18" spans="1:67">
      <c r="A18">
        <v>2023</v>
      </c>
      <c r="B18">
        <v>10</v>
      </c>
      <c r="D18">
        <v>43</v>
      </c>
      <c r="G18" s="4">
        <f t="shared" si="0"/>
        <v>66229876</v>
      </c>
      <c r="H18" s="4">
        <f t="shared" si="1"/>
        <v>78558488</v>
      </c>
      <c r="I18" s="4">
        <f t="shared" si="4"/>
        <v>-12328612</v>
      </c>
      <c r="J18" s="4">
        <f t="shared" si="25"/>
        <v>12097123</v>
      </c>
      <c r="K18" s="4">
        <f t="shared" si="5"/>
        <v>39609104</v>
      </c>
      <c r="L18" s="4">
        <f t="shared" si="6"/>
        <v>78558488</v>
      </c>
      <c r="M18" s="4">
        <f t="shared" si="7"/>
        <v>-38949384</v>
      </c>
      <c r="N18" s="4">
        <f t="shared" si="19"/>
        <v>1500000</v>
      </c>
      <c r="O18" s="4">
        <f t="shared" si="9"/>
        <v>0</v>
      </c>
      <c r="P18" s="4">
        <f t="shared" si="26"/>
        <v>63931114</v>
      </c>
      <c r="Q18" s="4">
        <f t="shared" si="2"/>
        <v>75482670</v>
      </c>
      <c r="R18" s="4">
        <f t="shared" si="11"/>
        <v>-11551556</v>
      </c>
      <c r="S18" s="4">
        <f t="shared" si="12"/>
        <v>8826635</v>
      </c>
      <c r="T18" s="4">
        <f t="shared" si="13"/>
        <v>38931114</v>
      </c>
      <c r="U18" s="4">
        <f t="shared" si="14"/>
        <v>75482670</v>
      </c>
      <c r="V18" s="4">
        <f t="shared" si="15"/>
        <v>-36551556</v>
      </c>
      <c r="W18" s="4">
        <f>20000000+5000000</f>
        <v>25000000</v>
      </c>
      <c r="X18" s="4">
        <v>37311114</v>
      </c>
      <c r="Y18" s="4">
        <v>0</v>
      </c>
      <c r="Z18" s="4">
        <v>0</v>
      </c>
      <c r="AA18" s="4">
        <v>0</v>
      </c>
      <c r="AB18" s="4">
        <f>-100000-180000+100000</f>
        <v>-180000</v>
      </c>
      <c r="AC18" s="4">
        <v>1800000</v>
      </c>
      <c r="AD18" s="4">
        <v>0</v>
      </c>
      <c r="AE18" s="4">
        <v>165000</v>
      </c>
      <c r="AF18" s="4">
        <v>0</v>
      </c>
      <c r="AG18" s="4">
        <v>0</v>
      </c>
      <c r="AH18" s="4">
        <f>880000*2+21120000+1650000+550000</f>
        <v>25080000</v>
      </c>
      <c r="AI18" s="4">
        <f>4007160+67690+32808750+1000000+600000+1200000+90000</f>
        <v>39773600</v>
      </c>
      <c r="AJ18" s="4">
        <v>0</v>
      </c>
      <c r="AK18" s="4">
        <v>3128400</v>
      </c>
      <c r="AL18" s="4">
        <v>855020</v>
      </c>
      <c r="AM18" s="4">
        <v>2347450</v>
      </c>
      <c r="AN18" s="4">
        <v>0</v>
      </c>
      <c r="AO18" s="4">
        <v>0</v>
      </c>
      <c r="AP18" s="4">
        <v>0</v>
      </c>
      <c r="AQ18" s="4">
        <v>0</v>
      </c>
      <c r="AR18" s="4">
        <f>113400+113400-112900+117270</f>
        <v>231170</v>
      </c>
      <c r="AS18" s="4">
        <v>2306840</v>
      </c>
      <c r="AT18" s="4">
        <f>408658+91232</f>
        <v>499890</v>
      </c>
      <c r="AU18" s="4">
        <v>0</v>
      </c>
      <c r="AV18" s="4">
        <f>35210+41800+250750+4400+160600+31119+120000+33421+198000+220000</f>
        <v>1095300</v>
      </c>
      <c r="AW18" s="4">
        <f t="shared" si="27"/>
        <v>2298762</v>
      </c>
      <c r="AX18" s="4">
        <f t="shared" si="3"/>
        <v>3075818</v>
      </c>
      <c r="AY18" s="4">
        <f t="shared" si="28"/>
        <v>3270488</v>
      </c>
      <c r="AZ18" s="4">
        <v>1500000</v>
      </c>
      <c r="BA18" s="6">
        <v>798762</v>
      </c>
      <c r="BB18" s="6">
        <v>0</v>
      </c>
      <c r="BC18" s="6">
        <v>0</v>
      </c>
      <c r="BD18" s="6">
        <v>0</v>
      </c>
      <c r="BE18" s="6">
        <v>0</v>
      </c>
      <c r="BF18" s="6">
        <f>270922+29850</f>
        <v>300772</v>
      </c>
      <c r="BG18" s="6">
        <v>0</v>
      </c>
      <c r="BH18" s="6">
        <v>85958</v>
      </c>
      <c r="BI18" s="6">
        <v>0</v>
      </c>
      <c r="BJ18" s="6">
        <v>0</v>
      </c>
      <c r="BK18" s="6">
        <f>14000+14480+299250+374000+255000+36000+1684000</f>
        <v>2676730</v>
      </c>
      <c r="BL18" s="6">
        <v>0</v>
      </c>
      <c r="BM18" s="6">
        <v>0</v>
      </c>
      <c r="BN18" s="6">
        <v>0</v>
      </c>
      <c r="BO18" s="6">
        <v>12358</v>
      </c>
    </row>
    <row r="19" spans="1:67">
      <c r="A19">
        <v>2023</v>
      </c>
      <c r="B19">
        <v>11</v>
      </c>
      <c r="D19">
        <v>43</v>
      </c>
      <c r="G19" s="4">
        <f t="shared" si="0"/>
        <v>90384775</v>
      </c>
      <c r="H19" s="4">
        <f t="shared" si="1"/>
        <v>66264797</v>
      </c>
      <c r="I19" s="4">
        <f t="shared" si="4"/>
        <v>24119978</v>
      </c>
      <c r="J19" s="4">
        <f t="shared" si="25"/>
        <v>36217101</v>
      </c>
      <c r="K19" s="4">
        <f t="shared" si="5"/>
        <v>86175055</v>
      </c>
      <c r="L19" s="4">
        <f t="shared" si="6"/>
        <v>66264797</v>
      </c>
      <c r="M19" s="4">
        <f t="shared" si="7"/>
        <v>19910258</v>
      </c>
      <c r="N19" s="4">
        <f t="shared" si="19"/>
        <v>2013720</v>
      </c>
      <c r="O19" s="4">
        <f t="shared" si="9"/>
        <v>0</v>
      </c>
      <c r="P19" s="4">
        <f t="shared" si="26"/>
        <v>83239997</v>
      </c>
      <c r="Q19" s="4">
        <f t="shared" si="2"/>
        <v>63390141</v>
      </c>
      <c r="R19" s="4">
        <f t="shared" si="11"/>
        <v>19849856</v>
      </c>
      <c r="S19" s="4">
        <f t="shared" si="12"/>
        <v>28676491</v>
      </c>
      <c r="T19" s="4">
        <f t="shared" si="13"/>
        <v>83239997</v>
      </c>
      <c r="U19" s="4">
        <f t="shared" si="14"/>
        <v>63390141</v>
      </c>
      <c r="V19" s="4">
        <f t="shared" si="15"/>
        <v>19849856</v>
      </c>
      <c r="W19" s="4">
        <v>0</v>
      </c>
      <c r="X19" s="4">
        <v>83239958</v>
      </c>
      <c r="Y19" s="4">
        <v>0</v>
      </c>
      <c r="Z19" s="4">
        <v>0</v>
      </c>
      <c r="AA19" s="4">
        <v>0</v>
      </c>
      <c r="AB19" s="4">
        <f>-100000+100000</f>
        <v>0</v>
      </c>
      <c r="AC19" s="4">
        <v>39</v>
      </c>
      <c r="AD19" s="4">
        <f>1098000+1098000</f>
        <v>2196000</v>
      </c>
      <c r="AE19" s="4">
        <f>165000+264000</f>
        <v>429000</v>
      </c>
      <c r="AF19" s="4">
        <v>0</v>
      </c>
      <c r="AG19" s="4">
        <f>500000+500000</f>
        <v>1000000</v>
      </c>
      <c r="AH19" s="4">
        <f>880000*2+1650000+3520000+550000</f>
        <v>7480000</v>
      </c>
      <c r="AI19" s="4">
        <f>-120000+5604750+29010+101540+145050+31306090+2391570+600000+150000+480000</f>
        <v>40688010</v>
      </c>
      <c r="AJ19" s="4">
        <v>0</v>
      </c>
      <c r="AK19" s="4">
        <v>3044800</v>
      </c>
      <c r="AL19" s="4">
        <v>814130</v>
      </c>
      <c r="AM19" s="4">
        <v>1643280</v>
      </c>
      <c r="AN19" s="4">
        <v>839000</v>
      </c>
      <c r="AO19" s="4">
        <v>0</v>
      </c>
      <c r="AP19" s="4">
        <v>0</v>
      </c>
      <c r="AQ19" s="4">
        <v>1100000</v>
      </c>
      <c r="AR19" s="4">
        <v>0</v>
      </c>
      <c r="AS19" s="4">
        <v>2903870</v>
      </c>
      <c r="AT19" s="4">
        <f>408658+94273</f>
        <v>502931</v>
      </c>
      <c r="AU19" s="4">
        <v>0</v>
      </c>
      <c r="AV19" s="4">
        <f>35210+41800+220000+250750-12100+160600+52860</f>
        <v>749120</v>
      </c>
      <c r="AW19" s="4">
        <f t="shared" si="27"/>
        <v>7144778</v>
      </c>
      <c r="AX19" s="4">
        <f t="shared" si="3"/>
        <v>2874656</v>
      </c>
      <c r="AY19" s="4">
        <f t="shared" si="28"/>
        <v>7540610</v>
      </c>
      <c r="AZ19" s="4">
        <f>-86280+1000000+1000000+100000</f>
        <v>2013720</v>
      </c>
      <c r="BA19" s="6">
        <v>5131058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93636</v>
      </c>
      <c r="BI19" s="5">
        <v>169320</v>
      </c>
      <c r="BJ19" s="6">
        <v>0</v>
      </c>
      <c r="BK19" s="6">
        <f>190000+247000+237500+142500+572000+193800+28500</f>
        <v>1611300</v>
      </c>
      <c r="BL19" s="6">
        <v>1000000</v>
      </c>
      <c r="BM19" s="6">
        <v>0</v>
      </c>
      <c r="BN19" s="6">
        <v>400</v>
      </c>
      <c r="BO19" s="6">
        <v>0</v>
      </c>
    </row>
    <row r="20" spans="1:67">
      <c r="A20">
        <v>2023</v>
      </c>
      <c r="B20">
        <v>12</v>
      </c>
      <c r="G20" s="4">
        <f t="shared" si="0"/>
        <v>65082249</v>
      </c>
      <c r="H20" s="4">
        <f t="shared" si="1"/>
        <v>81550875</v>
      </c>
      <c r="I20" s="4">
        <f t="shared" si="4"/>
        <v>-16468626</v>
      </c>
      <c r="J20" s="4">
        <f t="shared" si="25"/>
        <v>19748475</v>
      </c>
      <c r="K20" s="4">
        <f t="shared" si="5"/>
        <v>47644519</v>
      </c>
      <c r="L20" s="4">
        <f t="shared" si="6"/>
        <v>81550875</v>
      </c>
      <c r="M20" s="4">
        <f t="shared" si="7"/>
        <v>-33906356</v>
      </c>
      <c r="N20" s="4">
        <f t="shared" si="19"/>
        <v>-4500000</v>
      </c>
      <c r="O20" s="4">
        <f t="shared" si="9"/>
        <v>0</v>
      </c>
      <c r="P20" s="4">
        <f t="shared" si="26"/>
        <v>64313732</v>
      </c>
      <c r="Q20" s="4">
        <f t="shared" si="2"/>
        <v>77087359</v>
      </c>
      <c r="R20" s="4">
        <f t="shared" si="11"/>
        <v>-12773627</v>
      </c>
      <c r="S20" s="4">
        <f t="shared" si="12"/>
        <v>15902864</v>
      </c>
      <c r="T20" s="4">
        <f t="shared" si="13"/>
        <v>49313732</v>
      </c>
      <c r="U20" s="4">
        <f t="shared" si="14"/>
        <v>77087359</v>
      </c>
      <c r="V20" s="4">
        <f t="shared" si="15"/>
        <v>-27773627</v>
      </c>
      <c r="W20" s="4">
        <v>15000000</v>
      </c>
      <c r="X20" s="4">
        <v>49298666</v>
      </c>
      <c r="Y20" s="4">
        <v>0</v>
      </c>
      <c r="Z20" s="4">
        <v>0</v>
      </c>
      <c r="AA20" s="4">
        <v>0</v>
      </c>
      <c r="AB20" s="4">
        <f>-10000000-10000000-30000000-5000000-4000000+10000000+10000000-100000+30000000+5000000+4000000+100000</f>
        <v>0</v>
      </c>
      <c r="AC20" s="4">
        <f>8911+6154+1</f>
        <v>15066</v>
      </c>
      <c r="AD20" s="4">
        <f>1098000*5+1048730</f>
        <v>6538730</v>
      </c>
      <c r="AE20" s="4">
        <f>165000+264000+286000+1500000</f>
        <v>2215000</v>
      </c>
      <c r="AF20" s="4">
        <v>396000</v>
      </c>
      <c r="AG20" s="4">
        <f>500000+4500000+4500000+4500000</f>
        <v>14000000</v>
      </c>
      <c r="AH20" s="4">
        <f>550000+880000*2+1100000+605000+1650000+3520000+600000+550000</f>
        <v>10335000</v>
      </c>
      <c r="AI20" s="4">
        <f>290100+135380+4461110+25788150+2425870</f>
        <v>33100610</v>
      </c>
      <c r="AJ20" s="4">
        <v>0</v>
      </c>
      <c r="AK20" s="4">
        <v>3509000</v>
      </c>
      <c r="AL20" s="4">
        <f>812390+175640</f>
        <v>988030</v>
      </c>
      <c r="AM20" s="4">
        <f>1641160</f>
        <v>1641160</v>
      </c>
      <c r="AN20" s="4">
        <v>0</v>
      </c>
      <c r="AO20" s="4">
        <v>0</v>
      </c>
      <c r="AP20" s="4">
        <v>0</v>
      </c>
      <c r="AQ20" s="4">
        <v>0</v>
      </c>
      <c r="AR20" s="4">
        <v>240000</v>
      </c>
      <c r="AS20" s="4">
        <v>2969543</v>
      </c>
      <c r="AT20" s="4">
        <f>408658+94438</f>
        <v>503096</v>
      </c>
      <c r="AU20" s="4">
        <v>0</v>
      </c>
      <c r="AV20" s="4">
        <f>35210+41800+6000+250750+70000+160600+78770+8060</f>
        <v>651190</v>
      </c>
      <c r="AW20" s="4">
        <f t="shared" si="27"/>
        <v>768517</v>
      </c>
      <c r="AX20" s="4">
        <f t="shared" si="3"/>
        <v>4463516</v>
      </c>
      <c r="AY20" s="4">
        <f t="shared" si="28"/>
        <v>3845611</v>
      </c>
      <c r="AZ20" s="4">
        <v>-4500000</v>
      </c>
      <c r="BA20" s="6">
        <f>4652577+177033+199995+76615+160195</f>
        <v>5266415</v>
      </c>
      <c r="BB20" s="6">
        <v>0</v>
      </c>
      <c r="BC20" s="6">
        <v>0</v>
      </c>
      <c r="BD20" s="6">
        <v>0</v>
      </c>
      <c r="BE20" s="6">
        <f>1495+607</f>
        <v>2102</v>
      </c>
      <c r="BF20" s="6">
        <f>399000</f>
        <v>399000</v>
      </c>
      <c r="BG20" s="6">
        <v>0</v>
      </c>
      <c r="BH20" s="6">
        <v>90616</v>
      </c>
      <c r="BI20" s="6">
        <v>0</v>
      </c>
      <c r="BJ20" s="6">
        <v>0</v>
      </c>
      <c r="BK20" s="6">
        <f>3314000+87000+247000</f>
        <v>3648000</v>
      </c>
      <c r="BL20" s="6">
        <v>0</v>
      </c>
      <c r="BM20" s="6">
        <v>0</v>
      </c>
      <c r="BN20" s="6">
        <f>400+36500</f>
        <v>36900</v>
      </c>
      <c r="BO20" s="5">
        <f>40000+189000+60000</f>
        <v>289000</v>
      </c>
    </row>
    <row r="21" spans="1:67">
      <c r="A21">
        <v>2024</v>
      </c>
      <c r="B21">
        <v>1</v>
      </c>
      <c r="C21">
        <v>23</v>
      </c>
      <c r="D21">
        <f>19</f>
        <v>19</v>
      </c>
      <c r="E21">
        <v>15</v>
      </c>
      <c r="F21">
        <v>41</v>
      </c>
      <c r="G21" s="4">
        <f t="shared" si="0"/>
        <v>77295073</v>
      </c>
      <c r="H21" s="4">
        <f t="shared" si="1"/>
        <v>87504297</v>
      </c>
      <c r="I21" s="4">
        <f t="shared" si="4"/>
        <v>-10209224</v>
      </c>
      <c r="J21" s="4">
        <f t="shared" ref="J21" si="29">J20+G21-H21</f>
        <v>9539251</v>
      </c>
      <c r="K21" s="4">
        <f t="shared" si="5"/>
        <v>48439305</v>
      </c>
      <c r="L21" s="4">
        <f t="shared" si="6"/>
        <v>87504297</v>
      </c>
      <c r="M21" s="4">
        <f t="shared" si="7"/>
        <v>-39064992</v>
      </c>
      <c r="N21" s="4">
        <f t="shared" si="19"/>
        <v>25000000</v>
      </c>
      <c r="O21" s="4">
        <f t="shared" si="9"/>
        <v>0</v>
      </c>
      <c r="P21" s="4">
        <f t="shared" si="26"/>
        <v>75171798</v>
      </c>
      <c r="Q21" s="4">
        <f t="shared" si="2"/>
        <v>82901180</v>
      </c>
      <c r="R21" s="4">
        <f t="shared" si="11"/>
        <v>-7729382</v>
      </c>
      <c r="S21" s="4">
        <f t="shared" si="12"/>
        <v>8173482</v>
      </c>
      <c r="T21" s="4">
        <f t="shared" si="13"/>
        <v>50661798</v>
      </c>
      <c r="U21" s="4">
        <f t="shared" si="14"/>
        <v>82901180</v>
      </c>
      <c r="V21" s="4">
        <f t="shared" si="15"/>
        <v>-32239382</v>
      </c>
      <c r="W21" s="4">
        <v>0</v>
      </c>
      <c r="X21" s="4">
        <f>28882529+19979269</f>
        <v>48861798</v>
      </c>
      <c r="Y21" s="4">
        <f>1000000+4000000+17000000+1000000+1000000</f>
        <v>24000000</v>
      </c>
      <c r="Z21" s="4">
        <f>510000</f>
        <v>510000</v>
      </c>
      <c r="AA21" s="4">
        <v>0</v>
      </c>
      <c r="AB21" s="4">
        <f>-20000000-18000000+4000000-3000000-6000000-300000-9000000+20000000+18000000-100000-4000000+3000000+6000000+300000+9000000+100000</f>
        <v>0</v>
      </c>
      <c r="AC21" s="4">
        <v>1800000</v>
      </c>
      <c r="AD21" s="4">
        <f>1092510+1080000+289000+296258+1098000</f>
        <v>3855768</v>
      </c>
      <c r="AE21" s="4">
        <f>165000</f>
        <v>165000</v>
      </c>
      <c r="AF21" s="4">
        <v>0</v>
      </c>
      <c r="AG21" s="4">
        <v>0</v>
      </c>
      <c r="AH21" s="4">
        <f>550000+1760000+1760000+550000+19635000+1650000+3520000+600000+550000+550000</f>
        <v>31125000</v>
      </c>
      <c r="AI21" s="4">
        <f>600000+90000+348120+8652840+25221280+600000+960000+120000</f>
        <v>36592240</v>
      </c>
      <c r="AJ21" s="4">
        <v>0</v>
      </c>
      <c r="AK21" s="4">
        <v>0</v>
      </c>
      <c r="AL21" s="4">
        <f>466740+34000</f>
        <v>500740</v>
      </c>
      <c r="AM21" s="4">
        <f>1722840+18030</f>
        <v>1740870</v>
      </c>
      <c r="AN21" s="4">
        <v>0</v>
      </c>
      <c r="AO21" s="4">
        <v>0</v>
      </c>
      <c r="AP21" s="4">
        <v>60000</v>
      </c>
      <c r="AQ21" s="4">
        <f>1100000+2310000</f>
        <v>3410000</v>
      </c>
      <c r="AR21" s="4">
        <v>0</v>
      </c>
      <c r="AS21" s="4">
        <f>1740085+1544247</f>
        <v>3284332</v>
      </c>
      <c r="AT21" s="4">
        <f>408658+97422</f>
        <v>506080</v>
      </c>
      <c r="AU21" s="4">
        <v>0</v>
      </c>
      <c r="AV21" s="4">
        <f>35210+38753+3047+420000+250750+1000+1000+55500+160600+28050+42740+231000+335500+58000</f>
        <v>1661150</v>
      </c>
      <c r="AW21" s="4">
        <f t="shared" ref="AW21" si="30">SUM(AZ21:BE21)</f>
        <v>2123275</v>
      </c>
      <c r="AX21" s="4">
        <f t="shared" si="3"/>
        <v>4603117</v>
      </c>
      <c r="AY21" s="4">
        <f t="shared" ref="AY21" si="31">AY20+AW21-AX21</f>
        <v>1365769</v>
      </c>
      <c r="AZ21" s="4">
        <f>1000000+2000000+1000000-3000000</f>
        <v>1000000</v>
      </c>
      <c r="BA21" s="4">
        <f>471215+897390+132335+132335</f>
        <v>1633275</v>
      </c>
      <c r="BB21" s="4">
        <v>0</v>
      </c>
      <c r="BC21" s="4">
        <f>-510000</f>
        <v>-510000</v>
      </c>
      <c r="BD21" s="4">
        <v>0</v>
      </c>
      <c r="BE21" s="4">
        <v>0</v>
      </c>
      <c r="BF21" s="4">
        <v>0</v>
      </c>
      <c r="BG21" s="4">
        <v>0</v>
      </c>
      <c r="BH21" s="4">
        <f>94025</f>
        <v>94025</v>
      </c>
      <c r="BI21" s="4">
        <v>0</v>
      </c>
      <c r="BJ21" s="4">
        <v>0</v>
      </c>
      <c r="BK21" s="4">
        <f>199995+468000+93480+50000+1790000+193500+462000+315000+637000+234000</f>
        <v>4442975</v>
      </c>
      <c r="BL21" s="4">
        <v>0</v>
      </c>
      <c r="BM21" s="4">
        <v>0</v>
      </c>
      <c r="BN21" s="4">
        <v>66117</v>
      </c>
      <c r="BO21" s="4">
        <v>0</v>
      </c>
    </row>
    <row r="22" spans="1:67">
      <c r="A22">
        <v>2024</v>
      </c>
      <c r="B22">
        <v>2</v>
      </c>
      <c r="C22">
        <v>25</v>
      </c>
      <c r="D22">
        <f>D21+11</f>
        <v>30</v>
      </c>
      <c r="E22">
        <v>17</v>
      </c>
      <c r="F22">
        <v>48</v>
      </c>
      <c r="G22" s="4">
        <f t="shared" si="0"/>
        <v>90307249</v>
      </c>
      <c r="H22" s="4">
        <f t="shared" ref="H22:H32" si="32">Q22+AX22</f>
        <v>81843053</v>
      </c>
      <c r="I22" s="4">
        <f t="shared" si="4"/>
        <v>8464196</v>
      </c>
      <c r="J22" s="4">
        <f t="shared" ref="J22:J32" si="33">J21+G22-H22</f>
        <v>18003447</v>
      </c>
      <c r="K22" s="4">
        <f t="shared" si="5"/>
        <v>58389186</v>
      </c>
      <c r="L22" s="4">
        <f t="shared" si="6"/>
        <v>81843053</v>
      </c>
      <c r="M22" s="4">
        <f t="shared" si="7"/>
        <v>-23453867</v>
      </c>
      <c r="N22" s="4">
        <f t="shared" si="19"/>
        <v>28200000</v>
      </c>
      <c r="O22" s="4">
        <f t="shared" si="9"/>
        <v>0</v>
      </c>
      <c r="P22" s="4">
        <f t="shared" ref="P22:P32" si="34">SUM(W22:AC22)</f>
        <v>76773746</v>
      </c>
      <c r="Q22" s="4">
        <f t="shared" ref="Q22:Q32" si="35">SUM(AD22:AV22)</f>
        <v>72535865</v>
      </c>
      <c r="R22" s="4">
        <f t="shared" si="11"/>
        <v>4237881</v>
      </c>
      <c r="S22" s="4">
        <f t="shared" si="12"/>
        <v>12411363</v>
      </c>
      <c r="T22" s="4">
        <f t="shared" si="13"/>
        <v>53073746</v>
      </c>
      <c r="U22" s="4">
        <f t="shared" si="14"/>
        <v>72535865</v>
      </c>
      <c r="V22" s="4">
        <f t="shared" si="15"/>
        <v>-19462119</v>
      </c>
      <c r="W22" s="4">
        <v>0</v>
      </c>
      <c r="X22" s="4">
        <f>53073746</f>
        <v>53073746</v>
      </c>
      <c r="Y22" s="4">
        <f>10000000+2000000+1000000+600000+100000+5000000+5000000</f>
        <v>23700000</v>
      </c>
      <c r="Z22" s="4">
        <v>0</v>
      </c>
      <c r="AA22" s="4">
        <v>0</v>
      </c>
      <c r="AB22" s="4">
        <f>-20000000-6000000-10000000-800000-1000000-200000-1000000+20000000+6000000+10000000+800000+1000000+200000+1000000-100000+100000</f>
        <v>0</v>
      </c>
      <c r="AC22" s="4">
        <v>0</v>
      </c>
      <c r="AD22" s="4">
        <f>1098000+597000+290540+1098000</f>
        <v>3083540</v>
      </c>
      <c r="AE22" s="4">
        <f>1070000+165000+100000</f>
        <v>1335000</v>
      </c>
      <c r="AF22" s="4">
        <v>0</v>
      </c>
      <c r="AG22" s="4">
        <v>0</v>
      </c>
      <c r="AH22" s="4">
        <f>1100000+1760000+1760000+1650000+3520000+550000</f>
        <v>10340000</v>
      </c>
      <c r="AI22" s="4">
        <f>377130+839050+10515138+467200+3027980+11526890+8088320+5448200+1160400</f>
        <v>41450308</v>
      </c>
      <c r="AJ22" s="4">
        <f>100000</f>
        <v>100000</v>
      </c>
      <c r="AK22" s="4">
        <v>5201900</v>
      </c>
      <c r="AL22" s="4">
        <f>669260+15000</f>
        <v>684260</v>
      </c>
      <c r="AM22" s="4">
        <f>53740+277000</f>
        <v>330740</v>
      </c>
      <c r="AN22" s="4">
        <f>4055000+612000+345000</f>
        <v>5012000</v>
      </c>
      <c r="AO22" s="4">
        <v>0</v>
      </c>
      <c r="AP22" s="4">
        <v>0</v>
      </c>
      <c r="AQ22" s="4">
        <v>0</v>
      </c>
      <c r="AR22" s="4">
        <v>0</v>
      </c>
      <c r="AS22" s="4">
        <f>3754020</f>
        <v>3754020</v>
      </c>
      <c r="AT22" s="4">
        <f>408658+97319</f>
        <v>505977</v>
      </c>
      <c r="AU22" s="4">
        <v>0</v>
      </c>
      <c r="AV22" s="4">
        <f>35210+110560+60000+250750+160600+99000+22000</f>
        <v>738120</v>
      </c>
      <c r="AW22" s="4">
        <f t="shared" ref="AW22:AW32" si="36">SUM(AZ22:BE22)</f>
        <v>13533503</v>
      </c>
      <c r="AX22" s="4">
        <f t="shared" si="3"/>
        <v>9307188</v>
      </c>
      <c r="AY22" s="4">
        <f t="shared" ref="AY22:AY32" si="37">AY21+AW22-AX22</f>
        <v>5592084</v>
      </c>
      <c r="AZ22" s="4">
        <f>3000000+1500000</f>
        <v>4500000</v>
      </c>
      <c r="BA22" s="4">
        <f>792834+87780+1518115+6634774</f>
        <v>9033503</v>
      </c>
      <c r="BB22" s="4">
        <v>0</v>
      </c>
      <c r="BC22" s="4">
        <v>0</v>
      </c>
      <c r="BD22" s="4">
        <v>0</v>
      </c>
      <c r="BE22" s="4">
        <v>0</v>
      </c>
      <c r="BF22" s="4">
        <f>213000+200498+53865+167160</f>
        <v>634523</v>
      </c>
      <c r="BG22" s="4">
        <v>0</v>
      </c>
      <c r="BH22" s="4">
        <f>95075</f>
        <v>95075</v>
      </c>
      <c r="BI22" s="4">
        <v>0</v>
      </c>
      <c r="BJ22" s="4">
        <v>0</v>
      </c>
      <c r="BK22" s="4">
        <f>1590000+294750+345000+66000+216000+442000+701000+2814840+1427000+676000</f>
        <v>8572590</v>
      </c>
      <c r="BL22" s="4">
        <v>0</v>
      </c>
      <c r="BM22" s="4">
        <v>0</v>
      </c>
      <c r="BN22" s="4">
        <v>5000</v>
      </c>
      <c r="BO22" s="4">
        <v>0</v>
      </c>
    </row>
    <row r="23" spans="1:67">
      <c r="A23">
        <v>2024</v>
      </c>
      <c r="B23">
        <v>3</v>
      </c>
      <c r="C23">
        <v>40</v>
      </c>
      <c r="D23">
        <v>79</v>
      </c>
      <c r="E23">
        <v>37</v>
      </c>
      <c r="F23">
        <v>56</v>
      </c>
      <c r="G23" s="4">
        <f t="shared" si="0"/>
        <v>107988610</v>
      </c>
      <c r="H23" s="4">
        <f t="shared" si="32"/>
        <v>83264731</v>
      </c>
      <c r="I23" s="4">
        <f t="shared" si="4"/>
        <v>24723879</v>
      </c>
      <c r="J23" s="4">
        <f t="shared" si="33"/>
        <v>42727326</v>
      </c>
      <c r="K23" s="4">
        <f t="shared" si="5"/>
        <v>114435410</v>
      </c>
      <c r="L23" s="4">
        <f t="shared" si="6"/>
        <v>83264731</v>
      </c>
      <c r="M23" s="4">
        <f t="shared" si="7"/>
        <v>31170679</v>
      </c>
      <c r="N23" s="4">
        <f t="shared" si="19"/>
        <v>-8900000</v>
      </c>
      <c r="O23" s="4">
        <f t="shared" si="9"/>
        <v>0</v>
      </c>
      <c r="P23" s="4">
        <f t="shared" si="34"/>
        <v>95711016</v>
      </c>
      <c r="Q23" s="4">
        <f t="shared" si="35"/>
        <v>72045005</v>
      </c>
      <c r="R23" s="4">
        <f t="shared" si="11"/>
        <v>23666011</v>
      </c>
      <c r="S23" s="4">
        <f t="shared" si="12"/>
        <v>36077374</v>
      </c>
      <c r="T23" s="4">
        <f t="shared" si="13"/>
        <v>95711016</v>
      </c>
      <c r="U23" s="4">
        <f t="shared" si="14"/>
        <v>72045005</v>
      </c>
      <c r="V23" s="4">
        <f t="shared" si="15"/>
        <v>23666011</v>
      </c>
      <c r="W23" s="4">
        <v>0</v>
      </c>
      <c r="X23" s="4">
        <f>23231772+40671780+31807464</f>
        <v>95711016</v>
      </c>
      <c r="Y23" s="4">
        <v>0</v>
      </c>
      <c r="Z23" s="4">
        <v>0</v>
      </c>
      <c r="AA23" s="4">
        <v>0</v>
      </c>
      <c r="AB23" s="4">
        <f>-12000000-40000000-20000000-20000000+12000000+40000000+20000000+20000000-100000+100000</f>
        <v>0</v>
      </c>
      <c r="AC23" s="4">
        <v>0</v>
      </c>
      <c r="AD23" s="4">
        <f>300000+40000+147000+168000+147000</f>
        <v>802000</v>
      </c>
      <c r="AE23" s="4">
        <f>165000+1600000</f>
        <v>1765000</v>
      </c>
      <c r="AF23" s="4">
        <v>0</v>
      </c>
      <c r="AG23" s="4">
        <f>-5000000-10000000</f>
        <v>-15000000</v>
      </c>
      <c r="AH23" s="4">
        <f>550000+600000+550000+1760000+1760000+5610000+330000+1650000+3520000+550000+600000+550000+550000</f>
        <v>18580000</v>
      </c>
      <c r="AI23" s="4">
        <f>480000+600000+5695280+15463850+290100+320110+261100+692530+21240+338450+11328860+13059160</f>
        <v>48550680</v>
      </c>
      <c r="AJ23" s="4">
        <v>2721400</v>
      </c>
      <c r="AK23" s="4">
        <v>4514400</v>
      </c>
      <c r="AL23" s="4">
        <v>0</v>
      </c>
      <c r="AM23" s="4">
        <f>-266760+2037000+1903000</f>
        <v>3673240</v>
      </c>
      <c r="AN23" s="4">
        <f>116000+41000</f>
        <v>157000</v>
      </c>
      <c r="AO23" s="4">
        <v>0</v>
      </c>
      <c r="AP23" s="4">
        <v>0</v>
      </c>
      <c r="AQ23" s="4">
        <f>907500</f>
        <v>907500</v>
      </c>
      <c r="AR23" s="4">
        <f>111100</f>
        <v>111100</v>
      </c>
      <c r="AS23" s="4">
        <f>3899552</f>
        <v>3899552</v>
      </c>
      <c r="AT23" s="4">
        <f>408658+87475</f>
        <v>496133</v>
      </c>
      <c r="AU23" s="4">
        <v>0</v>
      </c>
      <c r="AV23" s="4">
        <f>35210+22000+41800+22000+250750+110000+121000+160600+81640+22000</f>
        <v>867000</v>
      </c>
      <c r="AW23" s="4">
        <f>SUM(AZ23:BE23)</f>
        <v>12277594</v>
      </c>
      <c r="AX23" s="4">
        <f t="shared" si="3"/>
        <v>11219726</v>
      </c>
      <c r="AY23" s="4">
        <f t="shared" si="37"/>
        <v>6649952</v>
      </c>
      <c r="AZ23" s="4">
        <f>-5000000-3900000</f>
        <v>-8900000</v>
      </c>
      <c r="BA23" s="4">
        <f>17764126+3409749</f>
        <v>21173875</v>
      </c>
      <c r="BB23" s="4">
        <v>0</v>
      </c>
      <c r="BC23" s="4">
        <v>0</v>
      </c>
      <c r="BD23" s="4">
        <v>0</v>
      </c>
      <c r="BE23" s="4">
        <f>468+3251</f>
        <v>3719</v>
      </c>
      <c r="BF23" s="4">
        <f>1340000+292000+19200</f>
        <v>1651200</v>
      </c>
      <c r="BG23" s="4">
        <v>0</v>
      </c>
      <c r="BH23" s="4">
        <f>88941</f>
        <v>88941</v>
      </c>
      <c r="BI23" s="4">
        <v>0</v>
      </c>
      <c r="BJ23" s="4">
        <v>0</v>
      </c>
      <c r="BK23" s="4">
        <f>130000+2020000+460560+120000+30000+3039025+106000+234000+1093000+225000+2022000</f>
        <v>9479585</v>
      </c>
      <c r="BL23" s="4">
        <v>0</v>
      </c>
      <c r="BM23" s="4">
        <v>0</v>
      </c>
      <c r="BN23" s="4">
        <v>0</v>
      </c>
      <c r="BO23" s="4">
        <v>0</v>
      </c>
    </row>
    <row r="24" spans="1:67">
      <c r="A24">
        <v>2024</v>
      </c>
      <c r="B24">
        <v>4</v>
      </c>
      <c r="C24">
        <v>40</v>
      </c>
      <c r="D24">
        <v>79</v>
      </c>
      <c r="E24">
        <v>34</v>
      </c>
      <c r="F24">
        <v>51</v>
      </c>
      <c r="G24" s="4">
        <f t="shared" si="0"/>
        <v>143131013</v>
      </c>
      <c r="H24" s="4">
        <f t="shared" si="32"/>
        <v>94646934</v>
      </c>
      <c r="I24" s="4">
        <f t="shared" si="4"/>
        <v>48484079</v>
      </c>
      <c r="J24" s="4">
        <f t="shared" si="33"/>
        <v>91211405</v>
      </c>
      <c r="K24" s="4">
        <f t="shared" si="5"/>
        <v>90457528</v>
      </c>
      <c r="L24" s="4">
        <f t="shared" si="6"/>
        <v>94646934</v>
      </c>
      <c r="M24" s="4">
        <f t="shared" si="7"/>
        <v>-4189406</v>
      </c>
      <c r="N24" s="4">
        <f t="shared" si="19"/>
        <v>-23496215</v>
      </c>
      <c r="O24" s="4">
        <f t="shared" si="9"/>
        <v>75000000</v>
      </c>
      <c r="P24" s="4">
        <f t="shared" si="34"/>
        <v>136757115</v>
      </c>
      <c r="Q24" s="4">
        <f t="shared" si="35"/>
        <v>85997464</v>
      </c>
      <c r="R24" s="4">
        <f t="shared" si="11"/>
        <v>50759651</v>
      </c>
      <c r="S24" s="4">
        <f t="shared" si="12"/>
        <v>86837025</v>
      </c>
      <c r="T24" s="4">
        <f t="shared" si="13"/>
        <v>84457115</v>
      </c>
      <c r="U24" s="4">
        <f t="shared" si="14"/>
        <v>85997464</v>
      </c>
      <c r="V24" s="4">
        <f t="shared" si="15"/>
        <v>-1540349</v>
      </c>
      <c r="W24" s="4">
        <v>0</v>
      </c>
      <c r="X24" s="4">
        <f>71833732+12611833</f>
        <v>84445565</v>
      </c>
      <c r="Y24" s="4">
        <f>-47700000</f>
        <v>-47700000</v>
      </c>
      <c r="Z24" s="4">
        <v>0</v>
      </c>
      <c r="AA24" s="4">
        <v>100000000</v>
      </c>
      <c r="AB24" s="4">
        <f>-50000000-10000000-20000000+50000000+10000000+47700000+20000000-100000+100000-47700500</f>
        <v>-500</v>
      </c>
      <c r="AC24" s="4">
        <v>12050</v>
      </c>
      <c r="AD24" s="4">
        <f>440000+112000+168000</f>
        <v>720000</v>
      </c>
      <c r="AE24" s="4">
        <f>165000+100000+233200</f>
        <v>498200</v>
      </c>
      <c r="AF24" s="4">
        <v>0</v>
      </c>
      <c r="AG24" s="4">
        <f>300000+2700000</f>
        <v>3000000</v>
      </c>
      <c r="AH24" s="4">
        <f>1760000*2+1650000+3520000+1100000+550000+600000+550000</f>
        <v>11490000</v>
      </c>
      <c r="AI24" s="4">
        <f>-338450+700000+640000+200000+386800+37691450+6448820+5159840+58020+200000</f>
        <v>51146480</v>
      </c>
      <c r="AJ24" s="4">
        <v>0</v>
      </c>
      <c r="AK24" s="4">
        <v>6594500</v>
      </c>
      <c r="AL24" s="4">
        <f>509450</f>
        <v>509450</v>
      </c>
      <c r="AM24" s="4">
        <f>123490-138230+1861230</f>
        <v>1846490</v>
      </c>
      <c r="AN24" s="4">
        <f>3245000+115000</f>
        <v>3360000</v>
      </c>
      <c r="AO24" s="4">
        <v>0</v>
      </c>
      <c r="AP24" s="4">
        <v>0</v>
      </c>
      <c r="AQ24" s="4">
        <v>1100000</v>
      </c>
      <c r="AR24" s="4">
        <f>242100+14591</f>
        <v>256691</v>
      </c>
      <c r="AS24" s="4">
        <f>2394427</f>
        <v>2394427</v>
      </c>
      <c r="AT24" s="4">
        <f>408658+93508</f>
        <v>502166</v>
      </c>
      <c r="AU24" s="4">
        <v>0</v>
      </c>
      <c r="AV24" s="4">
        <f>35210+85800+347500+250750+1099530+353170+100+22000+385000</f>
        <v>2579060</v>
      </c>
      <c r="AW24" s="4">
        <f t="shared" si="36"/>
        <v>6373898</v>
      </c>
      <c r="AX24" s="4">
        <f t="shared" si="3"/>
        <v>8649470</v>
      </c>
      <c r="AY24" s="4">
        <f t="shared" si="37"/>
        <v>4374380</v>
      </c>
      <c r="AZ24" s="4">
        <f>24003785+200000</f>
        <v>24203785</v>
      </c>
      <c r="BA24" s="4">
        <f>525859+425005+4271935+1113344</f>
        <v>6336143</v>
      </c>
      <c r="BB24" s="4">
        <f>-25000000</f>
        <v>-25000000</v>
      </c>
      <c r="BC24" s="4">
        <v>0</v>
      </c>
      <c r="BD24" s="4">
        <v>0</v>
      </c>
      <c r="BE24" s="4">
        <f>60000+773970</f>
        <v>833970</v>
      </c>
      <c r="BF24" s="4">
        <f>57200+393000</f>
        <v>450200</v>
      </c>
      <c r="BG24" s="4">
        <v>0</v>
      </c>
      <c r="BH24" s="4">
        <v>0</v>
      </c>
      <c r="BI24" s="6">
        <v>0</v>
      </c>
      <c r="BJ24" s="4">
        <v>0</v>
      </c>
      <c r="BK24" s="4">
        <f>468000+196880+999000+78000+477000+732000+264600+550000+288000+126000+1693250+150000+1822000-240000+285300</f>
        <v>7890030</v>
      </c>
      <c r="BL24" s="4">
        <v>0</v>
      </c>
      <c r="BM24" s="4">
        <v>0</v>
      </c>
      <c r="BN24" s="4">
        <f>239330</f>
        <v>239330</v>
      </c>
      <c r="BO24" s="4">
        <v>69910</v>
      </c>
    </row>
    <row r="25" spans="1:67">
      <c r="A25">
        <v>2024</v>
      </c>
      <c r="B25">
        <v>5</v>
      </c>
      <c r="C25">
        <v>40</v>
      </c>
      <c r="D25">
        <v>79</v>
      </c>
      <c r="E25">
        <v>28</v>
      </c>
      <c r="F25">
        <v>43</v>
      </c>
      <c r="G25" s="4">
        <f t="shared" si="0"/>
        <v>85181214</v>
      </c>
      <c r="H25" s="4">
        <f t="shared" si="32"/>
        <v>86651703</v>
      </c>
      <c r="I25" s="4">
        <f t="shared" si="4"/>
        <v>-1470489</v>
      </c>
      <c r="J25" s="4">
        <f t="shared" si="33"/>
        <v>89740916</v>
      </c>
      <c r="K25" s="4">
        <f t="shared" si="5"/>
        <v>96836813</v>
      </c>
      <c r="L25" s="4">
        <f t="shared" si="6"/>
        <v>86651703</v>
      </c>
      <c r="M25" s="4">
        <f t="shared" si="7"/>
        <v>10185110</v>
      </c>
      <c r="N25" s="4">
        <f t="shared" si="19"/>
        <v>3000000</v>
      </c>
      <c r="O25" s="4">
        <f t="shared" si="9"/>
        <v>-15000794</v>
      </c>
      <c r="P25" s="4">
        <f t="shared" si="34"/>
        <v>77498225</v>
      </c>
      <c r="Q25" s="4">
        <f t="shared" si="35"/>
        <v>83931448</v>
      </c>
      <c r="R25" s="4">
        <f t="shared" si="11"/>
        <v>-6433223</v>
      </c>
      <c r="S25" s="4">
        <f t="shared" si="12"/>
        <v>80403802</v>
      </c>
      <c r="T25" s="4">
        <f t="shared" si="13"/>
        <v>88399019</v>
      </c>
      <c r="U25" s="4">
        <f t="shared" si="14"/>
        <v>83931448</v>
      </c>
      <c r="V25" s="4">
        <f t="shared" si="15"/>
        <v>4467571</v>
      </c>
      <c r="W25" s="4">
        <v>0</v>
      </c>
      <c r="X25" s="4">
        <f>84800519</f>
        <v>84800519</v>
      </c>
      <c r="Y25" s="4">
        <f>4100000</f>
        <v>4100000</v>
      </c>
      <c r="Z25" s="4">
        <v>0</v>
      </c>
      <c r="AA25" s="4">
        <f>-15000794</f>
        <v>-15000794</v>
      </c>
      <c r="AB25" s="4">
        <f>-30000000-18000000-300000-1900000-50000000+30000000+18000000+5000000+6000000+300000+1900000-50000+15000000+50000000+50000+2000000-5000500-6000500-15000500-2000000</f>
        <v>-1500</v>
      </c>
      <c r="AC25" s="4">
        <v>3600000</v>
      </c>
      <c r="AD25" s="4">
        <v>0</v>
      </c>
      <c r="AE25" s="4">
        <f>165000+100000</f>
        <v>265000</v>
      </c>
      <c r="AF25" s="4">
        <v>0</v>
      </c>
      <c r="AG25" s="4">
        <v>0</v>
      </c>
      <c r="AH25" s="4">
        <f>550000+550000+1760000+1760000+6199690+1705000+1705000+1100000+1650000+3520000+550000+550000+550000+550000+600000</f>
        <v>23299690</v>
      </c>
      <c r="AI25" s="4">
        <f>700000+640000+483500+3031180+46441270+180000+240000+2417500-530000+250000+700000+640000+386800</f>
        <v>55580250</v>
      </c>
      <c r="AJ25" s="4">
        <v>7502730</v>
      </c>
      <c r="AK25" s="4">
        <v>0</v>
      </c>
      <c r="AL25" s="4">
        <f>1308540</f>
        <v>1308540</v>
      </c>
      <c r="AM25" s="4">
        <v>0</v>
      </c>
      <c r="AN25" s="4">
        <f>180000</f>
        <v>180000</v>
      </c>
      <c r="AO25" s="4">
        <v>0</v>
      </c>
      <c r="AP25" s="4">
        <f>-1000000-2000000-2000000+19300-2000000-800000</f>
        <v>-7780700</v>
      </c>
      <c r="AQ25" s="4">
        <v>0</v>
      </c>
      <c r="AR25" s="4">
        <v>0</v>
      </c>
      <c r="AS25" s="4">
        <f>2153674</f>
        <v>2153674</v>
      </c>
      <c r="AT25" s="4">
        <f>408658+90491+283545</f>
        <v>782694</v>
      </c>
      <c r="AU25" s="4">
        <v>0</v>
      </c>
      <c r="AV25" s="4">
        <f>35210+85800+250750+160600+16450+61660+22000+3100+4000</f>
        <v>639570</v>
      </c>
      <c r="AW25" s="4">
        <f t="shared" si="36"/>
        <v>7682989</v>
      </c>
      <c r="AX25" s="4">
        <f t="shared" si="3"/>
        <v>2720255</v>
      </c>
      <c r="AY25" s="4">
        <f t="shared" si="37"/>
        <v>9337114</v>
      </c>
      <c r="AZ25" s="4">
        <f>-1100000</f>
        <v>-1100000</v>
      </c>
      <c r="BA25" s="4">
        <f>7973052+809937</f>
        <v>8782989</v>
      </c>
      <c r="BB25" s="4">
        <v>0</v>
      </c>
      <c r="BC25" s="4">
        <v>0</v>
      </c>
      <c r="BD25" s="4">
        <v>0</v>
      </c>
      <c r="BE25" s="4">
        <v>0</v>
      </c>
      <c r="BF25" s="4">
        <f>173130+173565</f>
        <v>346695</v>
      </c>
      <c r="BG25" s="4">
        <v>0</v>
      </c>
      <c r="BH25" s="4">
        <v>0</v>
      </c>
      <c r="BI25" s="4">
        <v>0</v>
      </c>
      <c r="BJ25" s="4">
        <v>0</v>
      </c>
      <c r="BK25" s="4">
        <f>136550+35000+536000+520000+345800+185250+400000+164960</f>
        <v>2323560</v>
      </c>
      <c r="BL25" s="4">
        <v>0</v>
      </c>
      <c r="BM25" s="4">
        <v>0</v>
      </c>
      <c r="BN25" s="4">
        <f>50000</f>
        <v>50000</v>
      </c>
      <c r="BO25" s="4">
        <v>0</v>
      </c>
    </row>
    <row r="26" spans="1:67">
      <c r="A26">
        <v>2024</v>
      </c>
      <c r="B26">
        <v>6</v>
      </c>
      <c r="C26">
        <v>41</v>
      </c>
      <c r="D26">
        <v>70</v>
      </c>
      <c r="E26">
        <v>32</v>
      </c>
      <c r="F26">
        <v>43</v>
      </c>
      <c r="G26" s="4">
        <f t="shared" si="0"/>
        <v>75568116</v>
      </c>
      <c r="H26" s="4">
        <f t="shared" si="32"/>
        <v>108786857</v>
      </c>
      <c r="I26" s="4">
        <f t="shared" si="4"/>
        <v>-33218741</v>
      </c>
      <c r="J26" s="4">
        <f t="shared" si="33"/>
        <v>56522175</v>
      </c>
      <c r="K26" s="4">
        <f t="shared" si="5"/>
        <v>75500916</v>
      </c>
      <c r="L26" s="4">
        <f t="shared" si="6"/>
        <v>108786857</v>
      </c>
      <c r="M26" s="4">
        <f t="shared" si="7"/>
        <v>-33285941</v>
      </c>
      <c r="N26" s="4">
        <f t="shared" si="19"/>
        <v>0</v>
      </c>
      <c r="O26" s="4">
        <f t="shared" si="9"/>
        <v>0</v>
      </c>
      <c r="P26" s="4">
        <f t="shared" si="34"/>
        <v>69179924</v>
      </c>
      <c r="Q26" s="4">
        <f t="shared" si="35"/>
        <v>101448671</v>
      </c>
      <c r="R26" s="4">
        <f t="shared" si="11"/>
        <v>-32268747</v>
      </c>
      <c r="S26" s="4">
        <f t="shared" si="12"/>
        <v>48135055</v>
      </c>
      <c r="T26" s="4">
        <f t="shared" si="13"/>
        <v>69179924</v>
      </c>
      <c r="U26" s="4">
        <f t="shared" si="14"/>
        <v>101448671</v>
      </c>
      <c r="V26" s="4">
        <f t="shared" si="15"/>
        <v>-32268747</v>
      </c>
      <c r="W26" s="4">
        <v>0</v>
      </c>
      <c r="X26" s="4">
        <f>35545641+33616536</f>
        <v>69162177</v>
      </c>
      <c r="Y26" s="4">
        <v>0</v>
      </c>
      <c r="Z26" s="4">
        <v>0</v>
      </c>
      <c r="AA26" s="4">
        <v>0</v>
      </c>
      <c r="AB26" s="4">
        <f>-30000000-20000000-20000000+30000000+20000000+20000000-200000+200000</f>
        <v>0</v>
      </c>
      <c r="AC26" s="4">
        <f>6313+5014+27+2+84+6307</f>
        <v>17747</v>
      </c>
      <c r="AD26" s="4">
        <v>0</v>
      </c>
      <c r="AE26" s="4">
        <f>165000</f>
        <v>165000</v>
      </c>
      <c r="AF26" s="4">
        <v>10500000</v>
      </c>
      <c r="AG26" s="4">
        <v>0</v>
      </c>
      <c r="AH26" s="4">
        <f>1705000+1760000*2+1650000+3520000+1100000+550000*4+600000</f>
        <v>14295000</v>
      </c>
      <c r="AI26" s="4">
        <f>180000+32044080+16505670+6006860+1861990+200000+700000+640000</f>
        <v>58138600</v>
      </c>
      <c r="AJ26" s="4">
        <v>0</v>
      </c>
      <c r="AK26" s="4">
        <f>2862200+6545000</f>
        <v>9407200</v>
      </c>
      <c r="AL26" s="4">
        <f>81520</f>
        <v>81520</v>
      </c>
      <c r="AM26" s="4">
        <f>1606380+1722550+55200</f>
        <v>3384130</v>
      </c>
      <c r="AN26" s="4">
        <f>-33000+37000+90000+90000+37000</f>
        <v>221000</v>
      </c>
      <c r="AO26" s="4">
        <f>600000</f>
        <v>600000</v>
      </c>
      <c r="AP26" s="4">
        <v>0</v>
      </c>
      <c r="AQ26" s="4">
        <v>1100000</v>
      </c>
      <c r="AR26" s="4">
        <v>0</v>
      </c>
      <c r="AS26" s="4">
        <f>1772670</f>
        <v>1772670</v>
      </c>
      <c r="AT26" s="4">
        <f>29508+61967+292636</f>
        <v>384111</v>
      </c>
      <c r="AU26" s="4">
        <v>0</v>
      </c>
      <c r="AV26" s="4">
        <f>4400+35210+22000+41800+22000+770000+4400+250750+5000+160600+14000+47280+22000</f>
        <v>1399440</v>
      </c>
      <c r="AW26" s="4">
        <f t="shared" si="36"/>
        <v>6388192</v>
      </c>
      <c r="AX26" s="4">
        <f t="shared" si="3"/>
        <v>7338186</v>
      </c>
      <c r="AY26" s="4">
        <f t="shared" si="37"/>
        <v>8387120</v>
      </c>
      <c r="AZ26" s="4">
        <v>0</v>
      </c>
      <c r="BA26" s="4">
        <f>5912705+254979+220294</f>
        <v>6387978</v>
      </c>
      <c r="BB26" s="4">
        <v>0</v>
      </c>
      <c r="BC26" s="4">
        <v>0</v>
      </c>
      <c r="BD26" s="4">
        <v>0</v>
      </c>
      <c r="BE26" s="4">
        <v>214</v>
      </c>
      <c r="BF26" s="4">
        <f>67200</f>
        <v>67200</v>
      </c>
      <c r="BG26" s="4">
        <v>0</v>
      </c>
      <c r="BH26" s="4">
        <v>0</v>
      </c>
      <c r="BI26" s="4">
        <v>0</v>
      </c>
      <c r="BJ26" s="4">
        <v>0</v>
      </c>
      <c r="BK26" s="4">
        <f>985500+614000+35000+1753000+1885000+770000+173600+160500+78000+90000+78000+117040+494000</f>
        <v>7233640</v>
      </c>
      <c r="BL26" s="4">
        <v>0</v>
      </c>
      <c r="BM26" s="4">
        <v>0</v>
      </c>
      <c r="BN26" s="4">
        <f>37346</f>
        <v>37346</v>
      </c>
      <c r="BO26" s="4">
        <v>0</v>
      </c>
    </row>
    <row r="27" spans="1:67">
      <c r="A27">
        <v>2024</v>
      </c>
      <c r="B27">
        <v>7</v>
      </c>
      <c r="C27">
        <v>39</v>
      </c>
      <c r="D27">
        <v>72</v>
      </c>
      <c r="E27">
        <v>29</v>
      </c>
      <c r="F27">
        <v>46</v>
      </c>
      <c r="G27" s="4">
        <f t="shared" si="0"/>
        <v>65811388</v>
      </c>
      <c r="H27" s="4">
        <f t="shared" si="32"/>
        <v>102567167</v>
      </c>
      <c r="I27" s="4">
        <f t="shared" si="4"/>
        <v>-36755779</v>
      </c>
      <c r="J27" s="4">
        <f t="shared" si="33"/>
        <v>19766396</v>
      </c>
      <c r="K27" s="4">
        <f t="shared" si="5"/>
        <v>65603313</v>
      </c>
      <c r="L27" s="4">
        <f t="shared" si="6"/>
        <v>102567167</v>
      </c>
      <c r="M27" s="4">
        <f t="shared" si="7"/>
        <v>-36963854</v>
      </c>
      <c r="N27" s="4">
        <f t="shared" si="19"/>
        <v>0</v>
      </c>
      <c r="O27" s="4">
        <f t="shared" si="9"/>
        <v>0</v>
      </c>
      <c r="P27" s="4">
        <f t="shared" si="34"/>
        <v>61433824</v>
      </c>
      <c r="Q27" s="4">
        <f t="shared" si="35"/>
        <v>92303875</v>
      </c>
      <c r="R27" s="4">
        <f t="shared" si="11"/>
        <v>-30870051</v>
      </c>
      <c r="S27" s="4">
        <f t="shared" si="12"/>
        <v>17265004</v>
      </c>
      <c r="T27" s="4">
        <f t="shared" si="13"/>
        <v>61433824</v>
      </c>
      <c r="U27" s="4">
        <f t="shared" si="14"/>
        <v>92303875</v>
      </c>
      <c r="V27" s="4">
        <f t="shared" si="15"/>
        <v>-30870051</v>
      </c>
      <c r="W27" s="4">
        <v>0</v>
      </c>
      <c r="X27" s="4">
        <f>61434824</f>
        <v>61434824</v>
      </c>
      <c r="Y27" s="4">
        <v>0</v>
      </c>
      <c r="Z27" s="4">
        <v>0</v>
      </c>
      <c r="AA27" s="4">
        <v>0</v>
      </c>
      <c r="AB27" s="4">
        <f>-30000000-8000000-4000000-20000000+30000000+8000000+10000000+6000000+4000000+20000000-10000500-6000500</f>
        <v>-1000</v>
      </c>
      <c r="AC27" s="4">
        <v>0</v>
      </c>
      <c r="AD27" s="4">
        <v>0</v>
      </c>
      <c r="AE27" s="4">
        <f>165000</f>
        <v>165000</v>
      </c>
      <c r="AF27" s="4">
        <v>0</v>
      </c>
      <c r="AG27" s="4">
        <v>0</v>
      </c>
      <c r="AH27" s="4">
        <f>1760000*2+1705000*2+550000*4+600000</f>
        <v>9730000</v>
      </c>
      <c r="AI27" s="4">
        <f>400000+240000+52001070+3787600+773600+2417500+240000+700000+400000+200000</f>
        <v>61159770</v>
      </c>
      <c r="AJ27" s="4">
        <f>100000+3155075</f>
        <v>3255075</v>
      </c>
      <c r="AK27" s="4">
        <f>6606600+6333800</f>
        <v>12940400</v>
      </c>
      <c r="AL27" s="4">
        <f>768710+25040</f>
        <v>793750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f>1346750</f>
        <v>1346750</v>
      </c>
      <c r="AT27" s="4">
        <f>88524+283196</f>
        <v>371720</v>
      </c>
      <c r="AU27" s="4">
        <v>0</v>
      </c>
      <c r="AV27" s="4">
        <f>35210+22000+41800+22000+250750+160600+15120+46930+22000+1925000</f>
        <v>2541410</v>
      </c>
      <c r="AW27" s="4">
        <f t="shared" si="36"/>
        <v>4377564</v>
      </c>
      <c r="AX27" s="4">
        <f t="shared" si="3"/>
        <v>10263292</v>
      </c>
      <c r="AY27" s="4">
        <f t="shared" si="37"/>
        <v>2501392</v>
      </c>
      <c r="AZ27" s="4">
        <v>0</v>
      </c>
      <c r="BA27" s="4">
        <f>228174+194185+3875054</f>
        <v>4297413</v>
      </c>
      <c r="BB27" s="4">
        <v>0</v>
      </c>
      <c r="BC27" s="4">
        <v>0</v>
      </c>
      <c r="BD27" s="4">
        <v>0</v>
      </c>
      <c r="BE27" s="4">
        <f>32751+19900+27500</f>
        <v>80151</v>
      </c>
      <c r="BF27" s="4">
        <f>-50000+149625+109450</f>
        <v>209075</v>
      </c>
      <c r="BG27" s="4">
        <v>0</v>
      </c>
      <c r="BH27" s="4">
        <v>0</v>
      </c>
      <c r="BI27" s="4">
        <v>0</v>
      </c>
      <c r="BJ27" s="4">
        <v>0</v>
      </c>
      <c r="BK27" s="4">
        <f>120000+1763000+150000+537600+481000+24000+1159000+35000+1726000+102000+1726000+1013500+15000+35000+619000</f>
        <v>9506100</v>
      </c>
      <c r="BL27" s="4">
        <v>0</v>
      </c>
      <c r="BM27" s="4">
        <v>0</v>
      </c>
      <c r="BN27" s="4">
        <v>0</v>
      </c>
      <c r="BO27" s="4">
        <f>178217+77100+283000+9800</f>
        <v>548117</v>
      </c>
    </row>
    <row r="28" spans="1:67">
      <c r="A28">
        <v>2024</v>
      </c>
      <c r="B28">
        <v>8</v>
      </c>
      <c r="C28">
        <v>41</v>
      </c>
      <c r="D28">
        <v>73</v>
      </c>
      <c r="E28">
        <v>26</v>
      </c>
      <c r="F28">
        <v>41</v>
      </c>
      <c r="G28" s="4">
        <f t="shared" si="0"/>
        <v>98193865</v>
      </c>
      <c r="H28" s="4">
        <f t="shared" si="32"/>
        <v>86456767</v>
      </c>
      <c r="I28" s="4">
        <f t="shared" si="4"/>
        <v>11737098</v>
      </c>
      <c r="J28" s="4">
        <f t="shared" si="33"/>
        <v>31503494</v>
      </c>
      <c r="K28" s="4">
        <f t="shared" si="5"/>
        <v>86923750</v>
      </c>
      <c r="L28" s="4">
        <f t="shared" si="6"/>
        <v>86456767</v>
      </c>
      <c r="M28" s="4">
        <f t="shared" si="7"/>
        <v>466983</v>
      </c>
      <c r="N28" s="4">
        <f t="shared" si="19"/>
        <v>10000000</v>
      </c>
      <c r="O28" s="4">
        <f t="shared" si="9"/>
        <v>0</v>
      </c>
      <c r="P28" s="4">
        <f t="shared" si="34"/>
        <v>89778394</v>
      </c>
      <c r="Q28" s="4">
        <f t="shared" si="35"/>
        <v>85181327</v>
      </c>
      <c r="R28" s="4">
        <f t="shared" si="11"/>
        <v>4597067</v>
      </c>
      <c r="S28" s="4">
        <f t="shared" si="12"/>
        <v>21862071</v>
      </c>
      <c r="T28" s="4">
        <f t="shared" si="13"/>
        <v>79778394</v>
      </c>
      <c r="U28" s="4">
        <f t="shared" si="14"/>
        <v>85181327</v>
      </c>
      <c r="V28" s="4">
        <f t="shared" si="15"/>
        <v>-5402933</v>
      </c>
      <c r="W28" s="4">
        <v>0</v>
      </c>
      <c r="X28" s="4">
        <f>48102613+28076281</f>
        <v>76178894</v>
      </c>
      <c r="Y28" s="4">
        <f>9000000+1000000</f>
        <v>10000000</v>
      </c>
      <c r="Z28" s="4">
        <v>0</v>
      </c>
      <c r="AA28" s="4">
        <v>0</v>
      </c>
      <c r="AB28" s="4">
        <f>2000000-7700000-26000000-3000000-5000000-7000000-29000000+7700000+26000000+8000000+3000000+5000000+7000000+29000000-200000-2000000+200000-8000500</f>
        <v>-500</v>
      </c>
      <c r="AC28" s="4">
        <v>3600000</v>
      </c>
      <c r="AD28" s="4">
        <f>1270615</f>
        <v>1270615</v>
      </c>
      <c r="AE28" s="4">
        <f>165000</f>
        <v>165000</v>
      </c>
      <c r="AF28" s="4">
        <v>0</v>
      </c>
      <c r="AG28" s="4">
        <v>5000000</v>
      </c>
      <c r="AH28" s="4">
        <f>550000+1650000+3520000+1100000+1320000*2+1705000+1650000+3520000+1100000+550000+600000+550000*2</f>
        <v>19685000</v>
      </c>
      <c r="AI28" s="4">
        <f>522540+266960+48914742+514708+66750</f>
        <v>50285700</v>
      </c>
      <c r="AJ28" s="4">
        <v>0</v>
      </c>
      <c r="AK28" s="4">
        <v>0</v>
      </c>
      <c r="AL28" s="4">
        <f>1007610+282250+134990</f>
        <v>1424850</v>
      </c>
      <c r="AM28" s="4">
        <f>84460+2234620+2110660+79440</f>
        <v>4509180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f>1219160+509422</f>
        <v>1728582</v>
      </c>
      <c r="AT28" s="4">
        <f>91475+290095</f>
        <v>381570</v>
      </c>
      <c r="AU28" s="4">
        <v>0</v>
      </c>
      <c r="AV28" s="4">
        <f>35210+85800+250750+160600+102070+14300+60100+22000</f>
        <v>730830</v>
      </c>
      <c r="AW28" s="4">
        <f t="shared" si="36"/>
        <v>8415471</v>
      </c>
      <c r="AX28" s="4">
        <f t="shared" si="3"/>
        <v>1275440</v>
      </c>
      <c r="AY28" s="4">
        <f t="shared" si="37"/>
        <v>9641423</v>
      </c>
      <c r="AZ28" s="4">
        <v>0</v>
      </c>
      <c r="BA28" s="4">
        <f>2938257+5025477+227816+223886</f>
        <v>8415436</v>
      </c>
      <c r="BB28" s="4">
        <v>0</v>
      </c>
      <c r="BC28" s="4">
        <v>0</v>
      </c>
      <c r="BD28" s="4">
        <v>0</v>
      </c>
      <c r="BE28" s="4">
        <v>35</v>
      </c>
      <c r="BF28" s="4">
        <v>0</v>
      </c>
      <c r="BG28" s="4">
        <v>0</v>
      </c>
      <c r="BH28" s="4">
        <v>0</v>
      </c>
      <c r="BI28" s="4">
        <v>0</v>
      </c>
      <c r="BJ28" s="4">
        <f>55000</f>
        <v>55000</v>
      </c>
      <c r="BK28" s="4">
        <f>-1726000+972000+203400+89000+364000+992840+91200+78000+149300</f>
        <v>1213740</v>
      </c>
      <c r="BL28" s="4">
        <v>0</v>
      </c>
      <c r="BM28" s="4">
        <v>0</v>
      </c>
      <c r="BN28" s="4">
        <f>6700</f>
        <v>6700</v>
      </c>
      <c r="BO28" s="4">
        <v>0</v>
      </c>
    </row>
    <row r="29" spans="1:67">
      <c r="A29">
        <v>2024</v>
      </c>
      <c r="B29">
        <v>9</v>
      </c>
      <c r="C29">
        <v>37</v>
      </c>
      <c r="D29">
        <v>55</v>
      </c>
      <c r="E29">
        <v>24</v>
      </c>
      <c r="F29">
        <v>40</v>
      </c>
      <c r="G29" s="4">
        <f t="shared" si="0"/>
        <v>83502190</v>
      </c>
      <c r="H29" s="4">
        <f t="shared" si="32"/>
        <v>99474595</v>
      </c>
      <c r="I29" s="4">
        <f t="shared" si="4"/>
        <v>-15972405</v>
      </c>
      <c r="J29" s="4">
        <f t="shared" si="33"/>
        <v>15531089</v>
      </c>
      <c r="K29" s="4">
        <f t="shared" si="5"/>
        <v>84896720</v>
      </c>
      <c r="L29" s="4">
        <f t="shared" si="6"/>
        <v>99474595</v>
      </c>
      <c r="M29" s="4">
        <f t="shared" si="7"/>
        <v>-14577875</v>
      </c>
      <c r="N29" s="4">
        <f t="shared" si="19"/>
        <v>-1500000</v>
      </c>
      <c r="O29" s="4">
        <f t="shared" si="9"/>
        <v>0</v>
      </c>
      <c r="P29" s="4">
        <f t="shared" si="34"/>
        <v>84433284</v>
      </c>
      <c r="Q29" s="4">
        <f t="shared" si="35"/>
        <v>92353150</v>
      </c>
      <c r="R29" s="4">
        <f t="shared" si="11"/>
        <v>-7919866</v>
      </c>
      <c r="S29" s="4">
        <f t="shared" si="12"/>
        <v>13942205</v>
      </c>
      <c r="T29" s="4">
        <f t="shared" si="13"/>
        <v>78433284</v>
      </c>
      <c r="U29" s="4">
        <f t="shared" si="14"/>
        <v>92353150</v>
      </c>
      <c r="V29" s="4">
        <f t="shared" si="15"/>
        <v>-13919866</v>
      </c>
      <c r="W29" s="4">
        <v>0</v>
      </c>
      <c r="X29" s="4">
        <f>11821338+46516676+18895270</f>
        <v>77233284</v>
      </c>
      <c r="Y29" s="4">
        <f>150000-150000+6000000</f>
        <v>6000000</v>
      </c>
      <c r="Z29" s="4">
        <v>0</v>
      </c>
      <c r="AA29" s="4">
        <v>0</v>
      </c>
      <c r="AB29" s="4">
        <f>-50000000-11000000-1200000-8000000+50000000+11000000+1200000+8000000</f>
        <v>0</v>
      </c>
      <c r="AC29" s="4">
        <v>1200000</v>
      </c>
      <c r="AD29" s="4">
        <v>0</v>
      </c>
      <c r="AE29" s="4">
        <f>264000+140000+165000</f>
        <v>569000</v>
      </c>
      <c r="AF29" s="4">
        <v>0</v>
      </c>
      <c r="AG29" s="4">
        <f>-5000000</f>
        <v>-5000000</v>
      </c>
      <c r="AH29" s="4">
        <f>-570+1320000*2+1705000+1650000+3520000+1100000</f>
        <v>10614430</v>
      </c>
      <c r="AI29" s="4">
        <f>-50000+700000+640000+200000+400000+240000+527181+34180939+7217140+689393+640000+10153840+1100000+309880+1879887+120000</f>
        <v>58948260</v>
      </c>
      <c r="AJ29" s="4">
        <v>5185406</v>
      </c>
      <c r="AK29" s="4">
        <f>6892600+6534000</f>
        <v>13426600</v>
      </c>
      <c r="AL29" s="4">
        <f>837640</f>
        <v>837640</v>
      </c>
      <c r="AM29" s="4">
        <f>217300</f>
        <v>217300</v>
      </c>
      <c r="AN29" s="4">
        <f>112000+177000+2519000</f>
        <v>2808000</v>
      </c>
      <c r="AO29" s="4">
        <v>0</v>
      </c>
      <c r="AP29" s="4">
        <v>0</v>
      </c>
      <c r="AQ29" s="4">
        <v>1100000</v>
      </c>
      <c r="AR29" s="4">
        <v>0</v>
      </c>
      <c r="AS29" s="4">
        <f>2229175</f>
        <v>2229175</v>
      </c>
      <c r="AT29" s="4">
        <f>88934+290095</f>
        <v>379029</v>
      </c>
      <c r="AU29" s="4">
        <v>0</v>
      </c>
      <c r="AV29" s="4">
        <f>35210+22000+41800+22000+385000+250750+160600+21400+77550+22000</f>
        <v>1038310</v>
      </c>
      <c r="AW29" s="4">
        <f t="shared" si="36"/>
        <v>-931094</v>
      </c>
      <c r="AX29" s="4">
        <f t="shared" si="3"/>
        <v>7121445</v>
      </c>
      <c r="AY29" s="4">
        <f t="shared" si="37"/>
        <v>1588884</v>
      </c>
      <c r="AZ29" s="4">
        <f>-2500000-3000000-2000000</f>
        <v>-7500000</v>
      </c>
      <c r="BA29" s="4">
        <f>1097985+197359+5273218</f>
        <v>6568562</v>
      </c>
      <c r="BB29" s="4">
        <v>0</v>
      </c>
      <c r="BC29" s="4">
        <v>0</v>
      </c>
      <c r="BD29" s="4">
        <v>0</v>
      </c>
      <c r="BE29" s="4">
        <v>344</v>
      </c>
      <c r="BF29" s="4">
        <f>105470</f>
        <v>105470</v>
      </c>
      <c r="BG29" s="4">
        <v>0</v>
      </c>
      <c r="BH29" s="4">
        <v>0</v>
      </c>
      <c r="BI29" s="4">
        <v>0</v>
      </c>
      <c r="BJ29" s="4">
        <v>0</v>
      </c>
      <c r="BK29" s="4">
        <f>135000+819000+1647800+1056000+884000+90000+416000+35000+177650+1568000+9775+177750</f>
        <v>7015975</v>
      </c>
      <c r="BL29" s="4">
        <v>0</v>
      </c>
      <c r="BM29" s="4">
        <v>0</v>
      </c>
      <c r="BN29" s="4">
        <v>0</v>
      </c>
      <c r="BO29" s="4">
        <v>0</v>
      </c>
    </row>
    <row r="30" spans="1:67">
      <c r="A30">
        <v>2024</v>
      </c>
      <c r="B30">
        <v>10</v>
      </c>
      <c r="C30">
        <v>37</v>
      </c>
      <c r="D30">
        <v>57</v>
      </c>
      <c r="E30">
        <v>25</v>
      </c>
      <c r="F30">
        <v>40</v>
      </c>
      <c r="G30" s="4">
        <f t="shared" si="0"/>
        <v>91564014</v>
      </c>
      <c r="H30" s="4">
        <f t="shared" si="32"/>
        <v>76505117</v>
      </c>
      <c r="I30" s="4">
        <f t="shared" si="4"/>
        <v>15058897</v>
      </c>
      <c r="J30" s="4">
        <f t="shared" si="33"/>
        <v>30589986</v>
      </c>
      <c r="K30" s="4">
        <f t="shared" si="5"/>
        <v>86214014</v>
      </c>
      <c r="L30" s="4">
        <f t="shared" si="6"/>
        <v>76505117</v>
      </c>
      <c r="M30" s="4">
        <f t="shared" si="7"/>
        <v>9708897</v>
      </c>
      <c r="N30" s="4">
        <f t="shared" si="19"/>
        <v>5350000</v>
      </c>
      <c r="O30" s="4">
        <f t="shared" si="9"/>
        <v>0</v>
      </c>
      <c r="P30" s="4">
        <f t="shared" si="34"/>
        <v>82176482</v>
      </c>
      <c r="Q30" s="4">
        <f t="shared" si="35"/>
        <v>69547277</v>
      </c>
      <c r="R30" s="4">
        <f t="shared" si="11"/>
        <v>12629205</v>
      </c>
      <c r="S30" s="4">
        <f t="shared" si="12"/>
        <v>26571410</v>
      </c>
      <c r="T30" s="4">
        <f t="shared" si="13"/>
        <v>79776482</v>
      </c>
      <c r="U30" s="4">
        <f t="shared" si="14"/>
        <v>69547277</v>
      </c>
      <c r="V30" s="4">
        <f t="shared" si="15"/>
        <v>10229205</v>
      </c>
      <c r="W30" s="4">
        <v>0</v>
      </c>
      <c r="X30" s="4">
        <f>38835385+1638845+2110050+19977573+11814629</f>
        <v>74376482</v>
      </c>
      <c r="Y30" s="4">
        <f>5000000+200000-1700000-1100000</f>
        <v>2400000</v>
      </c>
      <c r="Z30" s="4">
        <v>0</v>
      </c>
      <c r="AA30" s="4">
        <v>0</v>
      </c>
      <c r="AB30" s="4">
        <f>-16000000-32000000-1450000-5000000-200000-800000-4000000-1940000-5000000-28000000+16000000+32000000+1450000+5000000+200000+800000+4000000+1940000+5000000+28000000</f>
        <v>0</v>
      </c>
      <c r="AC30" s="4">
        <f>3600000+1800000</f>
        <v>5400000</v>
      </c>
      <c r="AD30" s="4">
        <v>0</v>
      </c>
      <c r="AE30" s="4">
        <f>165000</f>
        <v>165000</v>
      </c>
      <c r="AF30" s="4">
        <v>0</v>
      </c>
      <c r="AG30" s="4">
        <v>0</v>
      </c>
      <c r="AH30" s="4">
        <f>550000*3+600000+550000+2640000+1705000</f>
        <v>7145000</v>
      </c>
      <c r="AI30" s="4">
        <f>200000+700000+640000+400000+44510243+5022280+1100000</f>
        <v>52572523</v>
      </c>
      <c r="AJ30" s="4">
        <v>0</v>
      </c>
      <c r="AK30" s="4">
        <v>5238200</v>
      </c>
      <c r="AL30" s="4">
        <f>943400</f>
        <v>943400</v>
      </c>
      <c r="AM30" s="4">
        <f>2220590+98540</f>
        <v>2319130</v>
      </c>
      <c r="AN30" s="4">
        <v>0</v>
      </c>
      <c r="AO30" s="4">
        <v>0</v>
      </c>
      <c r="AP30" s="4">
        <v>0</v>
      </c>
      <c r="AQ30" s="4">
        <f>-3500000+1100000</f>
        <v>-2400000</v>
      </c>
      <c r="AR30" s="4">
        <v>25000</v>
      </c>
      <c r="AS30" s="4">
        <f>2404975</f>
        <v>2404975</v>
      </c>
      <c r="AT30" s="4">
        <f>68852+280737</f>
        <v>349589</v>
      </c>
      <c r="AU30" s="4">
        <v>0</v>
      </c>
      <c r="AV30" s="4">
        <f>4400+35210+44400+19060+41800+140170+250750+160600+16190+49880+22000</f>
        <v>784460</v>
      </c>
      <c r="AW30" s="4">
        <f t="shared" si="36"/>
        <v>9387532</v>
      </c>
      <c r="AX30" s="4">
        <f t="shared" si="3"/>
        <v>6957840</v>
      </c>
      <c r="AY30" s="4">
        <f t="shared" si="37"/>
        <v>4018576</v>
      </c>
      <c r="AZ30" s="4">
        <f>200000+1200000+40000+810000+500000+200000</f>
        <v>2950000</v>
      </c>
      <c r="BA30" s="4">
        <f>2628280+224584+47780+50000+2085973+1400915</f>
        <v>6437532</v>
      </c>
      <c r="BB30" s="4">
        <v>0</v>
      </c>
      <c r="BC30" s="4">
        <v>0</v>
      </c>
      <c r="BD30" s="4">
        <v>0</v>
      </c>
      <c r="BE30" s="4">
        <v>0</v>
      </c>
      <c r="BF30" s="4">
        <v>0</v>
      </c>
      <c r="BG30" s="4">
        <v>0</v>
      </c>
      <c r="BH30" s="4">
        <v>0</v>
      </c>
      <c r="BI30" s="4">
        <v>0</v>
      </c>
      <c r="BJ30" s="4">
        <v>0</v>
      </c>
      <c r="BK30" s="4">
        <f>468000+1373000+66500+75240+810000+3100+479000+175000</f>
        <v>3449840</v>
      </c>
      <c r="BL30" s="4">
        <v>3500000</v>
      </c>
      <c r="BM30" s="5">
        <f>8000</f>
        <v>8000</v>
      </c>
      <c r="BN30" s="4">
        <v>0</v>
      </c>
      <c r="BO30" s="4">
        <v>0</v>
      </c>
    </row>
    <row r="31" spans="1:67">
      <c r="A31">
        <v>2024</v>
      </c>
      <c r="B31">
        <v>11</v>
      </c>
      <c r="G31" s="4">
        <f t="shared" si="0"/>
        <v>103654630</v>
      </c>
      <c r="H31" s="4">
        <f t="shared" si="32"/>
        <v>95426815</v>
      </c>
      <c r="I31" s="4">
        <f t="shared" si="4"/>
        <v>8227815</v>
      </c>
      <c r="J31" s="4">
        <f t="shared" si="33"/>
        <v>38817801</v>
      </c>
      <c r="K31" s="4">
        <f t="shared" si="5"/>
        <v>93588832</v>
      </c>
      <c r="L31" s="4">
        <f t="shared" si="6"/>
        <v>95426815</v>
      </c>
      <c r="M31" s="4">
        <f t="shared" si="7"/>
        <v>-1837983</v>
      </c>
      <c r="N31" s="4">
        <f t="shared" si="19"/>
        <v>8500000</v>
      </c>
      <c r="O31" s="4">
        <f t="shared" si="9"/>
        <v>0</v>
      </c>
      <c r="P31" s="4">
        <f t="shared" si="34"/>
        <v>98652268</v>
      </c>
      <c r="Q31" s="4">
        <f t="shared" si="35"/>
        <v>90728321</v>
      </c>
      <c r="R31" s="4">
        <f t="shared" si="11"/>
        <v>7923947</v>
      </c>
      <c r="S31" s="4">
        <f t="shared" si="12"/>
        <v>34495357</v>
      </c>
      <c r="T31" s="4">
        <f t="shared" si="13"/>
        <v>87352268</v>
      </c>
      <c r="U31" s="4">
        <f t="shared" si="14"/>
        <v>90728321</v>
      </c>
      <c r="V31" s="4">
        <f t="shared" si="15"/>
        <v>-3376053</v>
      </c>
      <c r="W31" s="4">
        <v>0</v>
      </c>
      <c r="X31" s="4">
        <f>30260724+168000+5345879+10481986+37495679</f>
        <v>83752268</v>
      </c>
      <c r="Y31" s="4">
        <f>5000000+4000000+2200000+100000</f>
        <v>11300000</v>
      </c>
      <c r="Z31" s="4">
        <v>0</v>
      </c>
      <c r="AA31" s="4">
        <v>0</v>
      </c>
      <c r="AB31" s="4">
        <f>-32000000-5000000-4200000-5000000-2600000-9000000-11000000+32000000+5000000+4200000+5000000+2600000+9000000+11000000-100000+100000+300000-300000</f>
        <v>0</v>
      </c>
      <c r="AC31" s="4">
        <f>3600000</f>
        <v>3600000</v>
      </c>
      <c r="AD31" s="4">
        <f>278898+1170000+116900</f>
        <v>1565798</v>
      </c>
      <c r="AE31" s="4">
        <f>165000</f>
        <v>165000</v>
      </c>
      <c r="AF31" s="4">
        <v>0</v>
      </c>
      <c r="AG31" s="4">
        <v>0</v>
      </c>
      <c r="AH31" s="4">
        <f>1650000+3520000+1100000+550000*3+600000+2640000+1705000+1650000+3520000+1100000+550000*2</f>
        <v>20235000</v>
      </c>
      <c r="AI31" s="4">
        <f>700000+640000+150000+400000+44733850+5572140+1063700</f>
        <v>53259690</v>
      </c>
      <c r="AJ31" s="4">
        <v>4177120</v>
      </c>
      <c r="AK31" s="4">
        <v>5995000</v>
      </c>
      <c r="AL31" s="4">
        <f>709400</f>
        <v>709400</v>
      </c>
      <c r="AM31" s="4">
        <f>96200+2163240</f>
        <v>2259440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f>1320742</f>
        <v>1320742</v>
      </c>
      <c r="AT31" s="4">
        <f>17213+279084+88934</f>
        <v>385231</v>
      </c>
      <c r="AU31" s="4">
        <v>0</v>
      </c>
      <c r="AV31" s="4">
        <f>35210+22000*2+41800+250750+160600+19780+81760+22000</f>
        <v>655900</v>
      </c>
      <c r="AW31" s="4">
        <f t="shared" si="36"/>
        <v>5002362</v>
      </c>
      <c r="AX31" s="4">
        <f t="shared" si="3"/>
        <v>4698494</v>
      </c>
      <c r="AY31" s="4">
        <f t="shared" si="37"/>
        <v>4322444</v>
      </c>
      <c r="AZ31" s="4">
        <f>-2300000+200000-700000</f>
        <v>-2800000</v>
      </c>
      <c r="BA31" s="4">
        <f>858937+3014443+3928982</f>
        <v>7802362</v>
      </c>
      <c r="BB31" s="4">
        <v>0</v>
      </c>
      <c r="BC31" s="4">
        <v>0</v>
      </c>
      <c r="BD31" s="4">
        <v>0</v>
      </c>
      <c r="BE31" s="4">
        <v>0</v>
      </c>
      <c r="BF31" s="4">
        <v>0</v>
      </c>
      <c r="BG31" s="4">
        <v>0</v>
      </c>
      <c r="BH31" s="4">
        <v>0</v>
      </c>
      <c r="BI31" s="4">
        <v>0</v>
      </c>
      <c r="BJ31" s="4">
        <v>0</v>
      </c>
      <c r="BK31" s="5">
        <f>25000+201600+638000+949000+446050+247650+1331000+156000+249000+413150</f>
        <v>4656450</v>
      </c>
      <c r="BL31" s="4">
        <v>0</v>
      </c>
      <c r="BM31" s="4">
        <v>0</v>
      </c>
      <c r="BN31" s="4">
        <v>28644</v>
      </c>
      <c r="BO31" s="5">
        <f>13400</f>
        <v>13400</v>
      </c>
    </row>
    <row r="32" spans="1:67">
      <c r="A32">
        <v>2024</v>
      </c>
      <c r="B32">
        <v>12</v>
      </c>
      <c r="G32" s="4">
        <f t="shared" si="0"/>
        <v>72408586</v>
      </c>
      <c r="H32" s="4">
        <f t="shared" si="32"/>
        <v>77803150</v>
      </c>
      <c r="I32" s="4">
        <f t="shared" si="4"/>
        <v>-5394564</v>
      </c>
      <c r="J32" s="4">
        <f t="shared" si="33"/>
        <v>33423237</v>
      </c>
      <c r="K32" s="4">
        <f t="shared" si="5"/>
        <v>63430886</v>
      </c>
      <c r="L32" s="4">
        <f t="shared" si="6"/>
        <v>77803150</v>
      </c>
      <c r="M32" s="4">
        <f t="shared" si="7"/>
        <v>-14372264</v>
      </c>
      <c r="N32" s="4">
        <f t="shared" si="19"/>
        <v>0</v>
      </c>
      <c r="O32" s="4">
        <f t="shared" si="9"/>
        <v>0</v>
      </c>
      <c r="P32" s="4">
        <f t="shared" si="34"/>
        <v>66496333</v>
      </c>
      <c r="Q32" s="4">
        <f t="shared" si="35"/>
        <v>72646203</v>
      </c>
      <c r="R32" s="4">
        <f t="shared" si="11"/>
        <v>-6149870</v>
      </c>
      <c r="S32" s="4">
        <f t="shared" si="12"/>
        <v>28345487</v>
      </c>
      <c r="T32" s="4">
        <f t="shared" si="13"/>
        <v>66496333</v>
      </c>
      <c r="U32" s="4">
        <f t="shared" si="14"/>
        <v>72646203</v>
      </c>
      <c r="V32" s="4">
        <f t="shared" si="15"/>
        <v>-6149870</v>
      </c>
      <c r="W32" s="4">
        <v>0</v>
      </c>
      <c r="X32" s="4">
        <f>43532639+3985842+2147935+15618448</f>
        <v>65284864</v>
      </c>
      <c r="Y32" s="4">
        <v>0</v>
      </c>
      <c r="Z32" s="4">
        <v>0</v>
      </c>
      <c r="AA32" s="4">
        <v>0</v>
      </c>
      <c r="AB32" s="4">
        <f>3000000-34000000-30000000-15000000-10000000+34000000+30000000+15000000+10000000-3000000</f>
        <v>0</v>
      </c>
      <c r="AC32" s="4">
        <f>5160+1200000+3433+43+1+405+2427</f>
        <v>1211469</v>
      </c>
      <c r="AD32" s="4">
        <f>1170000+1170000+168000+2340000+1070000+163700+1170000+252000+1170000</f>
        <v>8673700</v>
      </c>
      <c r="AE32" s="4">
        <f>165000</f>
        <v>165000</v>
      </c>
      <c r="AF32" s="4">
        <f>-5000000-5000000-700000</f>
        <v>-10700000</v>
      </c>
      <c r="AG32" s="4">
        <v>0</v>
      </c>
      <c r="AH32" s="4">
        <f>550000+550000+600000+550000+2640000+1705000+3520000+652500+550000+550000+660000+1650000+1100000</f>
        <v>15277500</v>
      </c>
      <c r="AI32" s="4">
        <f>700000+640000+200000+400000+45593830+5548800</f>
        <v>53082630</v>
      </c>
      <c r="AJ32" s="4">
        <v>0</v>
      </c>
      <c r="AK32" s="4">
        <v>0</v>
      </c>
      <c r="AL32" s="4">
        <f>1052250</f>
        <v>1052250</v>
      </c>
      <c r="AM32" s="4">
        <f>1762490+65300</f>
        <v>1827790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f>541987+1315835</f>
        <v>1857822</v>
      </c>
      <c r="AT32" s="4">
        <f>84590+270081</f>
        <v>354671</v>
      </c>
      <c r="AU32" s="4">
        <v>0</v>
      </c>
      <c r="AV32" s="4">
        <f>121010+4400+385000+250750+160600+33900+77180+22000</f>
        <v>1054840</v>
      </c>
      <c r="AW32" s="4">
        <f t="shared" si="36"/>
        <v>5912253</v>
      </c>
      <c r="AX32" s="4">
        <f t="shared" si="3"/>
        <v>5156947</v>
      </c>
      <c r="AY32" s="4">
        <f t="shared" si="37"/>
        <v>5077750</v>
      </c>
      <c r="AZ32" s="4">
        <v>0</v>
      </c>
      <c r="BA32" s="4">
        <f>3304702+1044547+1561316</f>
        <v>5910565</v>
      </c>
      <c r="BB32" s="4">
        <v>0</v>
      </c>
      <c r="BC32" s="4">
        <v>0</v>
      </c>
      <c r="BD32" s="4">
        <v>0</v>
      </c>
      <c r="BE32" s="4">
        <f>1418+270</f>
        <v>1688</v>
      </c>
      <c r="BF32" s="4">
        <f>12000+292000</f>
        <v>304000</v>
      </c>
      <c r="BG32" s="5">
        <f>1400000</f>
        <v>1400000</v>
      </c>
      <c r="BH32" s="4">
        <v>0</v>
      </c>
      <c r="BI32" s="4">
        <v>0</v>
      </c>
      <c r="BJ32" s="4">
        <v>0</v>
      </c>
      <c r="BK32" s="4">
        <f>1373000+1017000+149000+48000+837000</f>
        <v>3424000</v>
      </c>
      <c r="BL32" s="4">
        <v>0</v>
      </c>
      <c r="BM32" s="4">
        <v>0</v>
      </c>
      <c r="BN32" s="4">
        <v>28947</v>
      </c>
      <c r="BO32" s="4">
        <v>0</v>
      </c>
    </row>
    <row r="33" spans="1:67">
      <c r="A33">
        <v>2025</v>
      </c>
      <c r="B33">
        <v>1</v>
      </c>
      <c r="C33">
        <v>38</v>
      </c>
      <c r="D33">
        <f t="shared" ref="D33:D34" si="38">D32</f>
        <v>0</v>
      </c>
      <c r="E33">
        <v>20</v>
      </c>
      <c r="F33">
        <v>40</v>
      </c>
      <c r="G33" s="4">
        <f t="shared" si="0"/>
        <v>71326198</v>
      </c>
      <c r="H33" s="4">
        <f t="shared" ref="H33" si="39">Q33+AX33</f>
        <v>83321959</v>
      </c>
      <c r="I33" s="4">
        <f t="shared" si="4"/>
        <v>-11995761</v>
      </c>
      <c r="J33" s="4">
        <f t="shared" ref="J33" si="40">J32+G33-H33</f>
        <v>21427476</v>
      </c>
      <c r="K33" s="4">
        <f t="shared" si="5"/>
        <v>63320046</v>
      </c>
      <c r="L33" s="4">
        <f t="shared" si="6"/>
        <v>83321959</v>
      </c>
      <c r="M33" s="4">
        <f t="shared" si="7"/>
        <v>-20001913</v>
      </c>
      <c r="N33" s="4">
        <f t="shared" si="19"/>
        <v>7000000</v>
      </c>
      <c r="O33" s="4">
        <f t="shared" si="9"/>
        <v>0</v>
      </c>
      <c r="P33" s="4">
        <f t="shared" ref="P33" si="41">SUM(W33:AC33)</f>
        <v>59921390</v>
      </c>
      <c r="Q33" s="4">
        <f t="shared" ref="Q33" si="42">SUM(AD33:AV33)</f>
        <v>77644685</v>
      </c>
      <c r="R33" s="4">
        <f t="shared" si="11"/>
        <v>-17723295</v>
      </c>
      <c r="S33" s="4">
        <f t="shared" si="12"/>
        <v>10622192</v>
      </c>
      <c r="T33" s="4">
        <f t="shared" si="13"/>
        <v>61621390</v>
      </c>
      <c r="U33" s="4">
        <f t="shared" si="14"/>
        <v>77644685</v>
      </c>
      <c r="V33" s="4">
        <f t="shared" si="15"/>
        <v>-16023295</v>
      </c>
      <c r="W33" s="4">
        <v>0</v>
      </c>
      <c r="X33" s="4">
        <f>42562589+4211393+3339750+3896234+411424</f>
        <v>54421390</v>
      </c>
      <c r="Y33" s="4">
        <f>5000000+4000000</f>
        <v>9000000</v>
      </c>
      <c r="Z33" s="4">
        <f>-8700000-2000000</f>
        <v>-10700000</v>
      </c>
      <c r="AA33" s="4">
        <v>0</v>
      </c>
      <c r="AB33" s="4">
        <f>-10000000-50000000-100000-5000000-4000000-5000000-4300000-4000000-6000000+2000000+10000000+50000000+100000+5000000+4000000+5000000+4300000+4000000+6000000-100000-300000-2000000+100000+3887-3887+305234-5234</f>
        <v>0</v>
      </c>
      <c r="AC33" s="4">
        <f>5400000+1800000</f>
        <v>7200000</v>
      </c>
      <c r="AD33" s="4">
        <f>252000*2+166152+168000+168000</f>
        <v>1006152</v>
      </c>
      <c r="AE33" s="4">
        <f>165000</f>
        <v>165000</v>
      </c>
      <c r="AF33" s="4">
        <v>0</v>
      </c>
      <c r="AG33" s="4">
        <f>-5000000</f>
        <v>-5000000</v>
      </c>
      <c r="AH33" s="4">
        <f>600000+550000+2640000+1705000+3520000+500000</f>
        <v>9515000</v>
      </c>
      <c r="AI33" s="4">
        <f>150000+640000+400000+193400+2079720+42870374+6407730</f>
        <v>52741224</v>
      </c>
      <c r="AJ33" s="4">
        <f>100000</f>
        <v>100000</v>
      </c>
      <c r="AK33" s="4">
        <f>6274400+5464800</f>
        <v>11739200</v>
      </c>
      <c r="AL33" s="4">
        <f>931710+34000</f>
        <v>965710</v>
      </c>
      <c r="AM33" s="4">
        <f>-48650+1889680+99460+261070</f>
        <v>2201560</v>
      </c>
      <c r="AN33" s="4">
        <v>0</v>
      </c>
      <c r="AO33" s="4">
        <f>225000</f>
        <v>225000</v>
      </c>
      <c r="AP33" s="4">
        <v>0</v>
      </c>
      <c r="AQ33" s="4">
        <f>1100000</f>
        <v>1100000</v>
      </c>
      <c r="AR33" s="4">
        <v>0</v>
      </c>
      <c r="AS33" s="4">
        <f>750975+1011491</f>
        <v>1762466</v>
      </c>
      <c r="AT33" s="4">
        <f>14098+73457+27008+252520</f>
        <v>367083</v>
      </c>
      <c r="AU33" s="4">
        <v>0</v>
      </c>
      <c r="AV33" s="4">
        <f>35210+85800+30000+250750+160600+23930+86100+61900+22000</f>
        <v>756290</v>
      </c>
      <c r="AW33" s="4">
        <f t="shared" ref="AW33" si="43">SUM(AZ33:BE33)</f>
        <v>11404808</v>
      </c>
      <c r="AX33" s="4">
        <f t="shared" si="3"/>
        <v>5677274</v>
      </c>
      <c r="AY33" s="4">
        <f t="shared" ref="AY33" si="44">AY32+AW33-AX33</f>
        <v>10805284</v>
      </c>
      <c r="AZ33" s="4">
        <f>-2000000</f>
        <v>-2000000</v>
      </c>
      <c r="BA33" s="4">
        <f>2063615+178133+463060</f>
        <v>2704808</v>
      </c>
      <c r="BB33" s="4">
        <v>0</v>
      </c>
      <c r="BC33" s="4">
        <f>8700000+2000000</f>
        <v>10700000</v>
      </c>
      <c r="BD33" s="4">
        <v>0</v>
      </c>
      <c r="BE33" s="4">
        <v>0</v>
      </c>
      <c r="BF33" s="4">
        <v>0</v>
      </c>
      <c r="BG33" s="6">
        <v>0</v>
      </c>
      <c r="BH33" s="4">
        <v>0</v>
      </c>
      <c r="BI33" s="4">
        <v>0</v>
      </c>
      <c r="BJ33" s="4">
        <v>0</v>
      </c>
      <c r="BK33" s="4">
        <f>303550+1437000+104000+78000+422000+811300+936000+70000+1432000+66000</f>
        <v>5659850</v>
      </c>
      <c r="BL33" s="4">
        <v>0</v>
      </c>
      <c r="BM33" s="4">
        <v>0</v>
      </c>
      <c r="BN33" s="4">
        <f>13024</f>
        <v>13024</v>
      </c>
      <c r="BO33" s="4">
        <f>-4400-4400+4400+4400+4400</f>
        <v>4400</v>
      </c>
    </row>
    <row r="34" spans="1:67">
      <c r="A34">
        <v>2025</v>
      </c>
      <c r="B34">
        <v>2</v>
      </c>
      <c r="C34">
        <v>39</v>
      </c>
      <c r="D34">
        <f t="shared" si="38"/>
        <v>0</v>
      </c>
      <c r="E34">
        <v>19</v>
      </c>
      <c r="F34">
        <v>33</v>
      </c>
      <c r="G34" s="4">
        <f t="shared" si="0"/>
        <v>99191251</v>
      </c>
      <c r="H34" s="4">
        <f t="shared" ref="H34:H40" si="45">Q34+AX34</f>
        <v>96895178</v>
      </c>
      <c r="I34" s="4">
        <f t="shared" si="4"/>
        <v>2296073</v>
      </c>
      <c r="J34" s="4">
        <f t="shared" ref="J34:J40" si="46">J33+G34-H34</f>
        <v>23723549</v>
      </c>
      <c r="K34" s="4">
        <f t="shared" si="5"/>
        <v>76509393</v>
      </c>
      <c r="L34" s="4">
        <f t="shared" si="6"/>
        <v>96895178</v>
      </c>
      <c r="M34" s="4">
        <f t="shared" si="7"/>
        <v>-20385785</v>
      </c>
      <c r="N34" s="4">
        <f t="shared" si="19"/>
        <v>17500000</v>
      </c>
      <c r="O34" s="4">
        <f t="shared" si="9"/>
        <v>0</v>
      </c>
      <c r="P34" s="4">
        <f t="shared" ref="P34:P40" si="47">SUM(W34:AC34)</f>
        <v>94240441</v>
      </c>
      <c r="Q34" s="4">
        <f t="shared" ref="Q34:Q40" si="48">SUM(AD34:AV34)</f>
        <v>88960068</v>
      </c>
      <c r="R34" s="4">
        <f t="shared" si="11"/>
        <v>5280373</v>
      </c>
      <c r="S34" s="4">
        <f t="shared" si="12"/>
        <v>15902565</v>
      </c>
      <c r="T34" s="4">
        <f t="shared" si="13"/>
        <v>69240441</v>
      </c>
      <c r="U34" s="4">
        <f t="shared" si="14"/>
        <v>88960068</v>
      </c>
      <c r="V34" s="4">
        <f t="shared" si="15"/>
        <v>-19719627</v>
      </c>
      <c r="W34" s="4">
        <v>0</v>
      </c>
      <c r="X34" s="4">
        <f>36929982+32310459</f>
        <v>69240441</v>
      </c>
      <c r="Y34" s="4">
        <f>5000000+5000000+2000000+3000000</f>
        <v>15000000</v>
      </c>
      <c r="Z34" s="4">
        <f>10000000</f>
        <v>10000000</v>
      </c>
      <c r="AA34" s="4">
        <v>0</v>
      </c>
      <c r="AB34" s="4">
        <f>-5000000-18000000-19000000-10000000-5000000-5000000-2000000-3000000-2000000-5000000-6000000-6000000+5000000+18000000+19000000+10000000+5000000+5000000+2000000+3000000+2000000+5000000+6000000+6000000-400000+400000+200000-200000</f>
        <v>0</v>
      </c>
      <c r="AC34" s="4">
        <v>0</v>
      </c>
      <c r="AD34" s="4">
        <f>1170000+249858+1170000*3+252000</f>
        <v>5181858</v>
      </c>
      <c r="AE34" s="4">
        <f>165000</f>
        <v>165000</v>
      </c>
      <c r="AF34" s="4">
        <v>0</v>
      </c>
      <c r="AG34" s="4">
        <v>0</v>
      </c>
      <c r="AH34" s="4">
        <f>1650000+1100000+550000+605000+550000+2640000+1705000+550000+550000+3520000</f>
        <v>13420000</v>
      </c>
      <c r="AI34" s="4">
        <f>200000+600000+640000+400000+43719580+5948200+2755400</f>
        <v>54263180</v>
      </c>
      <c r="AJ34" s="4">
        <v>0</v>
      </c>
      <c r="AK34" s="4">
        <v>0</v>
      </c>
      <c r="AL34" s="4">
        <f>1036010</f>
        <v>1036010</v>
      </c>
      <c r="AM34" s="4">
        <f>106070+2036930+20500*2+157660</f>
        <v>2341660</v>
      </c>
      <c r="AN34" s="4">
        <f>2822000</f>
        <v>2822000</v>
      </c>
      <c r="AO34" s="4">
        <f>30000</f>
        <v>30000</v>
      </c>
      <c r="AP34" s="4">
        <v>0</v>
      </c>
      <c r="AQ34" s="4">
        <f>4290000</f>
        <v>4290000</v>
      </c>
      <c r="AR34" s="4">
        <f>39766+153417+36215</f>
        <v>229398</v>
      </c>
      <c r="AS34" s="4">
        <f>2541375</f>
        <v>2541375</v>
      </c>
      <c r="AT34" s="4">
        <f>245876+96451</f>
        <v>342327</v>
      </c>
      <c r="AU34" s="4">
        <v>0</v>
      </c>
      <c r="AV34" s="4">
        <f>35210+121800+250750+385000+385000+36000+45000+160600+59400+24660+71840+22000+400000+300000</f>
        <v>2297260</v>
      </c>
      <c r="AW34" s="4">
        <f t="shared" ref="AW34:AW40" si="49">SUM(AZ34:BE34)</f>
        <v>4950810</v>
      </c>
      <c r="AX34" s="4">
        <f t="shared" si="3"/>
        <v>7935110</v>
      </c>
      <c r="AY34" s="4">
        <f t="shared" ref="AY34:AY40" si="50">AY33+AW34-AX34</f>
        <v>7820984</v>
      </c>
      <c r="AZ34" s="4">
        <f>2500000</f>
        <v>2500000</v>
      </c>
      <c r="BA34" s="4">
        <f>800229+5255185+6395396</f>
        <v>12450810</v>
      </c>
      <c r="BB34" s="4">
        <v>0</v>
      </c>
      <c r="BC34" s="4">
        <f>-10000000</f>
        <v>-10000000</v>
      </c>
      <c r="BD34" s="4">
        <v>0</v>
      </c>
      <c r="BE34" s="4">
        <v>0</v>
      </c>
      <c r="BF34" s="4">
        <v>0</v>
      </c>
      <c r="BG34" s="6">
        <v>0</v>
      </c>
      <c r="BH34" s="4">
        <v>0</v>
      </c>
      <c r="BI34" s="4">
        <v>0</v>
      </c>
      <c r="BJ34" s="4">
        <v>0</v>
      </c>
      <c r="BK34" s="4">
        <f>73000+30000+48000+503000+500000+17000+1018500+2235600+2780360+286750+130000+260000</f>
        <v>7882210</v>
      </c>
      <c r="BL34" s="4">
        <v>0</v>
      </c>
      <c r="BM34" s="4">
        <v>0</v>
      </c>
      <c r="BN34" s="4">
        <f>52900</f>
        <v>52900</v>
      </c>
      <c r="BO34" s="4">
        <v>0</v>
      </c>
    </row>
    <row r="35" spans="1:67">
      <c r="A35">
        <v>2025</v>
      </c>
      <c r="B35">
        <v>3</v>
      </c>
      <c r="C35">
        <v>39</v>
      </c>
      <c r="D35">
        <v>69</v>
      </c>
      <c r="E35">
        <v>41</v>
      </c>
      <c r="F35">
        <v>59</v>
      </c>
      <c r="G35" s="4">
        <f t="shared" si="0"/>
        <v>155192944</v>
      </c>
      <c r="H35" s="4">
        <f t="shared" si="45"/>
        <v>118450296</v>
      </c>
      <c r="I35" s="4">
        <f t="shared" si="4"/>
        <v>36742648</v>
      </c>
      <c r="J35" s="4">
        <f t="shared" si="46"/>
        <v>60466197</v>
      </c>
      <c r="K35" s="4">
        <f t="shared" si="5"/>
        <v>119365144</v>
      </c>
      <c r="L35" s="4">
        <f t="shared" si="6"/>
        <v>118450296</v>
      </c>
      <c r="M35" s="4">
        <f t="shared" si="7"/>
        <v>914848</v>
      </c>
      <c r="N35" s="4">
        <f t="shared" si="19"/>
        <v>-27000000</v>
      </c>
      <c r="O35" s="4">
        <f t="shared" si="9"/>
        <v>60000000</v>
      </c>
      <c r="P35" s="4">
        <f t="shared" si="47"/>
        <v>112597092</v>
      </c>
      <c r="Q35" s="4">
        <f t="shared" si="48"/>
        <v>100833358</v>
      </c>
      <c r="R35" s="4">
        <f t="shared" si="11"/>
        <v>11763734</v>
      </c>
      <c r="S35" s="4">
        <f t="shared" si="12"/>
        <v>27666299</v>
      </c>
      <c r="T35" s="4">
        <f t="shared" si="13"/>
        <v>102597092</v>
      </c>
      <c r="U35" s="4">
        <f t="shared" si="14"/>
        <v>100833358</v>
      </c>
      <c r="V35" s="4">
        <f t="shared" si="15"/>
        <v>1763734</v>
      </c>
      <c r="W35" s="4">
        <v>0</v>
      </c>
      <c r="X35" s="4">
        <f>35262260+7125060+7235415+8443180+136000+5592130+37003047</f>
        <v>100797092</v>
      </c>
      <c r="Y35" s="4">
        <f>4000000+6000000</f>
        <v>10000000</v>
      </c>
      <c r="Z35" s="4">
        <v>0</v>
      </c>
      <c r="AA35" s="4">
        <v>0</v>
      </c>
      <c r="AB35" s="4">
        <f>-64000000-7800000-8600000-4000000-3000000-4000000-10000000+64000000+7800000+8600000+4000000+3000000+4000000+10000000-500000-200000+200000+500000</f>
        <v>0</v>
      </c>
      <c r="AC35" s="4">
        <v>1800000</v>
      </c>
      <c r="AD35" s="4">
        <f>50000+108000+90000+252000+1157130+146000+119330+69340+102000+69000+168000+60000+129000+168000</f>
        <v>2687800</v>
      </c>
      <c r="AE35" s="4">
        <f>165000+1830000+1500000</f>
        <v>3495000</v>
      </c>
      <c r="AF35" s="4">
        <v>0</v>
      </c>
      <c r="AG35" s="4">
        <f>-5000000-5000000</f>
        <v>-10000000</v>
      </c>
      <c r="AH35" s="4">
        <f>151120+2640000+1650000+1100000+550000*2+1705000+3520000</f>
        <v>11866120</v>
      </c>
      <c r="AI35" s="4">
        <f>200000+600000+640000+400000+32034324+1718990+15708763+5355690+20080</f>
        <v>56677847</v>
      </c>
      <c r="AJ35" s="4">
        <f>13026920</f>
        <v>13026920</v>
      </c>
      <c r="AK35" s="4">
        <f>5997200+5799200</f>
        <v>11796400</v>
      </c>
      <c r="AL35" s="4">
        <v>0</v>
      </c>
      <c r="AM35" s="4">
        <f>-104630+152010+20500+104240+2273500</f>
        <v>2445620</v>
      </c>
      <c r="AN35" s="4">
        <v>0</v>
      </c>
      <c r="AO35" s="4">
        <v>0</v>
      </c>
      <c r="AP35" s="4">
        <v>0</v>
      </c>
      <c r="AQ35" s="4">
        <v>0</v>
      </c>
      <c r="AR35" s="4">
        <f>20017+18903+73700</f>
        <v>112620</v>
      </c>
      <c r="AS35" s="4">
        <f>2437505+2755737</f>
        <v>5193242</v>
      </c>
      <c r="AT35" s="4">
        <f>114378+222081</f>
        <v>336459</v>
      </c>
      <c r="AU35" s="4">
        <v>0</v>
      </c>
      <c r="AV35" s="4">
        <f>-2000+79000+35210+85800+255930+250750+1000+160600+22690+94250+22000+1415000+3100+385000+385000+1000+1000</f>
        <v>3195330</v>
      </c>
      <c r="AW35" s="4">
        <f t="shared" si="49"/>
        <v>42595852</v>
      </c>
      <c r="AX35" s="4">
        <f t="shared" si="3"/>
        <v>17616938</v>
      </c>
      <c r="AY35" s="4">
        <f t="shared" si="50"/>
        <v>32799898</v>
      </c>
      <c r="AZ35" s="4">
        <f>1000000-4000000-10000000-24000000</f>
        <v>-37000000</v>
      </c>
      <c r="BA35" s="4">
        <f>12660703+4317236+2616913</f>
        <v>19594852</v>
      </c>
      <c r="BB35" s="4">
        <v>60000000</v>
      </c>
      <c r="BC35" s="4">
        <v>0</v>
      </c>
      <c r="BD35" s="4">
        <v>0</v>
      </c>
      <c r="BE35" s="4">
        <v>1000</v>
      </c>
      <c r="BF35" s="4">
        <f>66000+66000+8000</f>
        <v>140000</v>
      </c>
      <c r="BG35" s="6">
        <v>0</v>
      </c>
      <c r="BH35" s="4">
        <v>0</v>
      </c>
      <c r="BI35" s="5">
        <f>155960+483500+224374</f>
        <v>863834</v>
      </c>
      <c r="BJ35" s="5">
        <f>-400-6050-1680-12110</f>
        <v>-20240</v>
      </c>
      <c r="BK35" s="6">
        <f>51000+75240+23900+6000+64600+3168200+202500+1079000+2024000+1279000+2000000+983700+342650+718000+65000+90250+16000+64000+184300+555000+73150</f>
        <v>13065490</v>
      </c>
      <c r="BL35" s="4">
        <v>0</v>
      </c>
      <c r="BM35" s="4">
        <v>0</v>
      </c>
      <c r="BN35" s="4">
        <f>425790+17064</f>
        <v>442854</v>
      </c>
      <c r="BO35" s="4">
        <f>2010000+35000+1080000</f>
        <v>3125000</v>
      </c>
    </row>
    <row r="36" spans="1:67">
      <c r="A36">
        <v>2025</v>
      </c>
      <c r="B36">
        <v>4</v>
      </c>
      <c r="C36">
        <v>39</v>
      </c>
      <c r="D36">
        <v>69</v>
      </c>
      <c r="E36">
        <v>39</v>
      </c>
      <c r="F36">
        <v>73</v>
      </c>
      <c r="G36" s="4">
        <f t="shared" si="0"/>
        <v>80367879</v>
      </c>
      <c r="H36" s="4">
        <f t="shared" si="45"/>
        <v>103864298</v>
      </c>
      <c r="I36" s="4">
        <f t="shared" si="4"/>
        <v>-23496419</v>
      </c>
      <c r="J36" s="4">
        <f t="shared" si="46"/>
        <v>36969778</v>
      </c>
      <c r="K36" s="4">
        <f t="shared" si="5"/>
        <v>77215615</v>
      </c>
      <c r="L36" s="4">
        <f t="shared" si="6"/>
        <v>103864298</v>
      </c>
      <c r="M36" s="4">
        <f t="shared" si="7"/>
        <v>-26648683</v>
      </c>
      <c r="N36" s="4">
        <f t="shared" si="19"/>
        <v>2610000</v>
      </c>
      <c r="O36" s="4">
        <f t="shared" si="9"/>
        <v>0</v>
      </c>
      <c r="P36" s="4">
        <f t="shared" si="47"/>
        <v>76844664</v>
      </c>
      <c r="Q36" s="4">
        <f t="shared" si="48"/>
        <v>91545436</v>
      </c>
      <c r="R36" s="4">
        <f t="shared" si="11"/>
        <v>-14700772</v>
      </c>
      <c r="S36" s="4">
        <f t="shared" si="12"/>
        <v>12965527</v>
      </c>
      <c r="T36" s="4">
        <f t="shared" si="13"/>
        <v>73844664</v>
      </c>
      <c r="U36" s="4">
        <f t="shared" si="14"/>
        <v>91545436</v>
      </c>
      <c r="V36" s="4">
        <f t="shared" si="15"/>
        <v>-17700772</v>
      </c>
      <c r="W36" s="4">
        <v>0</v>
      </c>
      <c r="X36" s="4">
        <f>33671119+1621620+96030+6385190+24870705</f>
        <v>66644664</v>
      </c>
      <c r="Y36" s="4">
        <v>0</v>
      </c>
      <c r="Z36" s="4">
        <f>3000000</f>
        <v>3000000</v>
      </c>
      <c r="AA36" s="4">
        <v>0</v>
      </c>
      <c r="AB36" s="4">
        <f>-30000000-31425000-3000000-6000000-6000000-4000000-16000000+30000000+31425000+3000000+6000000+6000000+4000000+16000000-500000-200000+200000+500000</f>
        <v>0</v>
      </c>
      <c r="AC36" s="4">
        <f>1800000+5400000</f>
        <v>7200000</v>
      </c>
      <c r="AD36" s="4">
        <f>84000</f>
        <v>84000</v>
      </c>
      <c r="AE36" s="4">
        <f>165000+315000+480000</f>
        <v>960000</v>
      </c>
      <c r="AF36" s="4">
        <v>0</v>
      </c>
      <c r="AG36" s="4">
        <v>0</v>
      </c>
      <c r="AH36" s="4">
        <f>550000+2640000+1650000+1100000+550000+1705000+3520000</f>
        <v>11715000</v>
      </c>
      <c r="AI36" s="4">
        <f>2543230+363000+700000+800000+70000+1000000+38936100+4022760+2245510+60000+2000000</f>
        <v>52740600</v>
      </c>
      <c r="AJ36" s="4">
        <f>3198470+1258840+4675616+100000</f>
        <v>9232926</v>
      </c>
      <c r="AK36" s="4">
        <f>6555450</f>
        <v>6555450</v>
      </c>
      <c r="AL36" s="4">
        <f>-1040</f>
        <v>-1040</v>
      </c>
      <c r="AM36" s="4">
        <f>2375470+20500+107050</f>
        <v>2503020</v>
      </c>
      <c r="AN36" s="4">
        <f>120000+77000+440000+2237000+94000+63000</f>
        <v>3031000</v>
      </c>
      <c r="AO36" s="4">
        <v>0</v>
      </c>
      <c r="AP36" s="4">
        <v>0</v>
      </c>
      <c r="AQ36" s="4">
        <v>0</v>
      </c>
      <c r="AR36" s="4">
        <f>200000+32050</f>
        <v>232050</v>
      </c>
      <c r="AS36" s="4">
        <f>281299+2737612</f>
        <v>3018911</v>
      </c>
      <c r="AT36" s="4">
        <f>126632+253287</f>
        <v>379919</v>
      </c>
      <c r="AU36" s="4">
        <v>0</v>
      </c>
      <c r="AV36" s="4">
        <f>35210+252280+250750+33000+160600+23870+113660+224230</f>
        <v>1093600</v>
      </c>
      <c r="AW36" s="4">
        <f t="shared" si="49"/>
        <v>3523215</v>
      </c>
      <c r="AX36" s="4">
        <f t="shared" si="3"/>
        <v>12318862</v>
      </c>
      <c r="AY36" s="4">
        <f t="shared" si="50"/>
        <v>24004251</v>
      </c>
      <c r="AZ36" s="4">
        <f>500000+10000+100000+2000000</f>
        <v>2610000</v>
      </c>
      <c r="BA36" s="4">
        <f>1549560+223521+80000+372370+1289851+397913</f>
        <v>3913215</v>
      </c>
      <c r="BB36" s="4">
        <v>0</v>
      </c>
      <c r="BC36" s="4">
        <f>-3000000</f>
        <v>-3000000</v>
      </c>
      <c r="BD36" s="4">
        <f>3000000-3000000</f>
        <v>0</v>
      </c>
      <c r="BE36" s="4">
        <v>0</v>
      </c>
      <c r="BF36" s="4">
        <f>101592+81672+49000+65000+40000+90000+31000</f>
        <v>458264</v>
      </c>
      <c r="BG36" s="6">
        <v>0</v>
      </c>
      <c r="BH36" s="4">
        <f>180394</f>
        <v>180394</v>
      </c>
      <c r="BI36" s="5">
        <f>580200+2707600+1063700</f>
        <v>4351500</v>
      </c>
      <c r="BJ36" s="5">
        <f>71310</f>
        <v>71310</v>
      </c>
      <c r="BK36" s="4">
        <f>66500+369000+54000+3000000+680000+606000+378000+1183700+361500+550000</f>
        <v>7248700</v>
      </c>
      <c r="BL36" s="4">
        <v>0</v>
      </c>
      <c r="BM36" s="4">
        <v>0</v>
      </c>
      <c r="BN36" s="4">
        <f>8694</f>
        <v>8694</v>
      </c>
      <c r="BO36" s="4">
        <v>0</v>
      </c>
    </row>
    <row r="37" spans="1:67">
      <c r="A37">
        <v>2025</v>
      </c>
      <c r="B37">
        <v>5</v>
      </c>
      <c r="C37">
        <v>40</v>
      </c>
      <c r="D37">
        <v>69</v>
      </c>
      <c r="E37">
        <v>39</v>
      </c>
      <c r="F37">
        <v>62</v>
      </c>
      <c r="G37" s="4">
        <f t="shared" si="0"/>
        <v>106797944</v>
      </c>
      <c r="H37" s="4">
        <f t="shared" si="45"/>
        <v>84483353</v>
      </c>
      <c r="I37" s="4">
        <f t="shared" si="4"/>
        <v>22314591</v>
      </c>
      <c r="J37" s="4">
        <f t="shared" si="46"/>
        <v>59284369</v>
      </c>
      <c r="K37" s="4">
        <f t="shared" si="5"/>
        <v>103573281</v>
      </c>
      <c r="L37" s="4">
        <f t="shared" si="6"/>
        <v>84483353</v>
      </c>
      <c r="M37" s="4">
        <f t="shared" si="7"/>
        <v>19089928</v>
      </c>
      <c r="N37" s="4">
        <f t="shared" si="19"/>
        <v>3000000</v>
      </c>
      <c r="O37" s="4">
        <f t="shared" si="9"/>
        <v>0</v>
      </c>
      <c r="P37" s="4">
        <f t="shared" si="47"/>
        <v>100920813</v>
      </c>
      <c r="Q37" s="4">
        <f t="shared" si="48"/>
        <v>75518285</v>
      </c>
      <c r="R37" s="4">
        <f t="shared" si="11"/>
        <v>25402528</v>
      </c>
      <c r="S37" s="4">
        <f t="shared" si="12"/>
        <v>38368055</v>
      </c>
      <c r="T37" s="4">
        <f t="shared" si="13"/>
        <v>95920813</v>
      </c>
      <c r="U37" s="4">
        <f t="shared" si="14"/>
        <v>75518285</v>
      </c>
      <c r="V37" s="4">
        <f t="shared" si="15"/>
        <v>20402528</v>
      </c>
      <c r="W37" s="4">
        <v>0</v>
      </c>
      <c r="X37" s="4">
        <f>41881356+13726948+40312509</f>
        <v>95920813</v>
      </c>
      <c r="Y37" s="4">
        <v>0</v>
      </c>
      <c r="Z37" s="4">
        <v>5000000</v>
      </c>
      <c r="AA37" s="4">
        <v>0</v>
      </c>
      <c r="AB37" s="4">
        <f>4000000-38000000-4000000-5000000-1000000-11000000-15000000+38000000+4000000+5000000+1000000+11000000+15000000-400000-4000000+400000</f>
        <v>0</v>
      </c>
      <c r="AC37" s="4">
        <v>0</v>
      </c>
      <c r="AD37" s="4">
        <v>0</v>
      </c>
      <c r="AE37" s="4">
        <f>165000</f>
        <v>165000</v>
      </c>
      <c r="AF37" s="4">
        <f>286000</f>
        <v>286000</v>
      </c>
      <c r="AG37" s="4">
        <v>0</v>
      </c>
      <c r="AH37" s="4">
        <f>1320000+720000+600000+1100000+1650000+550000+1705000+3520000+1650000+1100000+550000*2</f>
        <v>15015000</v>
      </c>
      <c r="AI37" s="4">
        <f>543150-435150+60000*2+2420000+55000+37560918+754260+1353800+580200+177283+4643530+363000+453150+1100000+770000+164390+510000</f>
        <v>51133531</v>
      </c>
      <c r="AJ37" s="4">
        <v>0</v>
      </c>
      <c r="AK37" s="4">
        <v>0</v>
      </c>
      <c r="AL37" s="4">
        <v>0</v>
      </c>
      <c r="AM37" s="4">
        <f>2138630+20500+20500</f>
        <v>2179630</v>
      </c>
      <c r="AN37" s="4">
        <f>70000+49600+35000+94000+56000</f>
        <v>304600</v>
      </c>
      <c r="AO37" s="4">
        <v>0</v>
      </c>
      <c r="AP37" s="4">
        <v>0</v>
      </c>
      <c r="AQ37" s="4">
        <v>1100000</v>
      </c>
      <c r="AR37" s="4">
        <v>0</v>
      </c>
      <c r="AS37" s="4">
        <f>1544757+2601664</f>
        <v>4146421</v>
      </c>
      <c r="AT37" s="4">
        <f>120763+282410</f>
        <v>403173</v>
      </c>
      <c r="AU37" s="4">
        <v>0</v>
      </c>
      <c r="AV37" s="4">
        <f>35210+22000+41800+22000+250750+33000+57600+160600+15050+146920</f>
        <v>784930</v>
      </c>
      <c r="AW37" s="4">
        <f t="shared" si="49"/>
        <v>5877131</v>
      </c>
      <c r="AX37" s="4">
        <f t="shared" si="3"/>
        <v>8965068</v>
      </c>
      <c r="AY37" s="4">
        <f t="shared" si="50"/>
        <v>20916314</v>
      </c>
      <c r="AZ37" s="4">
        <f>3000000</f>
        <v>3000000</v>
      </c>
      <c r="BA37" s="4">
        <f>2689081+5781232-968280+375098</f>
        <v>7877131</v>
      </c>
      <c r="BB37" s="4">
        <v>0</v>
      </c>
      <c r="BC37" s="4">
        <f>-5000000</f>
        <v>-5000000</v>
      </c>
      <c r="BD37" s="4">
        <v>0</v>
      </c>
      <c r="BE37" s="4">
        <v>0</v>
      </c>
      <c r="BF37" s="4">
        <f>134798+89865</f>
        <v>224663</v>
      </c>
      <c r="BG37" s="6">
        <v>0</v>
      </c>
      <c r="BH37" s="4">
        <f>174575</f>
        <v>174575</v>
      </c>
      <c r="BI37" s="5">
        <f>-968280+968280+968280+2707600</f>
        <v>3675880</v>
      </c>
      <c r="BJ37" s="5">
        <f>33040</f>
        <v>33040</v>
      </c>
      <c r="BK37" s="4">
        <f>5000+102000+1638000+144400+54150+698000+1110360+239400+184600+165000+516000</f>
        <v>4856910</v>
      </c>
      <c r="BL37" s="4">
        <v>0</v>
      </c>
      <c r="BM37" s="4">
        <v>0</v>
      </c>
      <c r="BN37" s="4">
        <v>0</v>
      </c>
      <c r="BO37" s="4">
        <v>0</v>
      </c>
    </row>
    <row r="38" spans="1:67">
      <c r="A38">
        <v>2025</v>
      </c>
      <c r="B38">
        <v>6</v>
      </c>
      <c r="C38">
        <v>38</v>
      </c>
      <c r="D38">
        <v>57</v>
      </c>
      <c r="E38">
        <v>36</v>
      </c>
      <c r="F38">
        <v>61</v>
      </c>
      <c r="G38" s="4">
        <f t="shared" si="0"/>
        <v>75960396</v>
      </c>
      <c r="H38" s="4">
        <f t="shared" si="45"/>
        <v>91904883</v>
      </c>
      <c r="I38" s="4">
        <f t="shared" si="4"/>
        <v>-15944487</v>
      </c>
      <c r="J38" s="4">
        <f t="shared" si="46"/>
        <v>43339882</v>
      </c>
      <c r="K38" s="4">
        <f t="shared" si="5"/>
        <v>75730396</v>
      </c>
      <c r="L38" s="4">
        <f t="shared" si="6"/>
        <v>91904883</v>
      </c>
      <c r="M38" s="4">
        <f t="shared" si="7"/>
        <v>-16174487</v>
      </c>
      <c r="N38" s="4">
        <f t="shared" si="19"/>
        <v>0</v>
      </c>
      <c r="O38" s="4">
        <f t="shared" si="9"/>
        <v>0</v>
      </c>
      <c r="P38" s="4">
        <f t="shared" si="47"/>
        <v>66950830</v>
      </c>
      <c r="Q38" s="4">
        <f t="shared" si="48"/>
        <v>80521101</v>
      </c>
      <c r="R38" s="4">
        <f t="shared" si="11"/>
        <v>-13570271</v>
      </c>
      <c r="S38" s="4">
        <f t="shared" si="12"/>
        <v>24797784</v>
      </c>
      <c r="T38" s="4">
        <f t="shared" si="13"/>
        <v>66950830</v>
      </c>
      <c r="U38" s="4">
        <f t="shared" si="14"/>
        <v>80521101</v>
      </c>
      <c r="V38" s="4">
        <f t="shared" si="15"/>
        <v>-13570271</v>
      </c>
      <c r="W38" s="4">
        <v>0</v>
      </c>
      <c r="X38" s="4">
        <f>38714231+28228685</f>
        <v>66942916</v>
      </c>
      <c r="Y38" s="4">
        <v>0</v>
      </c>
      <c r="Z38" s="4">
        <v>0</v>
      </c>
      <c r="AA38" s="4">
        <v>0</v>
      </c>
      <c r="AB38" s="4">
        <f>-50000000-5000000-5000000-9000000+50000000+5000000+5000000+9000000</f>
        <v>0</v>
      </c>
      <c r="AC38" s="4">
        <f>4747+2997+74+96</f>
        <v>7914</v>
      </c>
      <c r="AD38" s="4">
        <f>168000+62000</f>
        <v>230000</v>
      </c>
      <c r="AE38" s="4">
        <f>165000+139500</f>
        <v>304500</v>
      </c>
      <c r="AF38" s="4">
        <v>0</v>
      </c>
      <c r="AG38" s="4">
        <f>200000+1800000</f>
        <v>2000000</v>
      </c>
      <c r="AH38" s="4">
        <f>1320000+720000+600000+410000+1705000+3520000</f>
        <v>8275000</v>
      </c>
      <c r="AI38" s="4">
        <f>580200+203070+180000+2420000+46203591+4230250+90750</f>
        <v>53907861</v>
      </c>
      <c r="AJ38" s="4">
        <v>1500000</v>
      </c>
      <c r="AK38" s="4">
        <v>7285410</v>
      </c>
      <c r="AL38" s="4">
        <f>422320</f>
        <v>422320</v>
      </c>
      <c r="AM38" s="4">
        <f>368720+250110+70490</f>
        <v>689320</v>
      </c>
      <c r="AN38" s="4">
        <f>56000+59000</f>
        <v>115000</v>
      </c>
      <c r="AO38" s="4">
        <v>0</v>
      </c>
      <c r="AP38" s="4">
        <v>0</v>
      </c>
      <c r="AQ38" s="4">
        <f>550000+550000</f>
        <v>1100000</v>
      </c>
      <c r="AR38" s="4">
        <v>0</v>
      </c>
      <c r="AS38" s="4">
        <v>3019800</v>
      </c>
      <c r="AT38" s="4">
        <f>118734+244756</f>
        <v>363490</v>
      </c>
      <c r="AU38" s="4">
        <v>0</v>
      </c>
      <c r="AV38" s="4">
        <f>48000+4400+35210+22000+41800+3100+10000+250750+2000+33000+5200+160600+19150+112190+561000</f>
        <v>1308400</v>
      </c>
      <c r="AW38" s="4">
        <f t="shared" si="49"/>
        <v>9009566</v>
      </c>
      <c r="AX38" s="4">
        <f t="shared" si="3"/>
        <v>11383782</v>
      </c>
      <c r="AY38" s="4">
        <f t="shared" si="50"/>
        <v>18542098</v>
      </c>
      <c r="AZ38" s="4">
        <v>0</v>
      </c>
      <c r="BA38" s="4">
        <f>780410-5113+5446868+1550291+1229914</f>
        <v>9002370</v>
      </c>
      <c r="BB38" s="4">
        <v>0</v>
      </c>
      <c r="BC38" s="4">
        <v>0</v>
      </c>
      <c r="BD38" s="4">
        <v>0</v>
      </c>
      <c r="BE38" s="4">
        <f>5113+2083</f>
        <v>7196</v>
      </c>
      <c r="BF38" s="4">
        <v>0</v>
      </c>
      <c r="BG38" s="6">
        <v>0</v>
      </c>
      <c r="BH38" s="4">
        <f>180394</f>
        <v>180394</v>
      </c>
      <c r="BI38" s="5">
        <f>2707600+968280</f>
        <v>3675880</v>
      </c>
      <c r="BJ38" s="5">
        <f>-1173280+30040+3000</f>
        <v>-1140240</v>
      </c>
      <c r="BK38" s="4">
        <f>24000+393000+529000+1500000+376500+64000+648000+1251000+18050+15000+1110000+167960</f>
        <v>6096510</v>
      </c>
      <c r="BL38" s="4">
        <v>0</v>
      </c>
      <c r="BM38" s="4">
        <v>0</v>
      </c>
      <c r="BN38" s="4">
        <f>2571238</f>
        <v>2571238</v>
      </c>
      <c r="BO38" s="4">
        <v>0</v>
      </c>
    </row>
    <row r="39" spans="1:67">
      <c r="A39">
        <v>2025</v>
      </c>
      <c r="B39">
        <v>7</v>
      </c>
      <c r="C39">
        <v>39</v>
      </c>
      <c r="D39">
        <v>57</v>
      </c>
      <c r="E39">
        <v>34</v>
      </c>
      <c r="F39">
        <v>57</v>
      </c>
      <c r="G39" s="4">
        <f t="shared" si="0"/>
        <v>101536006</v>
      </c>
      <c r="H39" s="4">
        <f t="shared" si="45"/>
        <v>98343375</v>
      </c>
      <c r="I39" s="4">
        <f t="shared" si="4"/>
        <v>3192631</v>
      </c>
      <c r="J39" s="4">
        <f t="shared" si="46"/>
        <v>46532513</v>
      </c>
      <c r="K39" s="4">
        <f t="shared" si="5"/>
        <v>99356006</v>
      </c>
      <c r="L39" s="4">
        <f t="shared" si="6"/>
        <v>98343375</v>
      </c>
      <c r="M39" s="4">
        <f t="shared" si="7"/>
        <v>1012631</v>
      </c>
      <c r="N39" s="4">
        <f t="shared" si="19"/>
        <v>2000000</v>
      </c>
      <c r="O39" s="4">
        <f t="shared" si="9"/>
        <v>0</v>
      </c>
      <c r="P39" s="4">
        <f t="shared" si="47"/>
        <v>100313568</v>
      </c>
      <c r="Q39" s="4">
        <f t="shared" si="48"/>
        <v>89848002</v>
      </c>
      <c r="R39" s="4">
        <f t="shared" si="11"/>
        <v>10465566</v>
      </c>
      <c r="S39" s="4">
        <f t="shared" si="12"/>
        <v>35263350</v>
      </c>
      <c r="T39" s="4">
        <f t="shared" si="13"/>
        <v>94313568</v>
      </c>
      <c r="U39" s="4">
        <f t="shared" si="14"/>
        <v>89848002</v>
      </c>
      <c r="V39" s="4">
        <f t="shared" si="15"/>
        <v>4465566</v>
      </c>
      <c r="W39" s="4">
        <v>0</v>
      </c>
      <c r="X39" s="4">
        <f>46656995+1769130+10200158+14213155+19674130</f>
        <v>92513568</v>
      </c>
      <c r="Y39" s="4">
        <f>2500000+1500000+2000000</f>
        <v>6000000</v>
      </c>
      <c r="Z39" s="4">
        <v>0</v>
      </c>
      <c r="AA39" s="4">
        <v>0</v>
      </c>
      <c r="AB39" s="4">
        <f>5000000-36000000-30000000-3000000-1800000-1400000-2000000-4000000-6000000-15000000+36000000+30000000+3000000+1800000+1400000+2000000+4000000+6000000+15000000-300000-300000-5000000+300000*2</f>
        <v>0</v>
      </c>
      <c r="AC39" s="4">
        <f>1800000</f>
        <v>1800000</v>
      </c>
      <c r="AD39" s="4">
        <f>180000</f>
        <v>180000</v>
      </c>
      <c r="AE39" s="4">
        <f>165000+110000</f>
        <v>275000</v>
      </c>
      <c r="AF39" s="4">
        <v>0</v>
      </c>
      <c r="AG39" s="4">
        <v>0</v>
      </c>
      <c r="AH39" s="4">
        <f>1650000+1100000+1320000+720000+600000+550000+550000+550000+1705000+3520000</f>
        <v>12265000</v>
      </c>
      <c r="AI39" s="4">
        <f>2475000+1284260+46622460+4199090+2400000+770000+272250</f>
        <v>58023060</v>
      </c>
      <c r="AJ39" s="4">
        <v>0</v>
      </c>
      <c r="AK39" s="4">
        <f>6549950</f>
        <v>6549950</v>
      </c>
      <c r="AL39" s="4">
        <f>1080890+12000</f>
        <v>1092890</v>
      </c>
      <c r="AM39" s="4">
        <f>13900+20500+4940+3678950+2120910</f>
        <v>5839200</v>
      </c>
      <c r="AN39" s="4">
        <v>0</v>
      </c>
      <c r="AO39" s="4">
        <v>0</v>
      </c>
      <c r="AP39" s="4">
        <v>0</v>
      </c>
      <c r="AQ39" s="4">
        <f>550000</f>
        <v>550000</v>
      </c>
      <c r="AR39" s="4">
        <v>0</v>
      </c>
      <c r="AS39" s="4">
        <f>2773640</f>
        <v>2773640</v>
      </c>
      <c r="AT39" s="4">
        <f>114904+326738</f>
        <v>441642</v>
      </c>
      <c r="AU39" s="4">
        <v>0</v>
      </c>
      <c r="AV39" s="4">
        <f>35210+63800+39200+385000*3+250750+33000+160600+11640+108420</f>
        <v>1857620</v>
      </c>
      <c r="AW39" s="4">
        <f t="shared" si="49"/>
        <v>1222438</v>
      </c>
      <c r="AX39" s="4">
        <f t="shared" si="3"/>
        <v>8495373</v>
      </c>
      <c r="AY39" s="4">
        <f t="shared" si="50"/>
        <v>11269163</v>
      </c>
      <c r="AZ39" s="4">
        <f>-2000000-2000000</f>
        <v>-4000000</v>
      </c>
      <c r="BA39" s="4">
        <f>4855501+366937</f>
        <v>5222438</v>
      </c>
      <c r="BB39" s="4">
        <v>0</v>
      </c>
      <c r="BC39" s="4">
        <v>0</v>
      </c>
      <c r="BD39" s="4">
        <v>0</v>
      </c>
      <c r="BE39" s="4">
        <v>0</v>
      </c>
      <c r="BF39" s="4">
        <v>0</v>
      </c>
      <c r="BG39" s="6">
        <v>0</v>
      </c>
      <c r="BH39" s="4">
        <f>160767</f>
        <v>160767</v>
      </c>
      <c r="BI39" s="4">
        <v>0</v>
      </c>
      <c r="BJ39" s="4">
        <v>0</v>
      </c>
      <c r="BK39" s="4">
        <f>492000+125000+1813500+175500+1000000+648000+64000+40500+555000+730500+292500+225000</f>
        <v>6161500</v>
      </c>
      <c r="BL39" s="4">
        <v>0</v>
      </c>
      <c r="BM39" s="4">
        <v>0</v>
      </c>
      <c r="BN39" s="4">
        <f>2135680</f>
        <v>2135680</v>
      </c>
      <c r="BO39" s="4">
        <f>28070+9356</f>
        <v>37426</v>
      </c>
    </row>
    <row r="40" spans="1:67">
      <c r="A40">
        <v>2025</v>
      </c>
      <c r="B40">
        <v>8</v>
      </c>
      <c r="C40">
        <v>39</v>
      </c>
      <c r="D40">
        <v>57</v>
      </c>
      <c r="E40">
        <v>32</v>
      </c>
      <c r="F40">
        <v>49</v>
      </c>
      <c r="G40" s="4">
        <f t="shared" si="0"/>
        <v>69060888</v>
      </c>
      <c r="H40" s="4">
        <f t="shared" si="45"/>
        <v>96131041</v>
      </c>
      <c r="I40" s="4">
        <f t="shared" si="4"/>
        <v>-27070153</v>
      </c>
      <c r="J40" s="4">
        <f t="shared" si="46"/>
        <v>19462360</v>
      </c>
      <c r="K40" s="4">
        <f t="shared" si="5"/>
        <v>65419266</v>
      </c>
      <c r="L40" s="4">
        <f t="shared" si="6"/>
        <v>96131041</v>
      </c>
      <c r="M40" s="4">
        <f t="shared" si="7"/>
        <v>-30711775</v>
      </c>
      <c r="N40" s="4">
        <f t="shared" si="19"/>
        <v>1400000</v>
      </c>
      <c r="O40" s="4">
        <f t="shared" si="9"/>
        <v>0</v>
      </c>
      <c r="P40" s="4">
        <f t="shared" si="47"/>
        <v>67831315</v>
      </c>
      <c r="Q40" s="4">
        <f t="shared" si="48"/>
        <v>89542535</v>
      </c>
      <c r="R40" s="4">
        <f t="shared" si="11"/>
        <v>-21711220</v>
      </c>
      <c r="S40" s="4">
        <f t="shared" si="12"/>
        <v>13552130</v>
      </c>
      <c r="T40" s="4">
        <f t="shared" si="13"/>
        <v>60681315</v>
      </c>
      <c r="U40" s="4">
        <f t="shared" si="14"/>
        <v>89542535</v>
      </c>
      <c r="V40" s="4">
        <f t="shared" si="15"/>
        <v>-28861220</v>
      </c>
      <c r="W40" s="4">
        <v>0</v>
      </c>
      <c r="X40" s="4">
        <f>20804916+14744017+25132382</f>
        <v>60681315</v>
      </c>
      <c r="Y40" s="4">
        <f>2000000</f>
        <v>2000000</v>
      </c>
      <c r="Z40" s="4">
        <f>5000000+150000</f>
        <v>5150000</v>
      </c>
      <c r="AA40" s="4">
        <v>0</v>
      </c>
      <c r="AB40" s="4">
        <f>-43000000-2600000-5000000-5000000-10000000-1000000-5000000-9000000+43000000+2600000+5000000+5000000+10000000+1000000+5000000+9000000</f>
        <v>0</v>
      </c>
      <c r="AC40" s="4">
        <v>0</v>
      </c>
      <c r="AD40" s="4">
        <f>63000+35000+322000+800000+206440+94000+99920+208000</f>
        <v>1828360</v>
      </c>
      <c r="AE40" s="4">
        <f>165000+110000</f>
        <v>275000</v>
      </c>
      <c r="AF40" s="4">
        <v>0</v>
      </c>
      <c r="AG40" s="4">
        <v>0</v>
      </c>
      <c r="AH40" s="4">
        <f>410000+1100000+1100000+3300000+1705000+1320000+720000+600000+1100000+3520000</f>
        <v>14875000</v>
      </c>
      <c r="AI40" s="4">
        <f>52877037+1133000+869399+1424887</f>
        <v>56304323</v>
      </c>
      <c r="AJ40" s="4">
        <v>0</v>
      </c>
      <c r="AK40" s="4">
        <f>6345240</f>
        <v>6345240</v>
      </c>
      <c r="AL40" s="4">
        <f>1105010+16000+282250</f>
        <v>1403260</v>
      </c>
      <c r="AM40" s="4">
        <f>87240+41000+1920+2286720+8660</f>
        <v>2425540</v>
      </c>
      <c r="AN40" s="4">
        <f>-63000</f>
        <v>-63000</v>
      </c>
      <c r="AO40" s="4">
        <v>0</v>
      </c>
      <c r="AP40" s="4">
        <v>0</v>
      </c>
      <c r="AQ40" s="4">
        <f>550000</f>
        <v>550000</v>
      </c>
      <c r="AR40" s="4">
        <v>0</v>
      </c>
      <c r="AS40" s="4">
        <f>2513722+2046884</f>
        <v>4560606</v>
      </c>
      <c r="AT40" s="4">
        <f>117698+274838</f>
        <v>392536</v>
      </c>
      <c r="AU40" s="4">
        <v>0</v>
      </c>
      <c r="AV40" s="4">
        <f>35210+63800+250750+33000+160600+18100+84210</f>
        <v>645670</v>
      </c>
      <c r="AW40" s="4">
        <f t="shared" si="49"/>
        <v>1229573</v>
      </c>
      <c r="AX40" s="4">
        <f t="shared" si="3"/>
        <v>6588506</v>
      </c>
      <c r="AY40" s="4">
        <f t="shared" si="50"/>
        <v>5910230</v>
      </c>
      <c r="AZ40" s="4">
        <f>2000000-4000000+1000000+400000</f>
        <v>-600000</v>
      </c>
      <c r="BA40" s="4">
        <f>635300+914569+603123+2087791+94000+99920+4151870-1757000</f>
        <v>6829573</v>
      </c>
      <c r="BB40" s="4">
        <v>0</v>
      </c>
      <c r="BC40" s="4">
        <f>-5000000</f>
        <v>-5000000</v>
      </c>
      <c r="BD40" s="4">
        <v>0</v>
      </c>
      <c r="BE40" s="4">
        <v>0</v>
      </c>
      <c r="BF40" s="4">
        <f>11000+73704+150000+28558</f>
        <v>263262</v>
      </c>
      <c r="BG40" s="6">
        <v>0</v>
      </c>
      <c r="BH40" s="4">
        <f>166126</f>
        <v>166126</v>
      </c>
      <c r="BI40" s="4">
        <v>0</v>
      </c>
      <c r="BJ40" s="4">
        <f>55000</f>
        <v>55000</v>
      </c>
      <c r="BK40" s="5">
        <f>54150+18050+436000+1669150+64000+64000+551000+338000</f>
        <v>3194350</v>
      </c>
      <c r="BL40" s="4">
        <v>0</v>
      </c>
      <c r="BM40" s="4">
        <v>0</v>
      </c>
      <c r="BN40" s="4">
        <f>1085840+1823928</f>
        <v>2909768</v>
      </c>
      <c r="BO40" s="4">
        <v>0</v>
      </c>
    </row>
    <row r="41" spans="1:67">
      <c r="A41">
        <v>2025</v>
      </c>
      <c r="B41">
        <v>9</v>
      </c>
      <c r="C41">
        <v>34</v>
      </c>
      <c r="D41">
        <v>60</v>
      </c>
      <c r="E41">
        <v>30</v>
      </c>
      <c r="F41">
        <v>48</v>
      </c>
      <c r="BG41" s="6"/>
    </row>
    <row r="42" spans="1:67">
      <c r="BG42" s="6"/>
    </row>
    <row r="43" spans="1:67">
      <c r="BG43" s="6"/>
    </row>
    <row r="44" spans="1:67">
      <c r="BG44" s="6"/>
    </row>
    <row r="46" spans="1:67">
      <c r="P46" s="4">
        <v>52861798</v>
      </c>
      <c r="Q46" s="4">
        <v>60235000</v>
      </c>
      <c r="S46" s="7">
        <v>5346645</v>
      </c>
      <c r="T46" s="12"/>
      <c r="U46" s="12"/>
      <c r="V46" s="12"/>
      <c r="W46" s="4">
        <v>11466424</v>
      </c>
      <c r="AY46" s="7">
        <v>5299642</v>
      </c>
    </row>
    <row r="47" spans="1:67">
      <c r="P47" s="4">
        <v>82610000</v>
      </c>
      <c r="Q47" s="4">
        <v>82968758</v>
      </c>
      <c r="S47" s="7">
        <v>8082232</v>
      </c>
      <c r="T47" s="12"/>
      <c r="U47" s="12"/>
      <c r="V47" s="12"/>
      <c r="W47" s="4">
        <v>4384843</v>
      </c>
      <c r="AY47" s="8">
        <v>610588</v>
      </c>
    </row>
    <row r="48" spans="1:67" ht="17">
      <c r="P48" s="9">
        <v>100000</v>
      </c>
      <c r="Q48" s="9">
        <v>97422</v>
      </c>
      <c r="R48" s="9"/>
      <c r="S48" s="9">
        <v>117417</v>
      </c>
      <c r="T48" s="13"/>
      <c r="U48" s="13"/>
      <c r="V48" s="13"/>
      <c r="Y48" s="4">
        <f>SUM(Y2:Y40)+SUM(AZ2:AZ40)</f>
        <v>16704705</v>
      </c>
      <c r="Z48" s="4">
        <f>SUM(Z2:Z40)+SUM(BC2:BC40)</f>
        <v>150000</v>
      </c>
      <c r="AY48" s="4">
        <f>AY46+AY47</f>
        <v>5910230</v>
      </c>
    </row>
    <row r="49" spans="19:51">
      <c r="S49" s="4">
        <v>0</v>
      </c>
      <c r="AY49" s="4">
        <f>AY48-AY40</f>
        <v>0</v>
      </c>
    </row>
    <row r="50" spans="19:51" ht="17">
      <c r="S50" s="10">
        <v>5836</v>
      </c>
      <c r="T50" s="14"/>
      <c r="U50" s="14"/>
      <c r="V50" s="14"/>
    </row>
    <row r="51" spans="19:51" ht="17">
      <c r="S51" s="11">
        <v>0</v>
      </c>
      <c r="T51" s="15"/>
      <c r="U51" s="15"/>
      <c r="V51" s="15"/>
    </row>
    <row r="53" spans="19:51">
      <c r="S53" s="4">
        <f>SUM(S46:S51)</f>
        <v>13552130</v>
      </c>
    </row>
    <row r="54" spans="19:51">
      <c r="S54" s="4">
        <f>S53-S40</f>
        <v>0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DE599-8379-4E0A-A653-7E23B0D57016}">
  <dimension ref="A1:JE65"/>
  <sheetViews>
    <sheetView tabSelected="1" topLeftCell="IO1" zoomScaleNormal="115" workbookViewId="0">
      <selection activeCell="JC19" sqref="JC19"/>
    </sheetView>
  </sheetViews>
  <sheetFormatPr baseColWidth="10" defaultColWidth="8.83203125" defaultRowHeight="16"/>
  <cols>
    <col min="1" max="1" width="11.5"/>
    <col min="2" max="2" width="14.5" bestFit="1" customWidth="1"/>
    <col min="3" max="13" width="11.5"/>
    <col min="14" max="14" width="14.5" bestFit="1" customWidth="1"/>
    <col min="15" max="25" width="11.5"/>
    <col min="26" max="26" width="14.5" bestFit="1" customWidth="1"/>
    <col min="27" max="35" width="11.5"/>
    <col min="37" max="37" width="11.5"/>
    <col min="38" max="38" width="14.5" bestFit="1" customWidth="1"/>
    <col min="39" max="47" width="11.5"/>
    <col min="49" max="49" width="11.5"/>
    <col min="50" max="50" width="14.5" bestFit="1" customWidth="1"/>
    <col min="51" max="59" width="11.5"/>
    <col min="61" max="61" width="11.5"/>
    <col min="62" max="62" width="14.5" bestFit="1" customWidth="1"/>
    <col min="63" max="71" width="11.5"/>
    <col min="73" max="73" width="11.5"/>
    <col min="74" max="74" width="14.5" bestFit="1" customWidth="1"/>
    <col min="75" max="83" width="11.5"/>
    <col min="85" max="85" width="11.5"/>
    <col min="86" max="86" width="14.5" bestFit="1" customWidth="1"/>
    <col min="87" max="95" width="11.5"/>
    <col min="98" max="98" width="14.5" bestFit="1" customWidth="1"/>
    <col min="110" max="110" width="14.5" bestFit="1" customWidth="1"/>
    <col min="122" max="122" width="14.5" bestFit="1" customWidth="1"/>
    <col min="134" max="134" width="14.5" bestFit="1" customWidth="1"/>
    <col min="146" max="146" width="14.5" bestFit="1" customWidth="1"/>
    <col min="158" max="158" width="14.5" bestFit="1" customWidth="1"/>
    <col min="170" max="170" width="14.5" bestFit="1" customWidth="1"/>
    <col min="182" max="182" width="14.5" bestFit="1" customWidth="1"/>
    <col min="194" max="194" width="14.5" bestFit="1" customWidth="1"/>
    <col min="206" max="206" width="14.5" bestFit="1" customWidth="1"/>
    <col min="218" max="218" width="14.5" bestFit="1" customWidth="1"/>
    <col min="230" max="230" width="14.5" bestFit="1" customWidth="1"/>
    <col min="242" max="242" width="14.5" bestFit="1" customWidth="1"/>
    <col min="254" max="254" width="14.5" bestFit="1" customWidth="1"/>
  </cols>
  <sheetData>
    <row r="1" spans="1:265">
      <c r="B1" t="s">
        <v>0</v>
      </c>
      <c r="C1" t="s">
        <v>4</v>
      </c>
      <c r="D1" t="s">
        <v>3</v>
      </c>
      <c r="E1" t="s">
        <v>2</v>
      </c>
      <c r="F1" t="s">
        <v>5</v>
      </c>
      <c r="G1" t="s">
        <v>25</v>
      </c>
      <c r="H1" t="s">
        <v>26</v>
      </c>
      <c r="I1" t="s">
        <v>6</v>
      </c>
      <c r="J1" t="s">
        <v>7</v>
      </c>
      <c r="K1" t="s">
        <v>12</v>
      </c>
      <c r="N1" t="s">
        <v>0</v>
      </c>
      <c r="O1" t="s">
        <v>4</v>
      </c>
      <c r="P1" t="s">
        <v>3</v>
      </c>
      <c r="Q1" t="s">
        <v>2</v>
      </c>
      <c r="R1" t="s">
        <v>5</v>
      </c>
      <c r="S1" t="s">
        <v>25</v>
      </c>
      <c r="T1" t="s">
        <v>26</v>
      </c>
      <c r="U1" t="s">
        <v>6</v>
      </c>
      <c r="V1" t="s">
        <v>7</v>
      </c>
      <c r="W1" t="s">
        <v>12</v>
      </c>
      <c r="Z1" t="s">
        <v>0</v>
      </c>
      <c r="AA1" t="s">
        <v>4</v>
      </c>
      <c r="AB1" t="s">
        <v>3</v>
      </c>
      <c r="AC1" t="s">
        <v>2</v>
      </c>
      <c r="AD1" t="s">
        <v>5</v>
      </c>
      <c r="AE1" t="s">
        <v>25</v>
      </c>
      <c r="AF1" t="s">
        <v>26</v>
      </c>
      <c r="AG1" t="s">
        <v>6</v>
      </c>
      <c r="AH1" t="s">
        <v>7</v>
      </c>
      <c r="AI1" t="s">
        <v>12</v>
      </c>
      <c r="AL1" t="s">
        <v>0</v>
      </c>
      <c r="AM1" t="s">
        <v>4</v>
      </c>
      <c r="AN1" t="s">
        <v>3</v>
      </c>
      <c r="AO1" t="s">
        <v>2</v>
      </c>
      <c r="AP1" t="s">
        <v>5</v>
      </c>
      <c r="AQ1" t="s">
        <v>25</v>
      </c>
      <c r="AR1" t="s">
        <v>26</v>
      </c>
      <c r="AS1" t="s">
        <v>6</v>
      </c>
      <c r="AT1" t="s">
        <v>7</v>
      </c>
      <c r="AU1" t="s">
        <v>12</v>
      </c>
      <c r="AX1" t="s">
        <v>0</v>
      </c>
      <c r="AY1" t="s">
        <v>4</v>
      </c>
      <c r="AZ1" t="s">
        <v>3</v>
      </c>
      <c r="BA1" t="s">
        <v>2</v>
      </c>
      <c r="BB1" t="s">
        <v>5</v>
      </c>
      <c r="BC1" t="s">
        <v>25</v>
      </c>
      <c r="BD1" t="s">
        <v>26</v>
      </c>
      <c r="BE1" t="s">
        <v>6</v>
      </c>
      <c r="BF1" t="s">
        <v>7</v>
      </c>
      <c r="BG1" t="s">
        <v>12</v>
      </c>
      <c r="BJ1" t="s">
        <v>0</v>
      </c>
      <c r="BK1" t="s">
        <v>4</v>
      </c>
      <c r="BL1" t="s">
        <v>3</v>
      </c>
      <c r="BM1" t="s">
        <v>2</v>
      </c>
      <c r="BN1" t="s">
        <v>5</v>
      </c>
      <c r="BO1" t="s">
        <v>25</v>
      </c>
      <c r="BP1" t="s">
        <v>26</v>
      </c>
      <c r="BQ1" t="s">
        <v>6</v>
      </c>
      <c r="BR1" t="s">
        <v>7</v>
      </c>
      <c r="BS1" t="s">
        <v>12</v>
      </c>
      <c r="BV1" t="s">
        <v>0</v>
      </c>
      <c r="BW1" t="s">
        <v>4</v>
      </c>
      <c r="BX1" t="s">
        <v>3</v>
      </c>
      <c r="BY1" t="s">
        <v>2</v>
      </c>
      <c r="BZ1" t="s">
        <v>5</v>
      </c>
      <c r="CA1" t="s">
        <v>25</v>
      </c>
      <c r="CB1" t="s">
        <v>26</v>
      </c>
      <c r="CC1" t="s">
        <v>6</v>
      </c>
      <c r="CD1" t="s">
        <v>7</v>
      </c>
      <c r="CE1" t="s">
        <v>12</v>
      </c>
      <c r="CG1" t="s">
        <v>81</v>
      </c>
      <c r="CH1" t="s">
        <v>0</v>
      </c>
      <c r="CI1" t="s">
        <v>4</v>
      </c>
      <c r="CJ1" t="s">
        <v>3</v>
      </c>
      <c r="CK1" t="s">
        <v>2</v>
      </c>
      <c r="CL1" t="s">
        <v>5</v>
      </c>
      <c r="CM1" t="s">
        <v>25</v>
      </c>
      <c r="CN1" t="s">
        <v>26</v>
      </c>
      <c r="CO1" t="s">
        <v>6</v>
      </c>
      <c r="CP1" t="s">
        <v>7</v>
      </c>
      <c r="CQ1" t="s">
        <v>12</v>
      </c>
      <c r="CS1" t="s">
        <v>81</v>
      </c>
      <c r="CT1" t="s">
        <v>0</v>
      </c>
      <c r="CU1" t="s">
        <v>4</v>
      </c>
      <c r="CV1" t="s">
        <v>3</v>
      </c>
      <c r="CW1" t="s">
        <v>2</v>
      </c>
      <c r="CX1" t="s">
        <v>5</v>
      </c>
      <c r="CY1" t="s">
        <v>25</v>
      </c>
      <c r="CZ1" t="s">
        <v>26</v>
      </c>
      <c r="DA1" t="s">
        <v>6</v>
      </c>
      <c r="DB1" t="s">
        <v>7</v>
      </c>
      <c r="DC1" t="s">
        <v>12</v>
      </c>
      <c r="DE1" t="s">
        <v>81</v>
      </c>
      <c r="DF1" t="s">
        <v>0</v>
      </c>
      <c r="DG1" t="s">
        <v>4</v>
      </c>
      <c r="DH1" t="s">
        <v>3</v>
      </c>
      <c r="DI1" t="s">
        <v>2</v>
      </c>
      <c r="DJ1" t="s">
        <v>5</v>
      </c>
      <c r="DK1" t="s">
        <v>25</v>
      </c>
      <c r="DL1" t="s">
        <v>26</v>
      </c>
      <c r="DM1" t="s">
        <v>6</v>
      </c>
      <c r="DN1" t="s">
        <v>7</v>
      </c>
      <c r="DO1" t="s">
        <v>12</v>
      </c>
      <c r="DQ1">
        <v>207</v>
      </c>
      <c r="DR1" t="s">
        <v>0</v>
      </c>
      <c r="DS1" t="s">
        <v>4</v>
      </c>
      <c r="DT1" t="s">
        <v>3</v>
      </c>
      <c r="DU1" t="s">
        <v>2</v>
      </c>
      <c r="DV1" t="s">
        <v>5</v>
      </c>
      <c r="DW1" t="s">
        <v>25</v>
      </c>
      <c r="DX1" t="s">
        <v>26</v>
      </c>
      <c r="DY1" t="s">
        <v>6</v>
      </c>
      <c r="DZ1" t="s">
        <v>7</v>
      </c>
      <c r="EA1" t="s">
        <v>12</v>
      </c>
      <c r="EC1">
        <v>207</v>
      </c>
      <c r="ED1" t="s">
        <v>0</v>
      </c>
      <c r="EE1" t="s">
        <v>4</v>
      </c>
      <c r="EF1" t="s">
        <v>3</v>
      </c>
      <c r="EG1" t="s">
        <v>2</v>
      </c>
      <c r="EH1" t="s">
        <v>5</v>
      </c>
      <c r="EI1" t="s">
        <v>25</v>
      </c>
      <c r="EJ1" t="s">
        <v>26</v>
      </c>
      <c r="EK1" t="s">
        <v>6</v>
      </c>
      <c r="EL1" t="s">
        <v>7</v>
      </c>
      <c r="EM1" t="s">
        <v>12</v>
      </c>
      <c r="EP1" t="s">
        <v>0</v>
      </c>
      <c r="EQ1" t="s">
        <v>4</v>
      </c>
      <c r="ER1" t="s">
        <v>3</v>
      </c>
      <c r="ES1" t="s">
        <v>2</v>
      </c>
      <c r="ET1" t="s">
        <v>5</v>
      </c>
      <c r="EU1" t="s">
        <v>25</v>
      </c>
      <c r="EV1" t="s">
        <v>26</v>
      </c>
      <c r="EW1" t="s">
        <v>6</v>
      </c>
      <c r="EX1" t="s">
        <v>7</v>
      </c>
      <c r="EY1" t="s">
        <v>12</v>
      </c>
      <c r="FB1" t="s">
        <v>0</v>
      </c>
      <c r="FC1" t="s">
        <v>4</v>
      </c>
      <c r="FD1" t="s">
        <v>3</v>
      </c>
      <c r="FE1" t="s">
        <v>2</v>
      </c>
      <c r="FF1" t="s">
        <v>5</v>
      </c>
      <c r="FG1" t="s">
        <v>25</v>
      </c>
      <c r="FH1" t="s">
        <v>26</v>
      </c>
      <c r="FI1" t="s">
        <v>6</v>
      </c>
      <c r="FJ1" t="s">
        <v>7</v>
      </c>
      <c r="FK1" t="s">
        <v>12</v>
      </c>
      <c r="FN1" t="s">
        <v>0</v>
      </c>
      <c r="FO1" t="s">
        <v>4</v>
      </c>
      <c r="FP1" t="s">
        <v>3</v>
      </c>
      <c r="FQ1" t="s">
        <v>2</v>
      </c>
      <c r="FR1" t="s">
        <v>5</v>
      </c>
      <c r="FS1" t="s">
        <v>25</v>
      </c>
      <c r="FT1" t="s">
        <v>26</v>
      </c>
      <c r="FU1" t="s">
        <v>6</v>
      </c>
      <c r="FV1" t="s">
        <v>7</v>
      </c>
      <c r="FW1" t="s">
        <v>12</v>
      </c>
      <c r="FZ1" t="s">
        <v>0</v>
      </c>
      <c r="GA1" t="s">
        <v>4</v>
      </c>
      <c r="GB1" t="s">
        <v>3</v>
      </c>
      <c r="GC1" t="s">
        <v>2</v>
      </c>
      <c r="GD1" t="s">
        <v>5</v>
      </c>
      <c r="GE1" t="s">
        <v>25</v>
      </c>
      <c r="GF1" t="s">
        <v>26</v>
      </c>
      <c r="GG1" t="s">
        <v>6</v>
      </c>
      <c r="GH1" t="s">
        <v>7</v>
      </c>
      <c r="GI1" t="s">
        <v>12</v>
      </c>
      <c r="GL1" t="s">
        <v>0</v>
      </c>
      <c r="GM1" t="s">
        <v>4</v>
      </c>
      <c r="GN1" t="s">
        <v>3</v>
      </c>
      <c r="GO1" t="s">
        <v>2</v>
      </c>
      <c r="GP1" t="s">
        <v>5</v>
      </c>
      <c r="GQ1" t="s">
        <v>25</v>
      </c>
      <c r="GR1" t="s">
        <v>26</v>
      </c>
      <c r="GS1" t="s">
        <v>6</v>
      </c>
      <c r="GT1" t="s">
        <v>7</v>
      </c>
      <c r="GU1" t="s">
        <v>12</v>
      </c>
      <c r="GX1" t="s">
        <v>0</v>
      </c>
      <c r="GY1" t="s">
        <v>4</v>
      </c>
      <c r="GZ1" t="s">
        <v>3</v>
      </c>
      <c r="HA1" t="s">
        <v>2</v>
      </c>
      <c r="HB1" t="s">
        <v>5</v>
      </c>
      <c r="HC1" t="s">
        <v>25</v>
      </c>
      <c r="HD1" t="s">
        <v>26</v>
      </c>
      <c r="HE1" t="s">
        <v>6</v>
      </c>
      <c r="HF1" t="s">
        <v>7</v>
      </c>
      <c r="HG1" t="s">
        <v>12</v>
      </c>
      <c r="HJ1" t="s">
        <v>0</v>
      </c>
      <c r="HK1" t="s">
        <v>4</v>
      </c>
      <c r="HL1" t="s">
        <v>3</v>
      </c>
      <c r="HM1" t="s">
        <v>2</v>
      </c>
      <c r="HN1" t="s">
        <v>5</v>
      </c>
      <c r="HO1" t="s">
        <v>25</v>
      </c>
      <c r="HP1" t="s">
        <v>26</v>
      </c>
      <c r="HQ1" t="s">
        <v>6</v>
      </c>
      <c r="HR1" t="s">
        <v>7</v>
      </c>
      <c r="HS1" t="s">
        <v>12</v>
      </c>
      <c r="HV1" t="s">
        <v>0</v>
      </c>
      <c r="HW1" t="s">
        <v>4</v>
      </c>
      <c r="HX1" t="s">
        <v>3</v>
      </c>
      <c r="HY1" t="s">
        <v>2</v>
      </c>
      <c r="HZ1" t="s">
        <v>5</v>
      </c>
      <c r="IA1" t="s">
        <v>25</v>
      </c>
      <c r="IB1" t="s">
        <v>26</v>
      </c>
      <c r="IC1" t="s">
        <v>6</v>
      </c>
      <c r="ID1" t="s">
        <v>7</v>
      </c>
      <c r="IE1" t="s">
        <v>12</v>
      </c>
      <c r="IH1" t="s">
        <v>0</v>
      </c>
      <c r="II1" t="s">
        <v>4</v>
      </c>
      <c r="IJ1" t="s">
        <v>3</v>
      </c>
      <c r="IK1" t="s">
        <v>2</v>
      </c>
      <c r="IL1" t="s">
        <v>5</v>
      </c>
      <c r="IM1" t="s">
        <v>25</v>
      </c>
      <c r="IN1" t="s">
        <v>26</v>
      </c>
      <c r="IO1" t="s">
        <v>6</v>
      </c>
      <c r="IP1" t="s">
        <v>7</v>
      </c>
      <c r="IQ1" t="s">
        <v>12</v>
      </c>
      <c r="IT1" t="s">
        <v>0</v>
      </c>
      <c r="IU1" t="s">
        <v>4</v>
      </c>
      <c r="IV1" t="s">
        <v>3</v>
      </c>
      <c r="IW1" t="s">
        <v>2</v>
      </c>
      <c r="IX1" t="s">
        <v>5</v>
      </c>
      <c r="IY1" t="s">
        <v>25</v>
      </c>
      <c r="IZ1" t="s">
        <v>26</v>
      </c>
      <c r="JA1" t="s">
        <v>6</v>
      </c>
      <c r="JB1" t="s">
        <v>7</v>
      </c>
      <c r="JC1" t="s">
        <v>12</v>
      </c>
      <c r="JE1" t="s">
        <v>190</v>
      </c>
    </row>
    <row r="2" spans="1:265">
      <c r="A2">
        <v>2024.03</v>
      </c>
      <c r="B2" t="s">
        <v>1</v>
      </c>
      <c r="C2" s="1" t="s">
        <v>34</v>
      </c>
      <c r="D2">
        <v>4</v>
      </c>
      <c r="E2">
        <f t="shared" ref="E2:E7" si="0">122*0.9</f>
        <v>109.8</v>
      </c>
      <c r="F2">
        <v>6</v>
      </c>
      <c r="I2">
        <v>0.77249999999999996</v>
      </c>
      <c r="J2">
        <v>15</v>
      </c>
      <c r="K2">
        <f t="shared" ref="K2:K7" si="1">SUM(E2:J2)*D2</f>
        <v>526.29</v>
      </c>
      <c r="M2">
        <v>2024.04</v>
      </c>
      <c r="N2" t="s">
        <v>1</v>
      </c>
      <c r="O2" s="1" t="s">
        <v>34</v>
      </c>
      <c r="P2">
        <v>4</v>
      </c>
      <c r="Q2">
        <f>122*0.9</f>
        <v>109.8</v>
      </c>
      <c r="R2">
        <v>6</v>
      </c>
      <c r="U2">
        <v>0.77249999999999996</v>
      </c>
      <c r="V2">
        <v>15</v>
      </c>
      <c r="W2">
        <f t="shared" ref="W2:W7" si="2">SUM(Q2:V2)*P2</f>
        <v>526.29</v>
      </c>
      <c r="Y2">
        <v>2024.05</v>
      </c>
      <c r="Z2" t="s">
        <v>1</v>
      </c>
      <c r="AA2" s="1" t="s">
        <v>34</v>
      </c>
      <c r="AB2">
        <v>5</v>
      </c>
      <c r="AC2">
        <f>122*0.9</f>
        <v>109.8</v>
      </c>
      <c r="AD2">
        <v>6</v>
      </c>
      <c r="AG2">
        <v>0.77249999999999996</v>
      </c>
      <c r="AH2">
        <v>15</v>
      </c>
      <c r="AI2">
        <f t="shared" ref="AI2:AI7" si="3">SUM(AC2:AH2)*AB2</f>
        <v>657.86249999999995</v>
      </c>
      <c r="AK2">
        <v>2024.06</v>
      </c>
      <c r="AL2" t="s">
        <v>1</v>
      </c>
      <c r="AM2" s="1" t="s">
        <v>34</v>
      </c>
      <c r="AN2">
        <v>5</v>
      </c>
      <c r="AO2">
        <f>122*0.9</f>
        <v>109.8</v>
      </c>
      <c r="AP2">
        <v>6</v>
      </c>
      <c r="AS2">
        <v>0.77249999999999996</v>
      </c>
      <c r="AT2">
        <v>15</v>
      </c>
      <c r="AU2">
        <f>SUM(AO2:AT2)*AN2</f>
        <v>657.86249999999995</v>
      </c>
      <c r="AW2">
        <v>2024.07</v>
      </c>
      <c r="AX2" t="s">
        <v>1</v>
      </c>
      <c r="AY2" s="1" t="s">
        <v>34</v>
      </c>
      <c r="AZ2">
        <v>5</v>
      </c>
      <c r="BA2">
        <f>122*0.9</f>
        <v>109.8</v>
      </c>
      <c r="BB2">
        <v>6</v>
      </c>
      <c r="BE2">
        <v>0.77249999999999996</v>
      </c>
      <c r="BF2">
        <v>15</v>
      </c>
      <c r="BG2">
        <f>SUM(BA2:BF2)*AZ2</f>
        <v>657.86249999999995</v>
      </c>
      <c r="BI2">
        <v>2024.08</v>
      </c>
      <c r="BJ2" t="s">
        <v>1</v>
      </c>
      <c r="BK2" s="1" t="s">
        <v>34</v>
      </c>
      <c r="BL2">
        <v>7</v>
      </c>
      <c r="BM2">
        <f>122*0.9</f>
        <v>109.8</v>
      </c>
      <c r="BN2">
        <v>6</v>
      </c>
      <c r="BQ2">
        <v>0.77249999999999996</v>
      </c>
      <c r="BR2">
        <v>15</v>
      </c>
      <c r="BS2">
        <f>SUM(BM2:BR2)*BL2</f>
        <v>921.00749999999994</v>
      </c>
      <c r="BU2">
        <v>2024.09</v>
      </c>
      <c r="BV2" t="s">
        <v>1</v>
      </c>
      <c r="BW2" s="1" t="s">
        <v>34</v>
      </c>
      <c r="BX2">
        <v>5</v>
      </c>
      <c r="BY2">
        <f>122*0.9</f>
        <v>109.8</v>
      </c>
      <c r="BZ2">
        <v>6</v>
      </c>
      <c r="CC2">
        <v>0.77249999999999996</v>
      </c>
      <c r="CD2">
        <v>15</v>
      </c>
      <c r="CE2">
        <f>SUM(BY2:CD2)*BX2</f>
        <v>657.86249999999995</v>
      </c>
      <c r="CG2" t="s">
        <v>80</v>
      </c>
      <c r="CH2" t="s">
        <v>1</v>
      </c>
      <c r="CI2" s="1" t="s">
        <v>34</v>
      </c>
      <c r="CJ2">
        <v>6</v>
      </c>
      <c r="CK2">
        <f>122*0.9</f>
        <v>109.8</v>
      </c>
      <c r="CL2">
        <v>6</v>
      </c>
      <c r="CO2">
        <v>0.77249999999999996</v>
      </c>
      <c r="CP2">
        <v>15</v>
      </c>
      <c r="CQ2">
        <f>SUM(CK2:CP2)*CJ2</f>
        <v>789.43499999999995</v>
      </c>
      <c r="CS2" t="s">
        <v>89</v>
      </c>
      <c r="CT2" t="s">
        <v>1</v>
      </c>
      <c r="CU2" s="1" t="s">
        <v>34</v>
      </c>
      <c r="CV2">
        <v>6</v>
      </c>
      <c r="CW2">
        <f>122*0.9</f>
        <v>109.8</v>
      </c>
      <c r="CX2">
        <v>6</v>
      </c>
      <c r="DA2">
        <v>0.77249999999999996</v>
      </c>
      <c r="DB2">
        <v>15</v>
      </c>
      <c r="DC2">
        <f>SUM(CW2:DB2)*CV2</f>
        <v>789.43499999999995</v>
      </c>
      <c r="DE2">
        <v>2025.03</v>
      </c>
      <c r="DF2" t="s">
        <v>1</v>
      </c>
      <c r="DG2" s="1" t="s">
        <v>34</v>
      </c>
      <c r="DH2">
        <v>3</v>
      </c>
      <c r="DI2">
        <v>107</v>
      </c>
      <c r="DM2">
        <v>0.77249999999999996</v>
      </c>
      <c r="DN2">
        <v>15</v>
      </c>
      <c r="DO2">
        <f>SUM(DI2:DN2)*DH2</f>
        <v>368.3175</v>
      </c>
      <c r="DQ2">
        <v>2025.03</v>
      </c>
      <c r="DR2" t="s">
        <v>1</v>
      </c>
      <c r="DS2" s="1" t="s">
        <v>34</v>
      </c>
      <c r="DT2">
        <v>4</v>
      </c>
      <c r="DU2">
        <v>107</v>
      </c>
      <c r="DY2">
        <v>2.65</v>
      </c>
      <c r="DZ2">
        <v>15</v>
      </c>
      <c r="EA2">
        <f>SUM(DU2:DZ2)*DT2</f>
        <v>498.6</v>
      </c>
      <c r="EC2">
        <v>2025.03</v>
      </c>
      <c r="ED2" t="s">
        <v>1</v>
      </c>
      <c r="EE2" s="1" t="s">
        <v>34</v>
      </c>
      <c r="EF2">
        <v>4</v>
      </c>
      <c r="EG2">
        <v>107</v>
      </c>
      <c r="EK2">
        <v>0.77249999999999996</v>
      </c>
      <c r="EL2">
        <v>15</v>
      </c>
      <c r="EM2">
        <f>SUM(EG2:EL2)*EF2</f>
        <v>491.09</v>
      </c>
      <c r="EO2">
        <v>2025.03</v>
      </c>
      <c r="EP2" t="s">
        <v>1</v>
      </c>
      <c r="EQ2" s="1" t="s">
        <v>34</v>
      </c>
      <c r="ER2">
        <v>4</v>
      </c>
      <c r="ES2">
        <v>107</v>
      </c>
      <c r="EW2">
        <v>2.65</v>
      </c>
      <c r="EX2">
        <v>15</v>
      </c>
      <c r="EY2">
        <f>SUM(ES2:EX2)*ER2</f>
        <v>498.6</v>
      </c>
      <c r="FA2" t="s">
        <v>113</v>
      </c>
      <c r="FB2" t="s">
        <v>1</v>
      </c>
      <c r="FC2" s="1" t="s">
        <v>34</v>
      </c>
      <c r="FD2">
        <v>4</v>
      </c>
      <c r="FE2">
        <v>107</v>
      </c>
      <c r="FI2">
        <v>1.972</v>
      </c>
      <c r="FJ2">
        <v>15</v>
      </c>
      <c r="FK2">
        <f>SUM(FE2:FJ2)*FD2</f>
        <v>495.88799999999998</v>
      </c>
      <c r="FM2" t="s">
        <v>113</v>
      </c>
      <c r="FN2" t="s">
        <v>1</v>
      </c>
      <c r="FO2" s="1" t="s">
        <v>34</v>
      </c>
      <c r="FP2">
        <v>4</v>
      </c>
      <c r="FQ2">
        <v>107</v>
      </c>
      <c r="FU2">
        <v>1.972</v>
      </c>
      <c r="FV2">
        <v>15</v>
      </c>
      <c r="FW2">
        <f>SUM(FQ2:FV2)*FP2</f>
        <v>495.88799999999998</v>
      </c>
      <c r="FY2" t="s">
        <v>113</v>
      </c>
      <c r="FZ2" t="s">
        <v>1</v>
      </c>
      <c r="GA2" s="1" t="s">
        <v>34</v>
      </c>
      <c r="GB2">
        <v>4</v>
      </c>
      <c r="GC2">
        <v>107</v>
      </c>
      <c r="GG2">
        <v>1.972</v>
      </c>
      <c r="GH2">
        <v>15</v>
      </c>
      <c r="GI2">
        <f>SUM(GC2:GH2)*GB2</f>
        <v>495.88799999999998</v>
      </c>
      <c r="GK2" t="s">
        <v>113</v>
      </c>
      <c r="GL2" t="s">
        <v>1</v>
      </c>
      <c r="GM2" s="1" t="s">
        <v>34</v>
      </c>
      <c r="GN2">
        <v>3</v>
      </c>
      <c r="GO2">
        <v>107</v>
      </c>
      <c r="GS2">
        <v>1.972</v>
      </c>
      <c r="GT2">
        <v>15</v>
      </c>
      <c r="GU2">
        <f>SUM(GO2:GT2)*GN2</f>
        <v>371.916</v>
      </c>
      <c r="GW2" t="s">
        <v>113</v>
      </c>
      <c r="GX2" t="s">
        <v>1</v>
      </c>
      <c r="GY2" s="1" t="s">
        <v>34</v>
      </c>
      <c r="GZ2">
        <v>3</v>
      </c>
      <c r="HA2">
        <v>107</v>
      </c>
      <c r="HE2">
        <v>1.972</v>
      </c>
      <c r="HF2">
        <v>15</v>
      </c>
      <c r="HG2">
        <f>SUM(HA2:HF2)*GZ2</f>
        <v>371.916</v>
      </c>
      <c r="HI2" t="s">
        <v>113</v>
      </c>
      <c r="HJ2" t="s">
        <v>1</v>
      </c>
      <c r="HK2" s="1" t="s">
        <v>34</v>
      </c>
      <c r="HL2">
        <v>3</v>
      </c>
      <c r="HM2">
        <v>107</v>
      </c>
      <c r="HQ2">
        <v>1.972</v>
      </c>
      <c r="HR2">
        <v>15</v>
      </c>
      <c r="HS2">
        <f>SUM(HM2:HR2)*HL2</f>
        <v>371.916</v>
      </c>
      <c r="HU2" t="s">
        <v>113</v>
      </c>
      <c r="HV2" t="s">
        <v>1</v>
      </c>
      <c r="HW2" s="1" t="s">
        <v>34</v>
      </c>
      <c r="HX2">
        <v>3</v>
      </c>
      <c r="HY2">
        <v>107</v>
      </c>
      <c r="IC2">
        <v>1.972</v>
      </c>
      <c r="ID2">
        <v>15</v>
      </c>
      <c r="IE2">
        <f>SUM(HY2:ID2)*HX2</f>
        <v>371.916</v>
      </c>
      <c r="IG2" t="s">
        <v>113</v>
      </c>
      <c r="IH2" t="s">
        <v>1</v>
      </c>
      <c r="II2" s="1" t="s">
        <v>34</v>
      </c>
      <c r="IJ2">
        <v>3</v>
      </c>
      <c r="IK2">
        <v>107</v>
      </c>
      <c r="IO2">
        <v>1.972</v>
      </c>
      <c r="IP2">
        <v>15</v>
      </c>
      <c r="IQ2">
        <f>SUM(IK2:IP2)*IJ2</f>
        <v>371.916</v>
      </c>
      <c r="IS2" t="s">
        <v>181</v>
      </c>
      <c r="IT2" t="s">
        <v>1</v>
      </c>
      <c r="IU2" s="1" t="s">
        <v>34</v>
      </c>
      <c r="IV2">
        <v>7</v>
      </c>
      <c r="IW2">
        <v>107</v>
      </c>
      <c r="JA2">
        <v>1.972</v>
      </c>
      <c r="JB2">
        <v>15</v>
      </c>
      <c r="JC2">
        <f>SUM(IW2:JB2)*IV2</f>
        <v>867.80399999999997</v>
      </c>
      <c r="JE2" t="s">
        <v>191</v>
      </c>
    </row>
    <row r="3" spans="1:265">
      <c r="A3">
        <f>K57</f>
        <v>366.57266481481383</v>
      </c>
      <c r="C3" s="1" t="s">
        <v>35</v>
      </c>
      <c r="D3">
        <v>11</v>
      </c>
      <c r="E3">
        <f t="shared" si="0"/>
        <v>109.8</v>
      </c>
      <c r="F3">
        <v>6</v>
      </c>
      <c r="G3">
        <f>(5/12-26.9/36/12)</f>
        <v>0.35439814814814818</v>
      </c>
      <c r="I3">
        <v>2.0316666666666667</v>
      </c>
      <c r="J3">
        <v>15</v>
      </c>
      <c r="K3">
        <f t="shared" si="1"/>
        <v>1465.0467129629628</v>
      </c>
      <c r="M3">
        <f>W57</f>
        <v>198.01050000000032</v>
      </c>
      <c r="O3" s="1" t="s">
        <v>35</v>
      </c>
      <c r="P3">
        <v>10</v>
      </c>
      <c r="Q3">
        <f t="shared" ref="Q3:Q7" si="4">122*0.9</f>
        <v>109.8</v>
      </c>
      <c r="R3">
        <v>6</v>
      </c>
      <c r="S3">
        <f>(5/12-26.9/36/12)</f>
        <v>0.35439814814814818</v>
      </c>
      <c r="U3">
        <v>2.0316666666666667</v>
      </c>
      <c r="V3">
        <v>15</v>
      </c>
      <c r="W3">
        <f t="shared" si="2"/>
        <v>1331.8606481481481</v>
      </c>
      <c r="Y3">
        <f>AI58</f>
        <v>-273.52806481481639</v>
      </c>
      <c r="AA3" s="1" t="s">
        <v>35</v>
      </c>
      <c r="AB3">
        <v>11</v>
      </c>
      <c r="AC3">
        <f t="shared" ref="AC3:AC7" si="5">122*0.9</f>
        <v>109.8</v>
      </c>
      <c r="AD3">
        <v>6</v>
      </c>
      <c r="AE3">
        <f>(5/12-26.9/36/12)</f>
        <v>0.35439814814814818</v>
      </c>
      <c r="AG3">
        <v>2.0316666666666667</v>
      </c>
      <c r="AH3">
        <v>15</v>
      </c>
      <c r="AI3">
        <f t="shared" si="3"/>
        <v>1465.0467129629628</v>
      </c>
      <c r="AK3">
        <f>AU57</f>
        <v>80.017398148147549</v>
      </c>
      <c r="AM3" s="1" t="s">
        <v>35</v>
      </c>
      <c r="AN3">
        <v>11</v>
      </c>
      <c r="AO3">
        <f t="shared" ref="AO3:AO7" si="6">122*0.9</f>
        <v>109.8</v>
      </c>
      <c r="AP3">
        <v>6</v>
      </c>
      <c r="AQ3">
        <f>(5/12-26.9/36/12)</f>
        <v>0.35439814814814818</v>
      </c>
      <c r="AS3">
        <v>2.0316666666666667</v>
      </c>
      <c r="AT3">
        <v>15</v>
      </c>
      <c r="AU3">
        <f t="shared" ref="AU3:AU6" si="7">SUM(AO3:AT3)*AN3</f>
        <v>1465.0467129629628</v>
      </c>
      <c r="AW3">
        <f>BG58</f>
        <v>42.569898148147331</v>
      </c>
      <c r="AY3" s="1" t="s">
        <v>35</v>
      </c>
      <c r="AZ3">
        <v>11</v>
      </c>
      <c r="BA3">
        <f t="shared" ref="BA3:BA7" si="8">122*0.9</f>
        <v>109.8</v>
      </c>
      <c r="BB3">
        <v>6</v>
      </c>
      <c r="BC3">
        <f>(5/12-26.9/36/12)</f>
        <v>0.35439814814814818</v>
      </c>
      <c r="BE3">
        <v>2.0316666666666667</v>
      </c>
      <c r="BF3">
        <v>15</v>
      </c>
      <c r="BG3">
        <f t="shared" ref="BG3:BG6" si="9">SUM(BA3:BF3)*AZ3</f>
        <v>1465.0467129629628</v>
      </c>
      <c r="BI3">
        <f>BS56</f>
        <v>116.67166666666799</v>
      </c>
      <c r="BK3" s="1" t="s">
        <v>35</v>
      </c>
      <c r="BL3">
        <v>11</v>
      </c>
      <c r="BM3">
        <f t="shared" ref="BM3:BM7" si="10">122*0.9</f>
        <v>109.8</v>
      </c>
      <c r="BN3">
        <v>6</v>
      </c>
      <c r="BO3">
        <f>(5/12-26.9/36/12)</f>
        <v>0.35439814814814818</v>
      </c>
      <c r="BQ3">
        <v>2.0316666666666667</v>
      </c>
      <c r="BR3">
        <v>15</v>
      </c>
      <c r="BS3">
        <f t="shared" ref="BS3:BS6" si="11">SUM(BM3:BR3)*BL3</f>
        <v>1465.0467129629628</v>
      </c>
      <c r="BU3">
        <f>CE59</f>
        <v>-651.35032407407289</v>
      </c>
      <c r="BW3" s="1" t="s">
        <v>35</v>
      </c>
      <c r="BX3">
        <v>10</v>
      </c>
      <c r="BY3">
        <f t="shared" ref="BY3:BY7" si="12">122*0.9</f>
        <v>109.8</v>
      </c>
      <c r="BZ3">
        <v>6</v>
      </c>
      <c r="CA3">
        <f>(5/12-26.9/36/12)</f>
        <v>0.35439814814814818</v>
      </c>
      <c r="CC3">
        <v>2.0316666666666667</v>
      </c>
      <c r="CD3">
        <v>15</v>
      </c>
      <c r="CE3">
        <f t="shared" ref="CE3:CE6" si="13">SUM(BY3:CD3)*BX3</f>
        <v>1331.8606481481481</v>
      </c>
      <c r="CG3">
        <f>CQ59</f>
        <v>-410.90699074074109</v>
      </c>
      <c r="CI3" s="1" t="s">
        <v>35</v>
      </c>
      <c r="CJ3">
        <v>10</v>
      </c>
      <c r="CK3">
        <f t="shared" ref="CK3:CK7" si="14">122*0.9</f>
        <v>109.8</v>
      </c>
      <c r="CL3">
        <v>6</v>
      </c>
      <c r="CM3">
        <f>(5/12-26.9/36/12)</f>
        <v>0.35439814814814818</v>
      </c>
      <c r="CO3">
        <v>2.0316666666666667</v>
      </c>
      <c r="CP3">
        <v>15</v>
      </c>
      <c r="CQ3">
        <f t="shared" ref="CQ3:CQ6" si="15">SUM(CK3:CP3)*CJ3</f>
        <v>1331.8606481481481</v>
      </c>
      <c r="CS3">
        <f>DC58</f>
        <v>-324.7269907407408</v>
      </c>
      <c r="CU3" s="1" t="s">
        <v>35</v>
      </c>
      <c r="CV3">
        <v>10</v>
      </c>
      <c r="CW3">
        <f t="shared" ref="CW3:CW7" si="16">122*0.9</f>
        <v>109.8</v>
      </c>
      <c r="CX3">
        <v>6</v>
      </c>
      <c r="CY3">
        <f>(5/12-26.9/36/12)</f>
        <v>0.35439814814814818</v>
      </c>
      <c r="DA3">
        <v>2.0316666666666667</v>
      </c>
      <c r="DB3">
        <v>15</v>
      </c>
      <c r="DC3">
        <f t="shared" ref="DC3:DC6" si="17">SUM(CW3:DB3)*CV3</f>
        <v>1331.8606481481481</v>
      </c>
      <c r="DE3">
        <f>DO61</f>
        <v>598.76375000000098</v>
      </c>
      <c r="DG3" s="1" t="s">
        <v>35</v>
      </c>
      <c r="DH3">
        <v>6</v>
      </c>
      <c r="DI3">
        <v>117</v>
      </c>
      <c r="DK3">
        <f t="shared" ref="DK3:DK8" si="18">(5/12-26.9/36/12)</f>
        <v>0.35439814814814818</v>
      </c>
      <c r="DM3">
        <v>2.0316666666666667</v>
      </c>
      <c r="DN3">
        <v>15</v>
      </c>
      <c r="DO3">
        <f t="shared" ref="DO3:DO7" si="19">SUM(DI3:DN3)*DH3</f>
        <v>806.31638888888881</v>
      </c>
      <c r="DQ3">
        <f>EA60</f>
        <v>1433.2757962962969</v>
      </c>
      <c r="DS3" s="1" t="s">
        <v>35</v>
      </c>
      <c r="DT3">
        <v>8</v>
      </c>
      <c r="DU3">
        <v>117</v>
      </c>
      <c r="DW3">
        <f>(5/12-41.384/36/12)</f>
        <v>0.32087037037037036</v>
      </c>
      <c r="DY3">
        <v>3.13</v>
      </c>
      <c r="DZ3">
        <v>15</v>
      </c>
      <c r="EA3">
        <f t="shared" ref="EA3:EA7" si="20">SUM(DU3:DZ3)*DT3</f>
        <v>1083.6069629629628</v>
      </c>
      <c r="EC3">
        <f>EM62</f>
        <v>1009.4206018518507</v>
      </c>
      <c r="EE3" s="1" t="s">
        <v>35</v>
      </c>
      <c r="EF3">
        <v>8</v>
      </c>
      <c r="EG3">
        <v>117</v>
      </c>
      <c r="EI3">
        <f t="shared" ref="EI3:EI5" si="21">(5/12-41.384/36/12)</f>
        <v>0.32087037037037036</v>
      </c>
      <c r="EK3">
        <v>2.0316666666666667</v>
      </c>
      <c r="EL3">
        <v>15</v>
      </c>
      <c r="EM3">
        <f t="shared" ref="EM3:EM7" si="22">SUM(EG3:EL3)*EF3</f>
        <v>1074.8202962962964</v>
      </c>
      <c r="EO3">
        <f>EY62</f>
        <v>287.9006782407414</v>
      </c>
      <c r="EQ3" s="1" t="s">
        <v>35</v>
      </c>
      <c r="ER3">
        <v>8</v>
      </c>
      <c r="ES3">
        <v>117</v>
      </c>
      <c r="EU3">
        <f>(5/12-41.384/36/12)</f>
        <v>0.32087037037037036</v>
      </c>
      <c r="EW3">
        <v>3.13</v>
      </c>
      <c r="EX3">
        <v>15</v>
      </c>
      <c r="EY3">
        <f t="shared" ref="EY3:EY7" si="23">SUM(ES3:EX3)*ER3</f>
        <v>1083.6069629629628</v>
      </c>
      <c r="FA3">
        <f>FK61</f>
        <v>-248.54950258579356</v>
      </c>
      <c r="FC3" s="1" t="s">
        <v>35</v>
      </c>
      <c r="FD3">
        <v>8</v>
      </c>
      <c r="FE3">
        <v>117</v>
      </c>
      <c r="FG3">
        <f>(5/12-41.384/36/12)</f>
        <v>0.32087037037037036</v>
      </c>
      <c r="FI3">
        <v>2.4180000000000001</v>
      </c>
      <c r="FJ3">
        <v>15</v>
      </c>
      <c r="FK3">
        <f t="shared" ref="FK3:FK7" si="24">SUM(FE3:FJ3)*FD3</f>
        <v>1077.9109629629629</v>
      </c>
      <c r="FM3">
        <f>FW61</f>
        <v>57.132356673466347</v>
      </c>
      <c r="FO3" s="1" t="s">
        <v>35</v>
      </c>
      <c r="FP3">
        <v>8</v>
      </c>
      <c r="FQ3">
        <v>117</v>
      </c>
      <c r="FS3">
        <f>(5/12-41.384/36/12)</f>
        <v>0.32087037037037036</v>
      </c>
      <c r="FU3">
        <v>2.4180000000000001</v>
      </c>
      <c r="FV3">
        <v>15</v>
      </c>
      <c r="FW3">
        <f t="shared" ref="FW3:FW7" si="25">SUM(FQ3:FV3)*FP3</f>
        <v>1077.9109629629629</v>
      </c>
      <c r="FY3">
        <f>GI65</f>
        <v>201.02623445124391</v>
      </c>
      <c r="GA3" s="1" t="s">
        <v>35</v>
      </c>
      <c r="GB3">
        <v>8</v>
      </c>
      <c r="GC3">
        <v>117</v>
      </c>
      <c r="GE3">
        <f>(5/12-41.384/36/12)</f>
        <v>0.32087037037037036</v>
      </c>
      <c r="GG3">
        <v>2.4180000000000001</v>
      </c>
      <c r="GH3">
        <v>15</v>
      </c>
      <c r="GI3">
        <f t="shared" ref="GI3:GI7" si="26">SUM(GC3:GH3)*GB3</f>
        <v>1077.9109629629629</v>
      </c>
      <c r="GK3">
        <f>GU61</f>
        <v>-523.38037295616414</v>
      </c>
      <c r="GM3" s="1" t="s">
        <v>35</v>
      </c>
      <c r="GN3">
        <v>8</v>
      </c>
      <c r="GO3">
        <v>117</v>
      </c>
      <c r="GQ3">
        <f>(5/12-41.384/36/12)</f>
        <v>0.32087037037037036</v>
      </c>
      <c r="GS3">
        <v>2.4180000000000001</v>
      </c>
      <c r="GT3">
        <v>15</v>
      </c>
      <c r="GU3">
        <f t="shared" ref="GU3:GU7" si="27">SUM(GO3:GT3)*GN3</f>
        <v>1077.9109629629629</v>
      </c>
      <c r="GW3">
        <f>HG63</f>
        <v>-190.5799511969044</v>
      </c>
      <c r="GY3" s="1" t="s">
        <v>35</v>
      </c>
      <c r="GZ3">
        <v>8</v>
      </c>
      <c r="HA3">
        <v>117</v>
      </c>
      <c r="HC3">
        <f>(5/12-41.384/36/12)</f>
        <v>0.32087037037037036</v>
      </c>
      <c r="HE3">
        <v>2.4180000000000001</v>
      </c>
      <c r="HF3">
        <v>15</v>
      </c>
      <c r="HG3">
        <f t="shared" ref="HG3:HG7" si="28">SUM(HA3:HF3)*GZ3</f>
        <v>1077.9109629629629</v>
      </c>
      <c r="HI3">
        <f>HS63</f>
        <v>53.844308062353775</v>
      </c>
      <c r="HK3" s="1" t="s">
        <v>35</v>
      </c>
      <c r="HL3">
        <v>8</v>
      </c>
      <c r="HM3">
        <v>117</v>
      </c>
      <c r="HO3">
        <f>(5/12-41.384/36/12)</f>
        <v>0.32087037037037036</v>
      </c>
      <c r="HQ3">
        <v>2.4180000000000001</v>
      </c>
      <c r="HR3">
        <v>15</v>
      </c>
      <c r="HS3">
        <f t="shared" ref="HS3:HS7" si="29">SUM(HM3:HR3)*HL3</f>
        <v>1077.9109629629629</v>
      </c>
      <c r="HU3">
        <f>IE63</f>
        <v>-415.96162897468275</v>
      </c>
      <c r="HW3" s="1" t="s">
        <v>35</v>
      </c>
      <c r="HX3">
        <v>8</v>
      </c>
      <c r="HY3">
        <v>117</v>
      </c>
      <c r="IA3">
        <f>(5/12-41.384/36/12)</f>
        <v>0.32087037037037036</v>
      </c>
      <c r="IC3">
        <v>2.4180000000000001</v>
      </c>
      <c r="ID3">
        <v>15</v>
      </c>
      <c r="IE3">
        <f t="shared" ref="IE3:IE7" si="30">SUM(HY3:ID3)*HX3</f>
        <v>1077.9109629629629</v>
      </c>
      <c r="IG3">
        <f>IQ63</f>
        <v>-348.62662897468181</v>
      </c>
      <c r="II3" s="1" t="s">
        <v>35</v>
      </c>
      <c r="IJ3">
        <v>7</v>
      </c>
      <c r="IK3">
        <v>117</v>
      </c>
      <c r="IM3">
        <f>(5/12-41.384/36/12)</f>
        <v>0.32087037037037036</v>
      </c>
      <c r="IO3">
        <v>2.4180000000000001</v>
      </c>
      <c r="IP3">
        <v>15</v>
      </c>
      <c r="IQ3">
        <f t="shared" ref="IQ3:IQ7" si="31">SUM(IK3:IP3)*IJ3</f>
        <v>943.17209259259255</v>
      </c>
      <c r="IS3">
        <f>JC63</f>
        <v>2617.6390370370373</v>
      </c>
      <c r="IU3" s="1" t="s">
        <v>35</v>
      </c>
      <c r="IV3">
        <v>10</v>
      </c>
      <c r="IW3">
        <v>117</v>
      </c>
      <c r="IY3">
        <f>(5/12-41.384/36/12)</f>
        <v>0.32087037037037036</v>
      </c>
      <c r="JA3">
        <v>2.4180000000000001</v>
      </c>
      <c r="JB3">
        <v>15</v>
      </c>
      <c r="JC3">
        <f t="shared" ref="JC3:JC7" si="32">SUM(IW3:JB3)*IV3</f>
        <v>1347.3887037037036</v>
      </c>
      <c r="JE3" t="s">
        <v>192</v>
      </c>
    </row>
    <row r="4" spans="1:265">
      <c r="C4" s="1" t="s">
        <v>36</v>
      </c>
      <c r="D4">
        <v>5</v>
      </c>
      <c r="E4">
        <f t="shared" si="0"/>
        <v>109.8</v>
      </c>
      <c r="F4">
        <v>6</v>
      </c>
      <c r="G4">
        <f>(5/12-26.9/36/12)</f>
        <v>0.35439814814814818</v>
      </c>
      <c r="I4">
        <v>1.9516666666666669</v>
      </c>
      <c r="J4">
        <v>15</v>
      </c>
      <c r="K4">
        <f t="shared" si="1"/>
        <v>665.53032407407409</v>
      </c>
      <c r="O4" s="1" t="s">
        <v>36</v>
      </c>
      <c r="P4">
        <v>5</v>
      </c>
      <c r="Q4">
        <f t="shared" si="4"/>
        <v>109.8</v>
      </c>
      <c r="R4">
        <v>6</v>
      </c>
      <c r="S4">
        <f>(5/12-26.9/36/12)</f>
        <v>0.35439814814814818</v>
      </c>
      <c r="U4">
        <v>1.9516666666666669</v>
      </c>
      <c r="V4">
        <v>15</v>
      </c>
      <c r="W4">
        <f t="shared" si="2"/>
        <v>665.53032407407409</v>
      </c>
      <c r="AA4" s="1" t="s">
        <v>36</v>
      </c>
      <c r="AB4">
        <v>5</v>
      </c>
      <c r="AC4">
        <f t="shared" si="5"/>
        <v>109.8</v>
      </c>
      <c r="AD4">
        <v>6</v>
      </c>
      <c r="AE4">
        <f>(5/12-26.9/36/12)</f>
        <v>0.35439814814814818</v>
      </c>
      <c r="AG4">
        <v>1.9516666666666669</v>
      </c>
      <c r="AH4">
        <v>15</v>
      </c>
      <c r="AI4">
        <f t="shared" si="3"/>
        <v>665.53032407407409</v>
      </c>
      <c r="AM4" s="1" t="s">
        <v>36</v>
      </c>
      <c r="AN4">
        <v>5</v>
      </c>
      <c r="AO4">
        <f t="shared" si="6"/>
        <v>109.8</v>
      </c>
      <c r="AP4">
        <v>6</v>
      </c>
      <c r="AQ4">
        <f>(5/12-26.9/36/12)</f>
        <v>0.35439814814814818</v>
      </c>
      <c r="AS4">
        <v>1.9516666666666669</v>
      </c>
      <c r="AT4">
        <v>15</v>
      </c>
      <c r="AU4">
        <f t="shared" si="7"/>
        <v>665.53032407407409</v>
      </c>
      <c r="AY4" s="1" t="s">
        <v>36</v>
      </c>
      <c r="AZ4">
        <v>5</v>
      </c>
      <c r="BA4">
        <f t="shared" si="8"/>
        <v>109.8</v>
      </c>
      <c r="BB4">
        <v>6</v>
      </c>
      <c r="BC4">
        <f>(5/12-26.9/36/12)</f>
        <v>0.35439814814814818</v>
      </c>
      <c r="BE4">
        <v>1.9516666666666669</v>
      </c>
      <c r="BF4">
        <v>15</v>
      </c>
      <c r="BG4">
        <f t="shared" si="9"/>
        <v>665.53032407407409</v>
      </c>
      <c r="BK4" s="1" t="s">
        <v>36</v>
      </c>
      <c r="BL4">
        <v>5</v>
      </c>
      <c r="BM4">
        <f t="shared" si="10"/>
        <v>109.8</v>
      </c>
      <c r="BN4">
        <v>6</v>
      </c>
      <c r="BO4">
        <f>(5/12-26.9/36/12)</f>
        <v>0.35439814814814818</v>
      </c>
      <c r="BQ4">
        <v>1.9516666666666669</v>
      </c>
      <c r="BR4">
        <v>15</v>
      </c>
      <c r="BS4">
        <f t="shared" si="11"/>
        <v>665.53032407407409</v>
      </c>
      <c r="BW4" s="1" t="s">
        <v>36</v>
      </c>
      <c r="BX4">
        <v>4</v>
      </c>
      <c r="BY4">
        <f t="shared" si="12"/>
        <v>109.8</v>
      </c>
      <c r="BZ4">
        <v>6</v>
      </c>
      <c r="CA4">
        <f>(5/12-26.9/36/12)</f>
        <v>0.35439814814814818</v>
      </c>
      <c r="CC4">
        <v>1.9516666666666669</v>
      </c>
      <c r="CD4">
        <v>15</v>
      </c>
      <c r="CE4">
        <f t="shared" si="13"/>
        <v>532.42425925925932</v>
      </c>
      <c r="CI4" s="1" t="s">
        <v>36</v>
      </c>
      <c r="CJ4">
        <v>4</v>
      </c>
      <c r="CK4">
        <f t="shared" si="14"/>
        <v>109.8</v>
      </c>
      <c r="CL4">
        <v>6</v>
      </c>
      <c r="CM4">
        <f>(5/12-26.9/36/12)</f>
        <v>0.35439814814814818</v>
      </c>
      <c r="CO4">
        <v>1.9516666666666669</v>
      </c>
      <c r="CP4">
        <v>15</v>
      </c>
      <c r="CQ4">
        <f t="shared" si="15"/>
        <v>532.42425925925932</v>
      </c>
      <c r="CU4" s="1" t="s">
        <v>36</v>
      </c>
      <c r="CV4">
        <v>4</v>
      </c>
      <c r="CW4">
        <f t="shared" si="16"/>
        <v>109.8</v>
      </c>
      <c r="CX4">
        <v>6</v>
      </c>
      <c r="CY4">
        <f>(5/12-26.9/36/12)</f>
        <v>0.35439814814814818</v>
      </c>
      <c r="DA4">
        <v>1.9516666666666669</v>
      </c>
      <c r="DB4">
        <v>15</v>
      </c>
      <c r="DC4">
        <f t="shared" si="17"/>
        <v>532.42425925925932</v>
      </c>
      <c r="DG4" s="3" t="s">
        <v>82</v>
      </c>
      <c r="DH4">
        <v>7</v>
      </c>
      <c r="DI4">
        <v>117</v>
      </c>
      <c r="DK4">
        <f t="shared" si="18"/>
        <v>0.35439814814814818</v>
      </c>
      <c r="DL4">
        <f>(3-30/20/12-9/12)</f>
        <v>2.125</v>
      </c>
      <c r="DM4">
        <v>2.0316666666666667</v>
      </c>
      <c r="DN4">
        <v>15</v>
      </c>
      <c r="DO4">
        <f t="shared" si="19"/>
        <v>955.57745370370367</v>
      </c>
      <c r="DS4" s="3" t="s">
        <v>82</v>
      </c>
      <c r="DT4">
        <v>7</v>
      </c>
      <c r="DU4">
        <v>117</v>
      </c>
      <c r="DW4">
        <f t="shared" ref="DW4:DW8" si="33">(5/12-41.384/36/12)</f>
        <v>0.32087037037037036</v>
      </c>
      <c r="DY4">
        <v>3.13</v>
      </c>
      <c r="DZ4">
        <v>15</v>
      </c>
      <c r="EA4">
        <f t="shared" si="20"/>
        <v>948.15609259259247</v>
      </c>
      <c r="EE4" s="3" t="s">
        <v>82</v>
      </c>
      <c r="EF4">
        <v>5</v>
      </c>
      <c r="EG4">
        <v>117</v>
      </c>
      <c r="EI4">
        <f t="shared" si="21"/>
        <v>0.32087037037037036</v>
      </c>
      <c r="EK4">
        <v>2.0316666666666667</v>
      </c>
      <c r="EL4">
        <v>15</v>
      </c>
      <c r="EM4">
        <f t="shared" si="22"/>
        <v>671.76268518518532</v>
      </c>
      <c r="EQ4" s="3" t="s">
        <v>82</v>
      </c>
      <c r="ER4">
        <v>5</v>
      </c>
      <c r="ES4">
        <v>117</v>
      </c>
      <c r="EU4">
        <f t="shared" ref="EU4:EU8" si="34">(5/12-41.384/36/12)</f>
        <v>0.32087037037037036</v>
      </c>
      <c r="EW4">
        <v>3.13</v>
      </c>
      <c r="EX4">
        <v>15</v>
      </c>
      <c r="EY4">
        <f t="shared" si="23"/>
        <v>677.25435185185177</v>
      </c>
      <c r="FC4" s="3" t="s">
        <v>82</v>
      </c>
      <c r="FD4">
        <v>5</v>
      </c>
      <c r="FE4">
        <v>117</v>
      </c>
      <c r="FG4">
        <f t="shared" ref="FG4:FG8" si="35">(5/12-41.384/36/12)</f>
        <v>0.32087037037037036</v>
      </c>
      <c r="FI4">
        <v>3.0609999999999999</v>
      </c>
      <c r="FJ4">
        <v>15</v>
      </c>
      <c r="FK4">
        <f t="shared" si="24"/>
        <v>676.90935185185185</v>
      </c>
      <c r="FM4" t="s">
        <v>117</v>
      </c>
      <c r="FO4" s="3" t="s">
        <v>82</v>
      </c>
      <c r="FP4">
        <v>5</v>
      </c>
      <c r="FQ4">
        <v>117</v>
      </c>
      <c r="FS4">
        <f t="shared" ref="FS4:FS8" si="36">(5/12-41.384/36/12)</f>
        <v>0.32087037037037036</v>
      </c>
      <c r="FU4">
        <v>3.0609999999999999</v>
      </c>
      <c r="FV4">
        <v>15</v>
      </c>
      <c r="FW4">
        <f t="shared" si="25"/>
        <v>676.90935185185185</v>
      </c>
      <c r="FY4" t="s">
        <v>118</v>
      </c>
      <c r="GA4" s="3" t="s">
        <v>82</v>
      </c>
      <c r="GB4">
        <v>5</v>
      </c>
      <c r="GC4">
        <v>117</v>
      </c>
      <c r="GE4">
        <f t="shared" ref="GE4:GE8" si="37">(5/12-41.384/36/12)</f>
        <v>0.32087037037037036</v>
      </c>
      <c r="GG4">
        <v>3.0609999999999999</v>
      </c>
      <c r="GH4">
        <v>15</v>
      </c>
      <c r="GI4">
        <f t="shared" si="26"/>
        <v>676.90935185185185</v>
      </c>
      <c r="GK4" t="s">
        <v>123</v>
      </c>
      <c r="GM4" s="3" t="s">
        <v>82</v>
      </c>
      <c r="GN4">
        <v>4</v>
      </c>
      <c r="GO4">
        <v>117</v>
      </c>
      <c r="GQ4">
        <f t="shared" ref="GQ4:GQ8" si="38">(5/12-41.384/36/12)</f>
        <v>0.32087037037037036</v>
      </c>
      <c r="GS4">
        <v>3.0609999999999999</v>
      </c>
      <c r="GT4">
        <v>15</v>
      </c>
      <c r="GU4">
        <f t="shared" si="27"/>
        <v>541.52748148148146</v>
      </c>
      <c r="GW4" t="s">
        <v>123</v>
      </c>
      <c r="GY4" s="3" t="s">
        <v>82</v>
      </c>
      <c r="GZ4">
        <v>4</v>
      </c>
      <c r="HA4">
        <v>117</v>
      </c>
      <c r="HC4">
        <f t="shared" ref="HC4:HC8" si="39">(5/12-41.384/36/12)</f>
        <v>0.32087037037037036</v>
      </c>
      <c r="HE4">
        <v>3.0609999999999999</v>
      </c>
      <c r="HF4">
        <v>15</v>
      </c>
      <c r="HG4">
        <f t="shared" si="28"/>
        <v>541.52748148148146</v>
      </c>
      <c r="HI4" t="s">
        <v>123</v>
      </c>
      <c r="HK4" s="3" t="s">
        <v>82</v>
      </c>
      <c r="HL4">
        <v>4</v>
      </c>
      <c r="HM4">
        <v>117</v>
      </c>
      <c r="HO4">
        <f t="shared" ref="HO4:HO8" si="40">(5/12-41.384/36/12)</f>
        <v>0.32087037037037036</v>
      </c>
      <c r="HQ4">
        <v>3.0609999999999999</v>
      </c>
      <c r="HR4">
        <v>15</v>
      </c>
      <c r="HS4">
        <f t="shared" si="29"/>
        <v>541.52748148148146</v>
      </c>
      <c r="HU4" t="s">
        <v>123</v>
      </c>
      <c r="HW4" s="3" t="s">
        <v>82</v>
      </c>
      <c r="HX4">
        <v>4</v>
      </c>
      <c r="HY4">
        <v>117</v>
      </c>
      <c r="IA4">
        <f t="shared" ref="IA4:IA8" si="41">(5/12-41.384/36/12)</f>
        <v>0.32087037037037036</v>
      </c>
      <c r="IC4">
        <v>3.0609999999999999</v>
      </c>
      <c r="ID4">
        <v>15</v>
      </c>
      <c r="IE4">
        <f t="shared" si="30"/>
        <v>541.52748148148146</v>
      </c>
      <c r="IG4" t="s">
        <v>123</v>
      </c>
      <c r="II4" s="3" t="s">
        <v>82</v>
      </c>
      <c r="IJ4">
        <v>4</v>
      </c>
      <c r="IK4">
        <v>117</v>
      </c>
      <c r="IM4">
        <f t="shared" ref="IM4:IM8" si="42">(5/12-41.384/36/12)</f>
        <v>0.32087037037037036</v>
      </c>
      <c r="IO4">
        <v>3.0609999999999999</v>
      </c>
      <c r="IP4">
        <v>15</v>
      </c>
      <c r="IQ4">
        <f t="shared" si="31"/>
        <v>541.52748148148146</v>
      </c>
      <c r="IU4" s="3" t="s">
        <v>82</v>
      </c>
      <c r="IV4">
        <v>6</v>
      </c>
      <c r="IW4">
        <v>117</v>
      </c>
      <c r="IY4">
        <f t="shared" ref="IY4:IY8" si="43">(5/12-41.384/36/12)</f>
        <v>0.32087037037037036</v>
      </c>
      <c r="JA4">
        <v>3.0609999999999999</v>
      </c>
      <c r="JB4">
        <v>15</v>
      </c>
      <c r="JC4">
        <f t="shared" si="32"/>
        <v>812.29122222222213</v>
      </c>
    </row>
    <row r="5" spans="1:265">
      <c r="C5" s="1" t="s">
        <v>38</v>
      </c>
      <c r="D5">
        <v>7</v>
      </c>
      <c r="E5">
        <f t="shared" si="0"/>
        <v>109.8</v>
      </c>
      <c r="F5">
        <v>6</v>
      </c>
      <c r="G5">
        <f>(5/12-26.9/36/12)</f>
        <v>0.35439814814814818</v>
      </c>
      <c r="H5">
        <f>(3-30/20/12-9/12)</f>
        <v>2.125</v>
      </c>
      <c r="I5">
        <v>2.5049999999999999</v>
      </c>
      <c r="J5">
        <v>15</v>
      </c>
      <c r="K5">
        <f t="shared" si="1"/>
        <v>950.49078703703697</v>
      </c>
      <c r="O5" s="1" t="s">
        <v>38</v>
      </c>
      <c r="P5">
        <v>7</v>
      </c>
      <c r="Q5">
        <f t="shared" si="4"/>
        <v>109.8</v>
      </c>
      <c r="R5">
        <v>6</v>
      </c>
      <c r="S5">
        <f>(5/12-26.9/36/12)</f>
        <v>0.35439814814814818</v>
      </c>
      <c r="T5">
        <f>(3-30/20/12-9/12)</f>
        <v>2.125</v>
      </c>
      <c r="U5">
        <v>2.5049999999999999</v>
      </c>
      <c r="V5">
        <v>15</v>
      </c>
      <c r="W5">
        <f t="shared" si="2"/>
        <v>950.49078703703697</v>
      </c>
      <c r="AA5" s="1" t="s">
        <v>38</v>
      </c>
      <c r="AB5">
        <v>7</v>
      </c>
      <c r="AC5">
        <f t="shared" si="5"/>
        <v>109.8</v>
      </c>
      <c r="AD5">
        <v>6</v>
      </c>
      <c r="AE5">
        <f>(5/12-26.9/36/12)</f>
        <v>0.35439814814814818</v>
      </c>
      <c r="AF5">
        <f>(3-30/20/12-9/12)</f>
        <v>2.125</v>
      </c>
      <c r="AG5">
        <v>2.5049999999999999</v>
      </c>
      <c r="AH5">
        <v>15</v>
      </c>
      <c r="AI5">
        <f t="shared" si="3"/>
        <v>950.49078703703697</v>
      </c>
      <c r="AM5" s="1" t="s">
        <v>38</v>
      </c>
      <c r="AN5">
        <v>7</v>
      </c>
      <c r="AO5">
        <f t="shared" si="6"/>
        <v>109.8</v>
      </c>
      <c r="AP5">
        <v>6</v>
      </c>
      <c r="AQ5">
        <f>(5/12-26.9/36/12)</f>
        <v>0.35439814814814818</v>
      </c>
      <c r="AR5">
        <f>(3-30/20/12-9/12)</f>
        <v>2.125</v>
      </c>
      <c r="AS5">
        <v>2.5049999999999999</v>
      </c>
      <c r="AT5">
        <v>15</v>
      </c>
      <c r="AU5">
        <f t="shared" si="7"/>
        <v>950.49078703703697</v>
      </c>
      <c r="AY5" s="1" t="s">
        <v>38</v>
      </c>
      <c r="AZ5">
        <v>7</v>
      </c>
      <c r="BA5">
        <f t="shared" si="8"/>
        <v>109.8</v>
      </c>
      <c r="BB5">
        <v>6</v>
      </c>
      <c r="BC5">
        <f>(5/12-26.9/36/12)</f>
        <v>0.35439814814814818</v>
      </c>
      <c r="BD5">
        <f>(3-30/20/12-9/12)</f>
        <v>2.125</v>
      </c>
      <c r="BE5">
        <v>2.5049999999999999</v>
      </c>
      <c r="BF5">
        <v>15</v>
      </c>
      <c r="BG5">
        <f t="shared" si="9"/>
        <v>950.49078703703697</v>
      </c>
      <c r="BK5" s="1" t="s">
        <v>38</v>
      </c>
      <c r="BL5">
        <v>7</v>
      </c>
      <c r="BM5">
        <f t="shared" si="10"/>
        <v>109.8</v>
      </c>
      <c r="BN5">
        <v>6</v>
      </c>
      <c r="BO5">
        <f>(5/12-26.9/36/12)</f>
        <v>0.35439814814814818</v>
      </c>
      <c r="BP5">
        <f>(3-30/20/12-9/12)</f>
        <v>2.125</v>
      </c>
      <c r="BQ5">
        <v>2.5049999999999999</v>
      </c>
      <c r="BR5">
        <v>15</v>
      </c>
      <c r="BS5">
        <f t="shared" si="11"/>
        <v>950.49078703703697</v>
      </c>
      <c r="BW5" s="1" t="s">
        <v>38</v>
      </c>
      <c r="BX5">
        <v>5</v>
      </c>
      <c r="BY5">
        <f t="shared" si="12"/>
        <v>109.8</v>
      </c>
      <c r="BZ5">
        <v>6</v>
      </c>
      <c r="CA5">
        <f>(5/12-26.9/36/12)</f>
        <v>0.35439814814814818</v>
      </c>
      <c r="CB5">
        <f>(3-30/20/12-9/12)</f>
        <v>2.125</v>
      </c>
      <c r="CC5">
        <v>2.5049999999999999</v>
      </c>
      <c r="CD5">
        <v>15</v>
      </c>
      <c r="CE5">
        <f t="shared" si="13"/>
        <v>678.92199074074074</v>
      </c>
      <c r="CI5" s="1" t="s">
        <v>38</v>
      </c>
      <c r="CJ5">
        <v>5</v>
      </c>
      <c r="CK5">
        <f t="shared" si="14"/>
        <v>109.8</v>
      </c>
      <c r="CL5">
        <v>6</v>
      </c>
      <c r="CM5">
        <f>(5/12-26.9/36/12)</f>
        <v>0.35439814814814818</v>
      </c>
      <c r="CN5">
        <f>(3-30/20/12-9/12)</f>
        <v>2.125</v>
      </c>
      <c r="CO5">
        <v>2.5049999999999999</v>
      </c>
      <c r="CP5">
        <v>15</v>
      </c>
      <c r="CQ5">
        <f t="shared" si="15"/>
        <v>678.92199074074074</v>
      </c>
      <c r="CU5" s="1" t="s">
        <v>38</v>
      </c>
      <c r="CV5">
        <v>5</v>
      </c>
      <c r="CW5">
        <f t="shared" si="16"/>
        <v>109.8</v>
      </c>
      <c r="CX5">
        <v>6</v>
      </c>
      <c r="CY5">
        <f>(5/12-26.9/36/12)</f>
        <v>0.35439814814814818</v>
      </c>
      <c r="CZ5">
        <f>(3-30/20/12-9/12)</f>
        <v>2.125</v>
      </c>
      <c r="DA5">
        <v>2.5049999999999999</v>
      </c>
      <c r="DB5">
        <v>15</v>
      </c>
      <c r="DC5">
        <f t="shared" si="17"/>
        <v>678.92199074074074</v>
      </c>
      <c r="DG5" s="1" t="s">
        <v>36</v>
      </c>
      <c r="DH5">
        <v>0</v>
      </c>
      <c r="DI5">
        <v>117</v>
      </c>
      <c r="DK5">
        <f t="shared" si="18"/>
        <v>0.35439814814814818</v>
      </c>
      <c r="DM5">
        <v>1.9516666666666669</v>
      </c>
      <c r="DN5">
        <v>15</v>
      </c>
      <c r="DO5">
        <f t="shared" si="19"/>
        <v>0</v>
      </c>
      <c r="DS5" s="1" t="s">
        <v>36</v>
      </c>
      <c r="DT5">
        <v>0</v>
      </c>
      <c r="DU5">
        <v>117</v>
      </c>
      <c r="DW5">
        <f t="shared" si="33"/>
        <v>0.32087037037037036</v>
      </c>
      <c r="DY5">
        <v>3.26</v>
      </c>
      <c r="DZ5">
        <v>15</v>
      </c>
      <c r="EA5">
        <f t="shared" si="20"/>
        <v>0</v>
      </c>
      <c r="EE5" s="1" t="s">
        <v>36</v>
      </c>
      <c r="EF5">
        <v>2</v>
      </c>
      <c r="EG5">
        <v>117</v>
      </c>
      <c r="EI5">
        <f t="shared" si="21"/>
        <v>0.32087037037037036</v>
      </c>
      <c r="EK5">
        <v>1.9516666666666669</v>
      </c>
      <c r="EL5">
        <v>15</v>
      </c>
      <c r="EM5">
        <f t="shared" si="22"/>
        <v>268.54507407407408</v>
      </c>
      <c r="EQ5" s="1" t="s">
        <v>36</v>
      </c>
      <c r="ER5">
        <v>2</v>
      </c>
      <c r="ES5">
        <v>117</v>
      </c>
      <c r="EU5">
        <f t="shared" si="34"/>
        <v>0.32087037037037036</v>
      </c>
      <c r="EW5">
        <v>3.26</v>
      </c>
      <c r="EX5">
        <v>15</v>
      </c>
      <c r="EY5">
        <f t="shared" si="23"/>
        <v>271.16174074074075</v>
      </c>
      <c r="FC5" s="1" t="s">
        <v>36</v>
      </c>
      <c r="FD5">
        <v>2</v>
      </c>
      <c r="FE5">
        <v>117</v>
      </c>
      <c r="FG5">
        <f t="shared" si="35"/>
        <v>0.32087037037037036</v>
      </c>
      <c r="FI5">
        <v>2.8912</v>
      </c>
      <c r="FJ5">
        <v>15</v>
      </c>
      <c r="FK5">
        <f t="shared" si="24"/>
        <v>270.42414074074077</v>
      </c>
      <c r="FO5" s="1" t="s">
        <v>36</v>
      </c>
      <c r="FP5">
        <v>0</v>
      </c>
      <c r="FQ5">
        <v>117</v>
      </c>
      <c r="FS5">
        <f t="shared" si="36"/>
        <v>0.32087037037037036</v>
      </c>
      <c r="FU5">
        <v>2.8912</v>
      </c>
      <c r="FV5">
        <v>15</v>
      </c>
      <c r="FW5">
        <f t="shared" si="25"/>
        <v>0</v>
      </c>
      <c r="GA5" s="1" t="s">
        <v>36</v>
      </c>
      <c r="GB5">
        <v>3</v>
      </c>
      <c r="GC5">
        <v>117</v>
      </c>
      <c r="GE5">
        <f t="shared" si="37"/>
        <v>0.32087037037037036</v>
      </c>
      <c r="GG5">
        <v>2.8912</v>
      </c>
      <c r="GH5">
        <v>15</v>
      </c>
      <c r="GI5">
        <f t="shared" si="26"/>
        <v>405.63621111111115</v>
      </c>
      <c r="GM5" s="1" t="s">
        <v>36</v>
      </c>
      <c r="GN5">
        <v>2</v>
      </c>
      <c r="GO5">
        <v>117</v>
      </c>
      <c r="GQ5">
        <f t="shared" si="38"/>
        <v>0.32087037037037036</v>
      </c>
      <c r="GS5">
        <v>2.8912</v>
      </c>
      <c r="GT5">
        <v>15</v>
      </c>
      <c r="GU5">
        <f t="shared" si="27"/>
        <v>270.42414074074077</v>
      </c>
      <c r="GW5" t="s">
        <v>124</v>
      </c>
      <c r="GY5" s="1" t="s">
        <v>36</v>
      </c>
      <c r="GZ5">
        <v>0</v>
      </c>
      <c r="HA5">
        <v>117</v>
      </c>
      <c r="HC5">
        <f t="shared" si="39"/>
        <v>0.32087037037037036</v>
      </c>
      <c r="HE5">
        <v>2.8912</v>
      </c>
      <c r="HF5">
        <v>15</v>
      </c>
      <c r="HG5">
        <f t="shared" si="28"/>
        <v>0</v>
      </c>
      <c r="HI5" t="s">
        <v>124</v>
      </c>
      <c r="HK5" s="1" t="s">
        <v>36</v>
      </c>
      <c r="HL5">
        <v>0</v>
      </c>
      <c r="HM5">
        <v>117</v>
      </c>
      <c r="HO5">
        <f t="shared" si="40"/>
        <v>0.32087037037037036</v>
      </c>
      <c r="HQ5">
        <v>2.8912</v>
      </c>
      <c r="HR5">
        <v>15</v>
      </c>
      <c r="HS5">
        <f t="shared" si="29"/>
        <v>0</v>
      </c>
      <c r="HU5" t="s">
        <v>126</v>
      </c>
      <c r="HW5" s="1" t="s">
        <v>36</v>
      </c>
      <c r="HX5">
        <v>3</v>
      </c>
      <c r="HY5">
        <v>117</v>
      </c>
      <c r="IA5">
        <f t="shared" si="41"/>
        <v>0.32087037037037036</v>
      </c>
      <c r="IC5">
        <v>2.8912</v>
      </c>
      <c r="ID5">
        <v>15</v>
      </c>
      <c r="IE5">
        <f t="shared" si="30"/>
        <v>405.63621111111115</v>
      </c>
      <c r="IG5" t="s">
        <v>126</v>
      </c>
      <c r="II5" s="1" t="s">
        <v>36</v>
      </c>
      <c r="IJ5">
        <v>3</v>
      </c>
      <c r="IK5">
        <v>117</v>
      </c>
      <c r="IM5">
        <f t="shared" si="42"/>
        <v>0.32087037037037036</v>
      </c>
      <c r="IO5">
        <v>2.8912</v>
      </c>
      <c r="IP5">
        <v>15</v>
      </c>
      <c r="IQ5">
        <f t="shared" si="31"/>
        <v>405.63621111111115</v>
      </c>
      <c r="IU5" s="1" t="s">
        <v>36</v>
      </c>
      <c r="IV5">
        <v>7</v>
      </c>
      <c r="IW5">
        <v>117</v>
      </c>
      <c r="IY5">
        <f t="shared" si="43"/>
        <v>0.32087037037037036</v>
      </c>
      <c r="JA5">
        <v>2.8912</v>
      </c>
      <c r="JB5">
        <v>15</v>
      </c>
      <c r="JC5">
        <f t="shared" si="32"/>
        <v>946.48449259259269</v>
      </c>
    </row>
    <row r="6" spans="1:265">
      <c r="C6" s="1" t="s">
        <v>37</v>
      </c>
      <c r="D6">
        <v>7</v>
      </c>
      <c r="E6">
        <f t="shared" si="0"/>
        <v>109.8</v>
      </c>
      <c r="F6">
        <v>6</v>
      </c>
      <c r="G6">
        <f>(5/12-26.9/36/12)</f>
        <v>0.35439814814814818</v>
      </c>
      <c r="I6">
        <v>2.104166666666667</v>
      </c>
      <c r="J6">
        <v>15</v>
      </c>
      <c r="K6">
        <f t="shared" si="1"/>
        <v>932.80995370370363</v>
      </c>
      <c r="O6" s="1" t="s">
        <v>37</v>
      </c>
      <c r="P6">
        <v>7</v>
      </c>
      <c r="Q6">
        <f t="shared" si="4"/>
        <v>109.8</v>
      </c>
      <c r="R6">
        <v>6</v>
      </c>
      <c r="S6">
        <f>(5/12-26.9/36/12)</f>
        <v>0.35439814814814818</v>
      </c>
      <c r="U6">
        <v>2.104166666666667</v>
      </c>
      <c r="V6">
        <v>15</v>
      </c>
      <c r="W6">
        <f t="shared" si="2"/>
        <v>932.80995370370363</v>
      </c>
      <c r="AA6" s="1" t="s">
        <v>37</v>
      </c>
      <c r="AB6">
        <v>7</v>
      </c>
      <c r="AC6">
        <f t="shared" si="5"/>
        <v>109.8</v>
      </c>
      <c r="AD6">
        <v>6</v>
      </c>
      <c r="AE6">
        <f>(5/12-26.9/36/12)</f>
        <v>0.35439814814814818</v>
      </c>
      <c r="AG6">
        <v>2.104166666666667</v>
      </c>
      <c r="AH6">
        <v>15</v>
      </c>
      <c r="AI6">
        <f t="shared" si="3"/>
        <v>932.80995370370363</v>
      </c>
      <c r="AM6" s="1" t="s">
        <v>37</v>
      </c>
      <c r="AN6">
        <v>7</v>
      </c>
      <c r="AO6">
        <f t="shared" si="6"/>
        <v>109.8</v>
      </c>
      <c r="AP6">
        <v>6</v>
      </c>
      <c r="AQ6">
        <f>(5/12-26.9/36/12)</f>
        <v>0.35439814814814818</v>
      </c>
      <c r="AS6">
        <v>2.104166666666667</v>
      </c>
      <c r="AT6">
        <v>15</v>
      </c>
      <c r="AU6">
        <f t="shared" si="7"/>
        <v>932.80995370370363</v>
      </c>
      <c r="AY6" s="1" t="s">
        <v>37</v>
      </c>
      <c r="AZ6">
        <v>7</v>
      </c>
      <c r="BA6">
        <f t="shared" si="8"/>
        <v>109.8</v>
      </c>
      <c r="BB6">
        <v>6</v>
      </c>
      <c r="BC6">
        <f>(5/12-26.9/36/12)</f>
        <v>0.35439814814814818</v>
      </c>
      <c r="BE6">
        <v>2.104166666666667</v>
      </c>
      <c r="BF6">
        <v>15</v>
      </c>
      <c r="BG6">
        <f t="shared" si="9"/>
        <v>932.80995370370363</v>
      </c>
      <c r="BK6" s="1" t="s">
        <v>37</v>
      </c>
      <c r="BL6">
        <v>6</v>
      </c>
      <c r="BM6">
        <f t="shared" si="10"/>
        <v>109.8</v>
      </c>
      <c r="BN6">
        <v>6</v>
      </c>
      <c r="BO6">
        <f>(5/12-26.9/36/12)</f>
        <v>0.35439814814814818</v>
      </c>
      <c r="BQ6">
        <v>2.104166666666667</v>
      </c>
      <c r="BR6">
        <v>15</v>
      </c>
      <c r="BS6">
        <f t="shared" si="11"/>
        <v>799.55138888888882</v>
      </c>
      <c r="BW6" s="1" t="s">
        <v>37</v>
      </c>
      <c r="BX6">
        <v>6</v>
      </c>
      <c r="BY6">
        <f t="shared" si="12"/>
        <v>109.8</v>
      </c>
      <c r="BZ6">
        <v>6</v>
      </c>
      <c r="CA6">
        <f>(5/12-26.9/36/12)</f>
        <v>0.35439814814814818</v>
      </c>
      <c r="CC6">
        <v>2.104166666666667</v>
      </c>
      <c r="CD6">
        <v>15</v>
      </c>
      <c r="CE6">
        <f t="shared" si="13"/>
        <v>799.55138888888882</v>
      </c>
      <c r="CI6" s="1" t="s">
        <v>37</v>
      </c>
      <c r="CJ6">
        <v>6</v>
      </c>
      <c r="CK6">
        <f t="shared" si="14"/>
        <v>109.8</v>
      </c>
      <c r="CL6">
        <v>6</v>
      </c>
      <c r="CM6">
        <f>(5/12-26.9/36/12)</f>
        <v>0.35439814814814818</v>
      </c>
      <c r="CO6">
        <v>2.104166666666667</v>
      </c>
      <c r="CP6">
        <v>15</v>
      </c>
      <c r="CQ6">
        <f t="shared" si="15"/>
        <v>799.55138888888882</v>
      </c>
      <c r="CU6" s="1" t="s">
        <v>37</v>
      </c>
      <c r="CV6">
        <v>6</v>
      </c>
      <c r="CW6">
        <f t="shared" si="16"/>
        <v>109.8</v>
      </c>
      <c r="CX6">
        <v>6</v>
      </c>
      <c r="CY6">
        <f>(5/12-26.9/36/12)</f>
        <v>0.35439814814814818</v>
      </c>
      <c r="DA6">
        <v>2.104166666666667</v>
      </c>
      <c r="DB6">
        <v>15</v>
      </c>
      <c r="DC6">
        <f t="shared" si="17"/>
        <v>799.55138888888882</v>
      </c>
      <c r="DG6" s="1" t="s">
        <v>38</v>
      </c>
      <c r="DH6">
        <v>12</v>
      </c>
      <c r="DI6">
        <v>117</v>
      </c>
      <c r="DK6">
        <f t="shared" si="18"/>
        <v>0.35439814814814818</v>
      </c>
      <c r="DL6">
        <f>(3-30/20/12-9/12)</f>
        <v>2.125</v>
      </c>
      <c r="DM6">
        <v>2.5049999999999999</v>
      </c>
      <c r="DN6">
        <v>15</v>
      </c>
      <c r="DO6">
        <f t="shared" si="19"/>
        <v>1643.8127777777779</v>
      </c>
      <c r="DS6" s="1" t="s">
        <v>38</v>
      </c>
      <c r="DT6">
        <v>12</v>
      </c>
      <c r="DU6">
        <v>117</v>
      </c>
      <c r="DW6">
        <f t="shared" si="33"/>
        <v>0.32087037037037036</v>
      </c>
      <c r="DX6">
        <f>(3-30/20/12-9/12)</f>
        <v>2.125</v>
      </c>
      <c r="DY6">
        <v>3.26</v>
      </c>
      <c r="DZ6">
        <v>15</v>
      </c>
      <c r="EA6">
        <f t="shared" si="20"/>
        <v>1652.4704444444446</v>
      </c>
      <c r="EE6" s="1" t="s">
        <v>38</v>
      </c>
      <c r="EF6">
        <v>11</v>
      </c>
      <c r="EG6">
        <v>117</v>
      </c>
      <c r="EI6">
        <f>(5/12-41.384/36/12)</f>
        <v>0.32087037037037036</v>
      </c>
      <c r="EJ6">
        <f>(3-40/50/12-5/12)</f>
        <v>2.5166666666666666</v>
      </c>
      <c r="EK6">
        <v>2.5049999999999999</v>
      </c>
      <c r="EL6">
        <v>15</v>
      </c>
      <c r="EM6">
        <f t="shared" si="22"/>
        <v>1510.7679074074074</v>
      </c>
      <c r="EQ6" s="1" t="s">
        <v>38</v>
      </c>
      <c r="ER6">
        <v>12</v>
      </c>
      <c r="ES6">
        <v>117</v>
      </c>
      <c r="EU6">
        <f t="shared" si="34"/>
        <v>0.32087037037037036</v>
      </c>
      <c r="EV6">
        <f>(3-30/20/12-9/12)</f>
        <v>2.125</v>
      </c>
      <c r="EW6">
        <v>3.26</v>
      </c>
      <c r="EX6">
        <v>15</v>
      </c>
      <c r="EY6">
        <f t="shared" si="23"/>
        <v>1652.4704444444446</v>
      </c>
      <c r="FC6" s="1" t="s">
        <v>38</v>
      </c>
      <c r="FD6">
        <v>11</v>
      </c>
      <c r="FE6">
        <v>117</v>
      </c>
      <c r="FG6">
        <f t="shared" si="35"/>
        <v>0.32087037037037036</v>
      </c>
      <c r="FH6">
        <f>(3-30/20/12-9/12)</f>
        <v>2.125</v>
      </c>
      <c r="FI6">
        <v>3.4095</v>
      </c>
      <c r="FJ6">
        <v>15</v>
      </c>
      <c r="FK6">
        <f t="shared" si="24"/>
        <v>1516.4090740740739</v>
      </c>
      <c r="FO6" s="1" t="s">
        <v>38</v>
      </c>
      <c r="FP6">
        <v>11</v>
      </c>
      <c r="FQ6">
        <v>117</v>
      </c>
      <c r="FS6">
        <f t="shared" si="36"/>
        <v>0.32087037037037036</v>
      </c>
      <c r="FT6">
        <f>(3-30/20/12-9/12)</f>
        <v>2.125</v>
      </c>
      <c r="FU6">
        <v>3.4095</v>
      </c>
      <c r="FV6">
        <v>15</v>
      </c>
      <c r="FW6">
        <f t="shared" si="25"/>
        <v>1516.4090740740739</v>
      </c>
      <c r="GA6" s="1" t="s">
        <v>38</v>
      </c>
      <c r="GB6">
        <v>11</v>
      </c>
      <c r="GC6">
        <v>117</v>
      </c>
      <c r="GE6">
        <f t="shared" si="37"/>
        <v>0.32087037037037036</v>
      </c>
      <c r="GF6">
        <f>(3-30/20/12-9/12)</f>
        <v>2.125</v>
      </c>
      <c r="GG6">
        <v>3.4095</v>
      </c>
      <c r="GH6">
        <v>15</v>
      </c>
      <c r="GI6">
        <f t="shared" si="26"/>
        <v>1516.4090740740739</v>
      </c>
      <c r="GM6" s="1" t="s">
        <v>38</v>
      </c>
      <c r="GN6">
        <v>11</v>
      </c>
      <c r="GO6">
        <v>117</v>
      </c>
      <c r="GQ6">
        <f t="shared" si="38"/>
        <v>0.32087037037037036</v>
      </c>
      <c r="GR6">
        <f>(3-30/20/12-9/12)</f>
        <v>2.125</v>
      </c>
      <c r="GS6">
        <v>3.4095</v>
      </c>
      <c r="GT6">
        <v>15</v>
      </c>
      <c r="GU6">
        <f t="shared" si="27"/>
        <v>1516.4090740740739</v>
      </c>
      <c r="GY6" s="1" t="s">
        <v>38</v>
      </c>
      <c r="GZ6">
        <v>11</v>
      </c>
      <c r="HA6">
        <v>117</v>
      </c>
      <c r="HC6">
        <f t="shared" si="39"/>
        <v>0.32087037037037036</v>
      </c>
      <c r="HD6">
        <f>(3-30/20/12-9/12)</f>
        <v>2.125</v>
      </c>
      <c r="HE6">
        <v>3.4095</v>
      </c>
      <c r="HF6">
        <v>15</v>
      </c>
      <c r="HG6">
        <f t="shared" si="28"/>
        <v>1516.4090740740739</v>
      </c>
      <c r="HI6" t="s">
        <v>125</v>
      </c>
      <c r="HK6" s="1" t="s">
        <v>38</v>
      </c>
      <c r="HL6">
        <v>11</v>
      </c>
      <c r="HM6">
        <v>117</v>
      </c>
      <c r="HO6">
        <f t="shared" si="40"/>
        <v>0.32087037037037036</v>
      </c>
      <c r="HP6">
        <f>(3-30/20/12-9/12)</f>
        <v>2.125</v>
      </c>
      <c r="HQ6">
        <v>3.4095</v>
      </c>
      <c r="HR6">
        <v>15</v>
      </c>
      <c r="HS6">
        <f t="shared" si="29"/>
        <v>1516.4090740740739</v>
      </c>
      <c r="HU6" t="s">
        <v>127</v>
      </c>
      <c r="HW6" s="1" t="s">
        <v>38</v>
      </c>
      <c r="HX6">
        <v>10</v>
      </c>
      <c r="HY6">
        <v>117</v>
      </c>
      <c r="IA6">
        <f t="shared" si="41"/>
        <v>0.32087037037037036</v>
      </c>
      <c r="IB6">
        <f>(3-30/20/12-9/12)</f>
        <v>2.125</v>
      </c>
      <c r="IC6">
        <v>3.4095</v>
      </c>
      <c r="ID6">
        <v>15</v>
      </c>
      <c r="IE6">
        <f t="shared" si="30"/>
        <v>1378.5537037037036</v>
      </c>
      <c r="IG6" t="s">
        <v>127</v>
      </c>
      <c r="II6" s="1" t="s">
        <v>38</v>
      </c>
      <c r="IJ6">
        <v>10</v>
      </c>
      <c r="IK6">
        <v>117</v>
      </c>
      <c r="IM6">
        <f t="shared" si="42"/>
        <v>0.32087037037037036</v>
      </c>
      <c r="IN6">
        <f>(3-30/20/12-9/12)</f>
        <v>2.125</v>
      </c>
      <c r="IO6">
        <v>3.4095</v>
      </c>
      <c r="IP6">
        <v>15</v>
      </c>
      <c r="IQ6">
        <f t="shared" si="31"/>
        <v>1378.5537037037036</v>
      </c>
      <c r="IU6" s="1" t="s">
        <v>38</v>
      </c>
      <c r="IV6">
        <v>11</v>
      </c>
      <c r="IW6">
        <v>117</v>
      </c>
      <c r="IY6">
        <f t="shared" si="43"/>
        <v>0.32087037037037036</v>
      </c>
      <c r="IZ6">
        <f>(3-30/20/12-9/12)</f>
        <v>2.125</v>
      </c>
      <c r="JA6">
        <v>3.4095</v>
      </c>
      <c r="JB6">
        <v>15</v>
      </c>
      <c r="JC6">
        <f t="shared" si="32"/>
        <v>1516.4090740740739</v>
      </c>
    </row>
    <row r="7" spans="1:265">
      <c r="C7" s="1" t="s">
        <v>39</v>
      </c>
      <c r="D7">
        <v>7</v>
      </c>
      <c r="E7">
        <f t="shared" si="0"/>
        <v>109.8</v>
      </c>
      <c r="F7">
        <v>6</v>
      </c>
      <c r="G7">
        <f>(5/12-26.9/36/12)</f>
        <v>0.35439814814814818</v>
      </c>
      <c r="H7">
        <f>(3-30/20/12-9/12)</f>
        <v>2.125</v>
      </c>
      <c r="I7">
        <v>1.6966666666666668</v>
      </c>
      <c r="J7">
        <v>15</v>
      </c>
      <c r="K7">
        <f t="shared" si="1"/>
        <v>944.83245370370378</v>
      </c>
      <c r="O7" s="1" t="s">
        <v>39</v>
      </c>
      <c r="P7">
        <v>7</v>
      </c>
      <c r="Q7">
        <f t="shared" si="4"/>
        <v>109.8</v>
      </c>
      <c r="R7">
        <v>6</v>
      </c>
      <c r="S7">
        <f>(5/12-26.9/36/12)</f>
        <v>0.35439814814814818</v>
      </c>
      <c r="T7">
        <f>(3-30/20/12-9/12)</f>
        <v>2.125</v>
      </c>
      <c r="U7">
        <v>1.6966666666666668</v>
      </c>
      <c r="V7">
        <v>15</v>
      </c>
      <c r="W7">
        <f t="shared" si="2"/>
        <v>944.83245370370378</v>
      </c>
      <c r="AA7" s="1" t="s">
        <v>39</v>
      </c>
      <c r="AB7">
        <v>5</v>
      </c>
      <c r="AC7">
        <f t="shared" si="5"/>
        <v>109.8</v>
      </c>
      <c r="AD7">
        <v>6</v>
      </c>
      <c r="AE7">
        <f>(5/12-26.9/36/12)</f>
        <v>0.35439814814814818</v>
      </c>
      <c r="AF7">
        <f>(3-30/20/12-9/12)</f>
        <v>2.125</v>
      </c>
      <c r="AG7">
        <v>1.6966666666666668</v>
      </c>
      <c r="AH7">
        <v>15</v>
      </c>
      <c r="AI7">
        <f t="shared" si="3"/>
        <v>674.88032407407422</v>
      </c>
      <c r="AM7" s="1" t="s">
        <v>39</v>
      </c>
      <c r="AN7">
        <v>7</v>
      </c>
      <c r="AO7">
        <f t="shared" si="6"/>
        <v>109.8</v>
      </c>
      <c r="AP7">
        <v>6</v>
      </c>
      <c r="AQ7">
        <f>(5/12-26.9/36/12)</f>
        <v>0.35439814814814818</v>
      </c>
      <c r="AR7">
        <f>(3-30/20/12-9/12)</f>
        <v>2.125</v>
      </c>
      <c r="AS7">
        <v>1.6966666666666668</v>
      </c>
      <c r="AT7">
        <v>15</v>
      </c>
      <c r="AU7">
        <f>SUM(AO7:AT7)*AN7</f>
        <v>944.83245370370378</v>
      </c>
      <c r="AY7" s="1" t="s">
        <v>39</v>
      </c>
      <c r="AZ7">
        <v>7</v>
      </c>
      <c r="BA7">
        <f t="shared" si="8"/>
        <v>109.8</v>
      </c>
      <c r="BB7">
        <v>6</v>
      </c>
      <c r="BC7">
        <f>(5/12-26.9/36/12)</f>
        <v>0.35439814814814818</v>
      </c>
      <c r="BD7">
        <f>(3-30/20/12-9/12)</f>
        <v>2.125</v>
      </c>
      <c r="BE7">
        <v>1.6966666666666668</v>
      </c>
      <c r="BF7">
        <v>15</v>
      </c>
      <c r="BG7">
        <f>SUM(BA7:BF7)*AZ7</f>
        <v>944.83245370370378</v>
      </c>
      <c r="BK7" s="1" t="s">
        <v>39</v>
      </c>
      <c r="BL7">
        <v>7</v>
      </c>
      <c r="BM7">
        <f t="shared" si="10"/>
        <v>109.8</v>
      </c>
      <c r="BN7">
        <v>6</v>
      </c>
      <c r="BO7">
        <f>(5/12-26.9/36/12)</f>
        <v>0.35439814814814818</v>
      </c>
      <c r="BP7">
        <f>(3-30/20/12-9/12)</f>
        <v>2.125</v>
      </c>
      <c r="BQ7">
        <v>1.6966666666666668</v>
      </c>
      <c r="BR7">
        <v>15</v>
      </c>
      <c r="BS7">
        <f>SUM(BM7:BR7)*BL7</f>
        <v>944.83245370370378</v>
      </c>
      <c r="BW7" s="1" t="s">
        <v>39</v>
      </c>
      <c r="BX7">
        <v>6</v>
      </c>
      <c r="BY7">
        <f t="shared" si="12"/>
        <v>109.8</v>
      </c>
      <c r="BZ7">
        <v>6</v>
      </c>
      <c r="CA7">
        <f>(5/12-26.9/36/12)</f>
        <v>0.35439814814814818</v>
      </c>
      <c r="CB7">
        <f>(3-30/20/12-9/12)</f>
        <v>2.125</v>
      </c>
      <c r="CC7">
        <v>1.6966666666666668</v>
      </c>
      <c r="CD7">
        <v>15</v>
      </c>
      <c r="CE7">
        <f>SUM(BY7:CD7)*BX7</f>
        <v>809.856388888889</v>
      </c>
      <c r="CI7" s="1" t="s">
        <v>39</v>
      </c>
      <c r="CJ7">
        <v>6</v>
      </c>
      <c r="CK7">
        <f t="shared" si="14"/>
        <v>109.8</v>
      </c>
      <c r="CL7">
        <v>6</v>
      </c>
      <c r="CM7">
        <f>(5/12-26.9/36/12)</f>
        <v>0.35439814814814818</v>
      </c>
      <c r="CN7">
        <f>(3-30/20/12-9/12)</f>
        <v>2.125</v>
      </c>
      <c r="CO7">
        <v>1.6966666666666668</v>
      </c>
      <c r="CP7">
        <v>15</v>
      </c>
      <c r="CQ7">
        <f>SUM(CK7:CP7)*CJ7</f>
        <v>809.856388888889</v>
      </c>
      <c r="CU7" s="1" t="s">
        <v>39</v>
      </c>
      <c r="CV7">
        <v>6</v>
      </c>
      <c r="CW7">
        <f t="shared" si="16"/>
        <v>109.8</v>
      </c>
      <c r="CX7">
        <v>6</v>
      </c>
      <c r="CY7">
        <f>(5/12-26.9/36/12)</f>
        <v>0.35439814814814818</v>
      </c>
      <c r="CZ7">
        <f>(3-30/20/12-9/12)</f>
        <v>2.125</v>
      </c>
      <c r="DA7">
        <v>1.6966666666666668</v>
      </c>
      <c r="DB7">
        <v>15</v>
      </c>
      <c r="DC7">
        <f>SUM(CW7:DB7)*CV7</f>
        <v>809.856388888889</v>
      </c>
      <c r="DG7" s="3" t="s">
        <v>39</v>
      </c>
      <c r="DH7">
        <v>4</v>
      </c>
      <c r="DI7">
        <v>117</v>
      </c>
      <c r="DK7">
        <f t="shared" si="18"/>
        <v>0.35439814814814818</v>
      </c>
      <c r="DL7">
        <f>(3-30/20/12-9/12)</f>
        <v>2.125</v>
      </c>
      <c r="DM7">
        <v>2.104166666666667</v>
      </c>
      <c r="DN7">
        <v>15</v>
      </c>
      <c r="DO7">
        <f t="shared" si="19"/>
        <v>546.33425925925928</v>
      </c>
      <c r="DS7" s="3" t="s">
        <v>39</v>
      </c>
      <c r="DT7">
        <v>4</v>
      </c>
      <c r="DU7">
        <v>117</v>
      </c>
      <c r="DW7">
        <f t="shared" si="33"/>
        <v>0.32087037037037036</v>
      </c>
      <c r="DX7">
        <f>(3-30/20/12-9/12)</f>
        <v>2.125</v>
      </c>
      <c r="DY7">
        <v>2.71</v>
      </c>
      <c r="DZ7">
        <v>15</v>
      </c>
      <c r="EA7">
        <f t="shared" si="20"/>
        <v>548.62348148148146</v>
      </c>
      <c r="EE7" s="3" t="s">
        <v>39</v>
      </c>
      <c r="EF7">
        <v>4</v>
      </c>
      <c r="EG7">
        <v>117</v>
      </c>
      <c r="EI7">
        <f>(5/12-41.384/36/12)</f>
        <v>0.32087037037037036</v>
      </c>
      <c r="EJ7">
        <f>(3-40/50/12-5/12)</f>
        <v>2.5166666666666666</v>
      </c>
      <c r="EK7">
        <v>2.104166666666667</v>
      </c>
      <c r="EL7">
        <v>15</v>
      </c>
      <c r="EM7">
        <f t="shared" si="22"/>
        <v>547.76681481481478</v>
      </c>
      <c r="EQ7" s="3" t="s">
        <v>39</v>
      </c>
      <c r="ER7">
        <v>4</v>
      </c>
      <c r="ES7">
        <v>117</v>
      </c>
      <c r="EU7">
        <f t="shared" si="34"/>
        <v>0.32087037037037036</v>
      </c>
      <c r="EV7">
        <f>(3-30/20/12-9/12)</f>
        <v>2.125</v>
      </c>
      <c r="EW7">
        <v>2.71</v>
      </c>
      <c r="EX7">
        <v>15</v>
      </c>
      <c r="EY7">
        <f t="shared" si="23"/>
        <v>548.62348148148146</v>
      </c>
      <c r="FC7" s="3" t="s">
        <v>39</v>
      </c>
      <c r="FD7">
        <v>2</v>
      </c>
      <c r="FE7">
        <v>117</v>
      </c>
      <c r="FG7">
        <f t="shared" si="35"/>
        <v>0.32087037037037036</v>
      </c>
      <c r="FH7">
        <f>(3-30/20/12-9/12)</f>
        <v>2.125</v>
      </c>
      <c r="FI7">
        <v>4.0949999999999998</v>
      </c>
      <c r="FJ7">
        <v>15</v>
      </c>
      <c r="FK7">
        <f t="shared" si="24"/>
        <v>277.08174074074077</v>
      </c>
      <c r="FO7" s="3" t="s">
        <v>39</v>
      </c>
      <c r="FP7">
        <v>2</v>
      </c>
      <c r="FQ7">
        <v>117</v>
      </c>
      <c r="FS7">
        <f t="shared" si="36"/>
        <v>0.32087037037037036</v>
      </c>
      <c r="FT7">
        <f>(3-30/20/12-9/12)</f>
        <v>2.125</v>
      </c>
      <c r="FU7">
        <v>4.0949999999999998</v>
      </c>
      <c r="FV7">
        <v>15</v>
      </c>
      <c r="FW7">
        <f t="shared" si="25"/>
        <v>277.08174074074077</v>
      </c>
      <c r="GA7" s="3" t="s">
        <v>39</v>
      </c>
      <c r="GB7">
        <v>2</v>
      </c>
      <c r="GC7">
        <v>117</v>
      </c>
      <c r="GE7">
        <f t="shared" si="37"/>
        <v>0.32087037037037036</v>
      </c>
      <c r="GF7">
        <f>(3-30/20/12-9/12)</f>
        <v>2.125</v>
      </c>
      <c r="GG7">
        <v>4.0949999999999998</v>
      </c>
      <c r="GH7">
        <v>15</v>
      </c>
      <c r="GI7">
        <f t="shared" si="26"/>
        <v>277.08174074074077</v>
      </c>
      <c r="GM7" s="3" t="s">
        <v>39</v>
      </c>
      <c r="GN7">
        <v>2</v>
      </c>
      <c r="GO7">
        <v>117</v>
      </c>
      <c r="GQ7">
        <f t="shared" si="38"/>
        <v>0.32087037037037036</v>
      </c>
      <c r="GR7">
        <f>(3-30/20/12-9/12)</f>
        <v>2.125</v>
      </c>
      <c r="GS7">
        <v>4.0949999999999998</v>
      </c>
      <c r="GT7">
        <v>15</v>
      </c>
      <c r="GU7">
        <f t="shared" si="27"/>
        <v>277.08174074074077</v>
      </c>
      <c r="GY7" s="3" t="s">
        <v>39</v>
      </c>
      <c r="GZ7">
        <v>2</v>
      </c>
      <c r="HA7">
        <v>117</v>
      </c>
      <c r="HC7">
        <f t="shared" si="39"/>
        <v>0.32087037037037036</v>
      </c>
      <c r="HD7">
        <f>(3-30/20/12-9/12)</f>
        <v>2.125</v>
      </c>
      <c r="HE7">
        <v>4.0949999999999998</v>
      </c>
      <c r="HF7">
        <v>15</v>
      </c>
      <c r="HG7">
        <f t="shared" si="28"/>
        <v>277.08174074074077</v>
      </c>
      <c r="HK7" s="3" t="s">
        <v>39</v>
      </c>
      <c r="HL7">
        <v>0</v>
      </c>
      <c r="HM7">
        <v>117</v>
      </c>
      <c r="HO7">
        <f t="shared" si="40"/>
        <v>0.32087037037037036</v>
      </c>
      <c r="HP7">
        <f>(3-30/20/12-9/12)</f>
        <v>2.125</v>
      </c>
      <c r="HQ7">
        <v>4.0949999999999998</v>
      </c>
      <c r="HR7">
        <v>15</v>
      </c>
      <c r="HS7">
        <f t="shared" si="29"/>
        <v>0</v>
      </c>
      <c r="HW7" s="3" t="s">
        <v>39</v>
      </c>
      <c r="HX7">
        <v>2</v>
      </c>
      <c r="HY7">
        <v>117</v>
      </c>
      <c r="IA7">
        <f t="shared" si="41"/>
        <v>0.32087037037037036</v>
      </c>
      <c r="IB7">
        <f>(3-30/20/12-9/12)</f>
        <v>2.125</v>
      </c>
      <c r="IC7">
        <v>4.0949999999999998</v>
      </c>
      <c r="ID7">
        <v>15</v>
      </c>
      <c r="IE7">
        <f t="shared" si="30"/>
        <v>277.08174074074077</v>
      </c>
      <c r="II7" s="3" t="s">
        <v>39</v>
      </c>
      <c r="IJ7">
        <v>2</v>
      </c>
      <c r="IK7">
        <v>117</v>
      </c>
      <c r="IM7">
        <f t="shared" si="42"/>
        <v>0.32087037037037036</v>
      </c>
      <c r="IN7">
        <f>(3-30/20/12-9/12)</f>
        <v>2.125</v>
      </c>
      <c r="IO7">
        <v>4.0949999999999998</v>
      </c>
      <c r="IP7">
        <v>15</v>
      </c>
      <c r="IQ7">
        <f t="shared" si="31"/>
        <v>277.08174074074077</v>
      </c>
      <c r="IU7" s="3" t="s">
        <v>39</v>
      </c>
      <c r="IW7">
        <v>117</v>
      </c>
      <c r="IY7">
        <f t="shared" si="43"/>
        <v>0.32087037037037036</v>
      </c>
      <c r="IZ7">
        <f>(3-30/20/12-9/12)</f>
        <v>2.125</v>
      </c>
      <c r="JA7">
        <v>4.0949999999999998</v>
      </c>
      <c r="JB7">
        <v>15</v>
      </c>
      <c r="JC7">
        <f t="shared" si="32"/>
        <v>0</v>
      </c>
    </row>
    <row r="8" spans="1:265">
      <c r="C8" t="s">
        <v>31</v>
      </c>
      <c r="D8">
        <f>21+4+8+7+11+6</f>
        <v>57</v>
      </c>
      <c r="E8">
        <f>122*0.05</f>
        <v>6.1000000000000005</v>
      </c>
      <c r="K8">
        <f>-SUM(E8:J8)*D8</f>
        <v>-347.70000000000005</v>
      </c>
      <c r="O8" t="s">
        <v>31</v>
      </c>
      <c r="P8">
        <f>21+4+8+7+11+6</f>
        <v>57</v>
      </c>
      <c r="Q8">
        <f>122*0.05</f>
        <v>6.1000000000000005</v>
      </c>
      <c r="W8">
        <f>-SUM(Q8:V8)*P8</f>
        <v>-347.70000000000005</v>
      </c>
      <c r="AA8" t="s">
        <v>31</v>
      </c>
      <c r="AB8">
        <f>21+4+8+7+11+6</f>
        <v>57</v>
      </c>
      <c r="AC8">
        <f>122*0.05</f>
        <v>6.1000000000000005</v>
      </c>
      <c r="AI8">
        <f>-SUM(AC8:AH8)*AB8</f>
        <v>-347.70000000000005</v>
      </c>
      <c r="AM8" t="s">
        <v>31</v>
      </c>
      <c r="AN8">
        <f>21+4+8+7+11+8</f>
        <v>59</v>
      </c>
      <c r="AO8">
        <f>122*0.05</f>
        <v>6.1000000000000005</v>
      </c>
      <c r="AU8">
        <f>-SUM(AO8:AT8)*AN8</f>
        <v>-359.90000000000003</v>
      </c>
      <c r="AY8" t="s">
        <v>31</v>
      </c>
      <c r="AZ8">
        <f>21+4+8+7+11+8</f>
        <v>59</v>
      </c>
      <c r="BA8">
        <f>122*0.05</f>
        <v>6.1000000000000005</v>
      </c>
      <c r="BG8">
        <f>-SUM(BA8:BF8)*AZ8</f>
        <v>-359.90000000000003</v>
      </c>
      <c r="BK8" t="s">
        <v>31</v>
      </c>
      <c r="BL8">
        <f>1+2+18+1+1+1+1+7+2+8+5+13</f>
        <v>60</v>
      </c>
      <c r="BM8">
        <f>122*0.05</f>
        <v>6.1000000000000005</v>
      </c>
      <c r="BS8">
        <f>-SUM(BM8:BR8)*BL8</f>
        <v>-366.00000000000006</v>
      </c>
      <c r="BW8" t="s">
        <v>31</v>
      </c>
      <c r="BX8">
        <f>3+4+0+5+2+8+4</f>
        <v>26</v>
      </c>
      <c r="BY8">
        <f>122*0.05</f>
        <v>6.1000000000000005</v>
      </c>
      <c r="CE8">
        <f>-SUM(BY8:CD8)*BX8</f>
        <v>-158.60000000000002</v>
      </c>
      <c r="CI8" t="s">
        <v>31</v>
      </c>
      <c r="CJ8">
        <f>3+4+0+5+2+8+4</f>
        <v>26</v>
      </c>
      <c r="CK8">
        <f>122*0.05</f>
        <v>6.1000000000000005</v>
      </c>
      <c r="CQ8">
        <f>-SUM(CK8:CP8)*CJ8</f>
        <v>-158.60000000000002</v>
      </c>
      <c r="CU8" t="s">
        <v>31</v>
      </c>
      <c r="CV8">
        <f>3+4+0+5+2+8+4</f>
        <v>26</v>
      </c>
      <c r="CW8">
        <f>122*0.05</f>
        <v>6.1000000000000005</v>
      </c>
      <c r="DC8">
        <f>-SUM(CW8:DB8)*CV8</f>
        <v>-158.60000000000002</v>
      </c>
      <c r="DG8" s="1" t="s">
        <v>65</v>
      </c>
      <c r="DH8">
        <v>5</v>
      </c>
      <c r="DI8">
        <v>117</v>
      </c>
      <c r="DK8">
        <f t="shared" si="18"/>
        <v>0.35439814814814818</v>
      </c>
      <c r="DL8">
        <f>(3-30/20/12-9/12)</f>
        <v>2.125</v>
      </c>
      <c r="DM8">
        <v>1.6966666666666668</v>
      </c>
      <c r="DN8">
        <v>15</v>
      </c>
      <c r="DO8">
        <f>SUM(DI8:DN8)*DH8</f>
        <v>680.88032407407411</v>
      </c>
      <c r="DS8" s="1" t="s">
        <v>65</v>
      </c>
      <c r="DT8">
        <v>5</v>
      </c>
      <c r="DU8">
        <v>117</v>
      </c>
      <c r="DW8">
        <f t="shared" si="33"/>
        <v>0.32087037037037036</v>
      </c>
      <c r="DX8">
        <f>(3-30/20/12-9/12)</f>
        <v>2.125</v>
      </c>
      <c r="DY8">
        <v>2.4</v>
      </c>
      <c r="DZ8">
        <v>15</v>
      </c>
      <c r="EA8">
        <f>SUM(DU8:DZ8)*DT8</f>
        <v>684.22935185185202</v>
      </c>
      <c r="EE8" s="1" t="s">
        <v>65</v>
      </c>
      <c r="EF8">
        <v>5</v>
      </c>
      <c r="EG8">
        <v>117</v>
      </c>
      <c r="EI8">
        <f>(5/12-41.384/36/12)</f>
        <v>0.32087037037037036</v>
      </c>
      <c r="EJ8">
        <f>(3-40/50/12-5/12)</f>
        <v>2.5166666666666666</v>
      </c>
      <c r="EK8">
        <v>1.6966666666666668</v>
      </c>
      <c r="EL8">
        <v>15</v>
      </c>
      <c r="EM8">
        <f>SUM(EG8:EL8)*EF8</f>
        <v>682.67101851851862</v>
      </c>
      <c r="EQ8" s="1" t="s">
        <v>65</v>
      </c>
      <c r="ER8">
        <v>4</v>
      </c>
      <c r="ES8">
        <v>117</v>
      </c>
      <c r="EU8">
        <f t="shared" si="34"/>
        <v>0.32087037037037036</v>
      </c>
      <c r="EV8">
        <f>(3-30/20/12-9/12)</f>
        <v>2.125</v>
      </c>
      <c r="EW8">
        <v>2.4</v>
      </c>
      <c r="EX8">
        <v>15</v>
      </c>
      <c r="EY8">
        <f>SUM(ES8:EX8)*ER8</f>
        <v>547.38348148148157</v>
      </c>
      <c r="FC8" s="1" t="s">
        <v>65</v>
      </c>
      <c r="FD8">
        <v>5</v>
      </c>
      <c r="FE8">
        <v>117</v>
      </c>
      <c r="FG8">
        <f t="shared" si="35"/>
        <v>0.32087037037037036</v>
      </c>
      <c r="FH8">
        <f>(3-30/20/12-9/12)</f>
        <v>2.125</v>
      </c>
      <c r="FI8">
        <v>1.2258</v>
      </c>
      <c r="FJ8">
        <v>15</v>
      </c>
      <c r="FK8">
        <f>SUM(FE8:FJ8)*FD8</f>
        <v>678.35835185185192</v>
      </c>
      <c r="FO8" s="1" t="s">
        <v>65</v>
      </c>
      <c r="FP8">
        <v>5</v>
      </c>
      <c r="FQ8">
        <v>117</v>
      </c>
      <c r="FS8">
        <f t="shared" si="36"/>
        <v>0.32087037037037036</v>
      </c>
      <c r="FT8">
        <f>(3-30/20/12-9/12)</f>
        <v>2.125</v>
      </c>
      <c r="FU8">
        <v>1.2258</v>
      </c>
      <c r="FV8">
        <v>15</v>
      </c>
      <c r="FW8">
        <f>SUM(FQ8:FV8)*FP8</f>
        <v>678.35835185185192</v>
      </c>
      <c r="GA8" s="1" t="s">
        <v>65</v>
      </c>
      <c r="GB8">
        <v>5</v>
      </c>
      <c r="GC8">
        <v>117</v>
      </c>
      <c r="GE8">
        <f t="shared" si="37"/>
        <v>0.32087037037037036</v>
      </c>
      <c r="GF8">
        <f>(3-30/20/12-9/12)</f>
        <v>2.125</v>
      </c>
      <c r="GG8">
        <v>1.2258</v>
      </c>
      <c r="GH8">
        <v>15</v>
      </c>
      <c r="GI8">
        <f>SUM(GC8:GH8)*GB8</f>
        <v>678.35835185185192</v>
      </c>
      <c r="GM8" s="1" t="s">
        <v>65</v>
      </c>
      <c r="GN8">
        <v>5</v>
      </c>
      <c r="GO8">
        <v>109.8</v>
      </c>
      <c r="GQ8">
        <f t="shared" si="38"/>
        <v>0.32087037037037036</v>
      </c>
      <c r="GR8">
        <f>(3-30/20/12-9/12)</f>
        <v>2.125</v>
      </c>
      <c r="GS8">
        <v>1.2258</v>
      </c>
      <c r="GT8">
        <v>15</v>
      </c>
      <c r="GU8">
        <f>SUM(GO8:GT8)*GN8</f>
        <v>642.35835185185181</v>
      </c>
      <c r="GY8" s="1" t="s">
        <v>65</v>
      </c>
      <c r="GZ8">
        <v>5</v>
      </c>
      <c r="HA8">
        <v>109.8</v>
      </c>
      <c r="HC8">
        <f t="shared" si="39"/>
        <v>0.32087037037037036</v>
      </c>
      <c r="HD8">
        <f>(3-30/20/12-9/12)</f>
        <v>2.125</v>
      </c>
      <c r="HE8">
        <v>1.2258</v>
      </c>
      <c r="HF8">
        <v>15</v>
      </c>
      <c r="HG8">
        <f>SUM(HA8:HF8)*GZ8</f>
        <v>642.35835185185181</v>
      </c>
      <c r="HK8" s="1" t="s">
        <v>65</v>
      </c>
      <c r="HL8">
        <v>5</v>
      </c>
      <c r="HM8">
        <v>109.8</v>
      </c>
      <c r="HO8">
        <f t="shared" si="40"/>
        <v>0.32087037037037036</v>
      </c>
      <c r="HP8">
        <f>(3-30/20/12-9/12)</f>
        <v>2.125</v>
      </c>
      <c r="HQ8">
        <v>1.2258</v>
      </c>
      <c r="HR8">
        <v>15</v>
      </c>
      <c r="HS8">
        <f>SUM(HM8:HR8)*HL8</f>
        <v>642.35835185185181</v>
      </c>
      <c r="HW8" s="1" t="s">
        <v>65</v>
      </c>
      <c r="HX8">
        <v>5</v>
      </c>
      <c r="HY8">
        <v>109.8</v>
      </c>
      <c r="IA8">
        <f t="shared" si="41"/>
        <v>0.32087037037037036</v>
      </c>
      <c r="IB8">
        <f>(3-30/20/12-9/12)</f>
        <v>2.125</v>
      </c>
      <c r="IC8">
        <v>1.2258</v>
      </c>
      <c r="ID8">
        <v>15</v>
      </c>
      <c r="IE8">
        <f>SUM(HY8:ID8)*HX8</f>
        <v>642.35835185185181</v>
      </c>
      <c r="II8" s="1" t="s">
        <v>65</v>
      </c>
      <c r="IJ8">
        <v>5</v>
      </c>
      <c r="IK8">
        <v>109.8</v>
      </c>
      <c r="IM8">
        <f t="shared" si="42"/>
        <v>0.32087037037037036</v>
      </c>
      <c r="IN8">
        <f>(3-30/20/12-9/12)</f>
        <v>2.125</v>
      </c>
      <c r="IO8">
        <v>1.2258</v>
      </c>
      <c r="IP8">
        <v>15</v>
      </c>
      <c r="IQ8">
        <f>SUM(IK8:IP8)*IJ8</f>
        <v>642.35835185185181</v>
      </c>
      <c r="IU8" s="1" t="s">
        <v>65</v>
      </c>
      <c r="IV8">
        <v>11</v>
      </c>
      <c r="IW8">
        <v>109.8</v>
      </c>
      <c r="IY8">
        <f t="shared" si="43"/>
        <v>0.32087037037037036</v>
      </c>
      <c r="IZ8">
        <f>(3-30/20/12-9/12)</f>
        <v>2.125</v>
      </c>
      <c r="JA8">
        <v>1.2258</v>
      </c>
      <c r="JB8">
        <v>15</v>
      </c>
      <c r="JC8">
        <f>SUM(IW8:JB8)*IV8</f>
        <v>1413.1883740740741</v>
      </c>
    </row>
    <row r="9" spans="1:265">
      <c r="C9" t="s">
        <v>19</v>
      </c>
      <c r="D9">
        <v>22</v>
      </c>
      <c r="K9">
        <f>6*D9</f>
        <v>132</v>
      </c>
      <c r="O9" t="s">
        <v>19</v>
      </c>
      <c r="P9">
        <v>20</v>
      </c>
      <c r="W9">
        <f>6*P9</f>
        <v>120</v>
      </c>
      <c r="AA9" t="s">
        <v>19</v>
      </c>
      <c r="AB9">
        <v>22</v>
      </c>
      <c r="AI9">
        <f>6*AB9</f>
        <v>132</v>
      </c>
      <c r="AM9" t="s">
        <v>19</v>
      </c>
      <c r="AN9">
        <v>24</v>
      </c>
      <c r="AU9">
        <f>6*AN9</f>
        <v>144</v>
      </c>
      <c r="AY9" t="s">
        <v>19</v>
      </c>
      <c r="AZ9">
        <v>24</v>
      </c>
      <c r="BG9">
        <f>6*AZ9</f>
        <v>144</v>
      </c>
      <c r="BK9" t="s">
        <v>19</v>
      </c>
      <c r="BL9">
        <v>26</v>
      </c>
      <c r="BS9">
        <f>6*BL9</f>
        <v>156</v>
      </c>
      <c r="BW9" t="s">
        <v>19</v>
      </c>
      <c r="BX9">
        <v>23</v>
      </c>
      <c r="CE9">
        <f>6*BX9</f>
        <v>138</v>
      </c>
      <c r="CI9" t="s">
        <v>19</v>
      </c>
      <c r="CJ9">
        <v>24</v>
      </c>
      <c r="CQ9">
        <f>6*CJ9</f>
        <v>144</v>
      </c>
      <c r="CU9" t="s">
        <v>19</v>
      </c>
      <c r="CV9">
        <v>24</v>
      </c>
      <c r="DC9">
        <f>6*CV9</f>
        <v>144</v>
      </c>
      <c r="DG9" t="s">
        <v>31</v>
      </c>
      <c r="DH9">
        <f>10+2+4+10</f>
        <v>26</v>
      </c>
      <c r="DI9">
        <f>DI8*0.05</f>
        <v>5.8500000000000005</v>
      </c>
      <c r="DO9">
        <f>-SUM(DI9:DN9)*DH9</f>
        <v>-152.10000000000002</v>
      </c>
      <c r="DS9" t="s">
        <v>31</v>
      </c>
      <c r="DT9">
        <f>10+2+4+10+2+2+6</f>
        <v>36</v>
      </c>
      <c r="DU9">
        <f>DU8*0.05</f>
        <v>5.8500000000000005</v>
      </c>
      <c r="EA9">
        <f>-SUM(DU9:DZ9)*DT9</f>
        <v>-210.60000000000002</v>
      </c>
      <c r="EE9" t="s">
        <v>31</v>
      </c>
      <c r="EF9">
        <f>10+2+4+10+2+6</f>
        <v>34</v>
      </c>
      <c r="EG9">
        <f>EG8*0.05</f>
        <v>5.8500000000000005</v>
      </c>
      <c r="EM9">
        <f>-SUM(EG9:EL9)*EF9</f>
        <v>-198.9</v>
      </c>
      <c r="EQ9" t="s">
        <v>31</v>
      </c>
      <c r="ER9">
        <f>10+2+4+10+2+2+6-2</f>
        <v>34</v>
      </c>
      <c r="ES9">
        <f>ES8*0.05</f>
        <v>5.8500000000000005</v>
      </c>
      <c r="EY9">
        <f>-SUM(ES9:EX9)*ER9</f>
        <v>-198.9</v>
      </c>
      <c r="FC9" t="s">
        <v>31</v>
      </c>
      <c r="FD9">
        <f>2+4+2+2+6-2</f>
        <v>14</v>
      </c>
      <c r="FE9">
        <f>FE8*0.05</f>
        <v>5.8500000000000005</v>
      </c>
      <c r="FK9">
        <f>-SUM(FE9:FJ9)*FD9</f>
        <v>-81.900000000000006</v>
      </c>
      <c r="FO9" t="s">
        <v>31</v>
      </c>
      <c r="FP9">
        <f>2+4+2+2+6-2</f>
        <v>14</v>
      </c>
      <c r="FQ9">
        <f>FQ8*0.05</f>
        <v>5.8500000000000005</v>
      </c>
      <c r="FW9">
        <f>-SUM(FQ9:FV9)*FP9</f>
        <v>-81.900000000000006</v>
      </c>
      <c r="GA9" t="s">
        <v>31</v>
      </c>
      <c r="GB9">
        <f>2+4+2+2+6-2</f>
        <v>14</v>
      </c>
      <c r="GC9">
        <f>GC8*0.05</f>
        <v>5.8500000000000005</v>
      </c>
      <c r="GI9">
        <f>-SUM(GC9:GH9)*GB9</f>
        <v>-81.900000000000006</v>
      </c>
      <c r="GM9" t="s">
        <v>31</v>
      </c>
      <c r="GN9">
        <f>4+4+2</f>
        <v>10</v>
      </c>
      <c r="GO9">
        <f>GO7*0.05</f>
        <v>5.8500000000000005</v>
      </c>
      <c r="GU9">
        <f>-SUM(GO9:GT9)*GN9</f>
        <v>-58.500000000000007</v>
      </c>
      <c r="GY9" t="s">
        <v>31</v>
      </c>
      <c r="GZ9">
        <f>4+4+2</f>
        <v>10</v>
      </c>
      <c r="HA9">
        <f>HA7*0.05</f>
        <v>5.8500000000000005</v>
      </c>
      <c r="HG9">
        <f>-SUM(HA9:HF9)*GZ9</f>
        <v>-58.500000000000007</v>
      </c>
      <c r="HK9" t="s">
        <v>31</v>
      </c>
      <c r="HL9">
        <f>4+4+2</f>
        <v>10</v>
      </c>
      <c r="HM9">
        <f>HM7*0.05</f>
        <v>5.8500000000000005</v>
      </c>
      <c r="HS9">
        <f>-SUM(HM9:HR9)*HL9</f>
        <v>-58.500000000000007</v>
      </c>
      <c r="HW9" t="s">
        <v>31</v>
      </c>
      <c r="HX9">
        <f>4+4</f>
        <v>8</v>
      </c>
      <c r="HY9">
        <f>HY7*0.05</f>
        <v>5.8500000000000005</v>
      </c>
      <c r="IE9">
        <f>-SUM(HY9:ID9)*HX9</f>
        <v>-46.800000000000004</v>
      </c>
      <c r="II9" t="s">
        <v>31</v>
      </c>
      <c r="IJ9">
        <f>4+4</f>
        <v>8</v>
      </c>
      <c r="IK9">
        <f>IK7*0.05</f>
        <v>5.8500000000000005</v>
      </c>
      <c r="IQ9">
        <f>-SUM(IK9:IP9)*IJ9</f>
        <v>-46.800000000000004</v>
      </c>
      <c r="IU9" t="s">
        <v>31</v>
      </c>
      <c r="IV9">
        <f>4+4</f>
        <v>8</v>
      </c>
      <c r="IW9">
        <f>IW7*0.05</f>
        <v>5.8500000000000005</v>
      </c>
      <c r="JC9">
        <f>-SUM(IW9:JB9)*IV9</f>
        <v>-46.800000000000004</v>
      </c>
    </row>
    <row r="10" spans="1:265">
      <c r="C10" t="s">
        <v>27</v>
      </c>
      <c r="D10">
        <v>5.2</v>
      </c>
      <c r="F10" s="2"/>
      <c r="K10">
        <f>5*D10</f>
        <v>26</v>
      </c>
      <c r="O10" t="s">
        <v>27</v>
      </c>
      <c r="P10">
        <v>5.2</v>
      </c>
      <c r="R10" s="2"/>
      <c r="W10">
        <f>5*P10</f>
        <v>26</v>
      </c>
      <c r="AA10" t="s">
        <v>27</v>
      </c>
      <c r="AB10">
        <v>5.2</v>
      </c>
      <c r="AD10" s="2"/>
      <c r="AI10">
        <f>5*AB10</f>
        <v>26</v>
      </c>
      <c r="AM10" t="s">
        <v>27</v>
      </c>
      <c r="AN10">
        <v>5.2</v>
      </c>
      <c r="AP10" s="2"/>
      <c r="AU10">
        <f>5*AN10</f>
        <v>26</v>
      </c>
      <c r="AY10" t="s">
        <v>27</v>
      </c>
      <c r="AZ10">
        <v>5.2</v>
      </c>
      <c r="BB10" s="2"/>
      <c r="BG10">
        <f>5*AZ10</f>
        <v>26</v>
      </c>
      <c r="BK10" t="s">
        <v>27</v>
      </c>
      <c r="BL10">
        <v>5.2</v>
      </c>
      <c r="BN10" s="2"/>
      <c r="BS10">
        <f>5*BL10</f>
        <v>26</v>
      </c>
      <c r="BW10" t="s">
        <v>27</v>
      </c>
      <c r="BX10">
        <v>5</v>
      </c>
      <c r="BZ10" s="2"/>
      <c r="CE10">
        <f>5*BX10</f>
        <v>25</v>
      </c>
      <c r="CI10" t="s">
        <v>27</v>
      </c>
      <c r="CJ10">
        <v>5</v>
      </c>
      <c r="CL10" s="2"/>
      <c r="CQ10">
        <f>5*CJ10</f>
        <v>25</v>
      </c>
      <c r="CU10" t="s">
        <v>27</v>
      </c>
      <c r="CV10">
        <v>5</v>
      </c>
      <c r="CX10" s="2"/>
      <c r="DC10">
        <f>5*CV10</f>
        <v>25</v>
      </c>
      <c r="DG10" t="s">
        <v>19</v>
      </c>
      <c r="DH10">
        <v>24</v>
      </c>
      <c r="DO10">
        <f>6*DH10</f>
        <v>144</v>
      </c>
      <c r="DS10" t="s">
        <v>19</v>
      </c>
      <c r="DT10">
        <v>24</v>
      </c>
      <c r="EA10">
        <f>6*DT10</f>
        <v>144</v>
      </c>
      <c r="EE10" t="s">
        <v>19</v>
      </c>
      <c r="EF10">
        <v>24</v>
      </c>
      <c r="EM10">
        <f>6*EF10</f>
        <v>144</v>
      </c>
      <c r="EQ10" t="s">
        <v>19</v>
      </c>
      <c r="ER10">
        <v>23</v>
      </c>
      <c r="EY10">
        <f>6*ER10</f>
        <v>138</v>
      </c>
      <c r="FC10" t="s">
        <v>19</v>
      </c>
      <c r="FD10">
        <v>23</v>
      </c>
      <c r="FK10">
        <f>6*FD10</f>
        <v>138</v>
      </c>
      <c r="FO10" t="s">
        <v>19</v>
      </c>
      <c r="FP10">
        <v>23</v>
      </c>
      <c r="FW10">
        <f>6*FP10</f>
        <v>138</v>
      </c>
      <c r="GA10" t="s">
        <v>19</v>
      </c>
      <c r="GB10">
        <v>23</v>
      </c>
      <c r="GI10">
        <f>6*GB10</f>
        <v>138</v>
      </c>
      <c r="GM10" t="s">
        <v>19</v>
      </c>
      <c r="GN10">
        <v>23</v>
      </c>
      <c r="GU10">
        <f>6*GN10</f>
        <v>138</v>
      </c>
      <c r="GY10" t="s">
        <v>19</v>
      </c>
      <c r="GZ10">
        <v>23</v>
      </c>
      <c r="HG10">
        <f>6*GZ10</f>
        <v>138</v>
      </c>
      <c r="HK10" t="s">
        <v>19</v>
      </c>
      <c r="HL10">
        <v>23</v>
      </c>
      <c r="HS10">
        <f>6*HL10</f>
        <v>138</v>
      </c>
      <c r="HW10" t="s">
        <v>19</v>
      </c>
      <c r="HX10">
        <v>21</v>
      </c>
      <c r="IE10">
        <f>6*HX10</f>
        <v>126</v>
      </c>
      <c r="II10" t="s">
        <v>19</v>
      </c>
      <c r="IJ10">
        <v>21</v>
      </c>
      <c r="IQ10">
        <f>6*IJ10</f>
        <v>126</v>
      </c>
      <c r="IU10" t="s">
        <v>19</v>
      </c>
      <c r="IV10">
        <v>21</v>
      </c>
      <c r="JC10">
        <f>6*IV10</f>
        <v>126</v>
      </c>
    </row>
    <row r="11" spans="1:265">
      <c r="B11" t="s">
        <v>8</v>
      </c>
      <c r="C11" t="s">
        <v>11</v>
      </c>
      <c r="D11">
        <f>37+43</f>
        <v>80</v>
      </c>
      <c r="E11">
        <v>8</v>
      </c>
      <c r="I11">
        <f>20+24+40+8</f>
        <v>92</v>
      </c>
      <c r="K11">
        <f>D11*E11-I11</f>
        <v>548</v>
      </c>
      <c r="N11" t="s">
        <v>8</v>
      </c>
      <c r="O11" t="s">
        <v>11</v>
      </c>
      <c r="P11">
        <v>84</v>
      </c>
      <c r="Q11">
        <v>8</v>
      </c>
      <c r="U11">
        <f>20+24+40+8</f>
        <v>92</v>
      </c>
      <c r="W11">
        <f>P11*Q11-U11</f>
        <v>580</v>
      </c>
      <c r="Z11" t="s">
        <v>8</v>
      </c>
      <c r="AA11" t="s">
        <v>11</v>
      </c>
      <c r="AB11">
        <v>84</v>
      </c>
      <c r="AC11">
        <v>8</v>
      </c>
      <c r="AG11">
        <f>20+24+40+8</f>
        <v>92</v>
      </c>
      <c r="AI11">
        <f>AB11*AC11-AG11</f>
        <v>580</v>
      </c>
      <c r="AL11" t="s">
        <v>8</v>
      </c>
      <c r="AM11" t="s">
        <v>11</v>
      </c>
      <c r="AN11">
        <v>76</v>
      </c>
      <c r="AO11">
        <v>8</v>
      </c>
      <c r="AS11">
        <f>20+24+40+8</f>
        <v>92</v>
      </c>
      <c r="AU11">
        <f>AN11*AO11-AS11</f>
        <v>516</v>
      </c>
      <c r="AX11" t="s">
        <v>8</v>
      </c>
      <c r="AY11" t="s">
        <v>11</v>
      </c>
      <c r="AZ11">
        <v>76</v>
      </c>
      <c r="BA11">
        <v>8</v>
      </c>
      <c r="BE11">
        <f>20+24+40+8</f>
        <v>92</v>
      </c>
      <c r="BG11">
        <f>AZ11*BA11-BE11</f>
        <v>516</v>
      </c>
      <c r="BJ11" t="s">
        <v>8</v>
      </c>
      <c r="BK11" t="s">
        <v>11</v>
      </c>
      <c r="BL11">
        <v>62</v>
      </c>
      <c r="BM11">
        <v>8</v>
      </c>
      <c r="BQ11">
        <f>20+24+40+8</f>
        <v>92</v>
      </c>
      <c r="BS11">
        <f>BL11*BM11-BQ11</f>
        <v>404</v>
      </c>
      <c r="BV11" t="s">
        <v>8</v>
      </c>
      <c r="BW11" t="s">
        <v>11</v>
      </c>
      <c r="BX11">
        <v>59</v>
      </c>
      <c r="BY11">
        <v>8</v>
      </c>
      <c r="CC11">
        <f>8</f>
        <v>8</v>
      </c>
      <c r="CE11">
        <f>BX11*BY11-CC11</f>
        <v>464</v>
      </c>
      <c r="CH11" t="s">
        <v>8</v>
      </c>
      <c r="CI11" t="s">
        <v>11</v>
      </c>
      <c r="CJ11">
        <v>59</v>
      </c>
      <c r="CK11">
        <v>8</v>
      </c>
      <c r="CO11">
        <f>8</f>
        <v>8</v>
      </c>
      <c r="CQ11">
        <f>CJ11*CK11-CO11</f>
        <v>464</v>
      </c>
      <c r="CT11" t="s">
        <v>8</v>
      </c>
      <c r="CU11" t="s">
        <v>11</v>
      </c>
      <c r="CV11">
        <v>60</v>
      </c>
      <c r="CW11">
        <v>8</v>
      </c>
      <c r="DA11">
        <f>8</f>
        <v>8</v>
      </c>
      <c r="DC11">
        <f>CV11*CW11-DA11</f>
        <v>472</v>
      </c>
      <c r="DG11" t="s">
        <v>27</v>
      </c>
      <c r="DH11">
        <v>5</v>
      </c>
      <c r="DJ11" s="2"/>
      <c r="DO11">
        <f>5*DH11</f>
        <v>25</v>
      </c>
      <c r="DS11" t="s">
        <v>27</v>
      </c>
      <c r="DT11">
        <v>5</v>
      </c>
      <c r="DV11" s="2"/>
      <c r="EA11">
        <f>5*DT11</f>
        <v>25</v>
      </c>
      <c r="EE11" t="s">
        <v>27</v>
      </c>
      <c r="EF11">
        <v>5</v>
      </c>
      <c r="EH11" s="2"/>
      <c r="EM11">
        <f>5*EF11</f>
        <v>25</v>
      </c>
      <c r="EQ11" t="s">
        <v>27</v>
      </c>
      <c r="ER11">
        <v>5</v>
      </c>
      <c r="ET11" s="2"/>
      <c r="EY11">
        <f>5*ER11</f>
        <v>25</v>
      </c>
      <c r="FC11" t="s">
        <v>27</v>
      </c>
      <c r="FD11">
        <v>5</v>
      </c>
      <c r="FF11" s="2"/>
      <c r="FK11">
        <f>5*FD11</f>
        <v>25</v>
      </c>
      <c r="FO11" t="s">
        <v>27</v>
      </c>
      <c r="FP11">
        <v>5</v>
      </c>
      <c r="FR11" s="2"/>
      <c r="FW11">
        <f>5*FP11</f>
        <v>25</v>
      </c>
      <c r="GA11" t="s">
        <v>27</v>
      </c>
      <c r="GB11">
        <v>5</v>
      </c>
      <c r="GD11" s="2"/>
      <c r="GI11">
        <f>5*GB11</f>
        <v>25</v>
      </c>
      <c r="GM11" t="s">
        <v>27</v>
      </c>
      <c r="GN11">
        <v>5</v>
      </c>
      <c r="GP11" s="2"/>
      <c r="GU11">
        <f>5*GN11</f>
        <v>25</v>
      </c>
      <c r="GY11" t="s">
        <v>27</v>
      </c>
      <c r="GZ11">
        <v>5</v>
      </c>
      <c r="HB11" s="2"/>
      <c r="HG11">
        <f>5*GZ11</f>
        <v>25</v>
      </c>
      <c r="HK11" t="s">
        <v>27</v>
      </c>
      <c r="HL11">
        <v>5</v>
      </c>
      <c r="HN11" s="2"/>
      <c r="HS11">
        <f>5*HL11</f>
        <v>25</v>
      </c>
      <c r="HW11" t="s">
        <v>27</v>
      </c>
      <c r="HX11">
        <v>5</v>
      </c>
      <c r="HZ11" s="2"/>
      <c r="IE11">
        <f>5*HX11</f>
        <v>25</v>
      </c>
      <c r="II11" t="s">
        <v>27</v>
      </c>
      <c r="IJ11">
        <v>5</v>
      </c>
      <c r="IL11" s="2"/>
      <c r="IQ11">
        <f>5*IJ11</f>
        <v>25</v>
      </c>
      <c r="IU11" t="s">
        <v>27</v>
      </c>
      <c r="IV11">
        <v>5</v>
      </c>
      <c r="IX11" s="2"/>
      <c r="JC11">
        <f>5*IV11</f>
        <v>25</v>
      </c>
    </row>
    <row r="12" spans="1:265">
      <c r="B12" t="s">
        <v>9</v>
      </c>
      <c r="C12" t="s">
        <v>50</v>
      </c>
      <c r="D12">
        <v>20</v>
      </c>
      <c r="E12">
        <v>16.8</v>
      </c>
      <c r="I12">
        <v>0.14666666666666667</v>
      </c>
      <c r="K12">
        <f>SUM(E12:J12)*D12</f>
        <v>338.93333333333339</v>
      </c>
      <c r="N12" t="s">
        <v>9</v>
      </c>
      <c r="O12" t="s">
        <v>50</v>
      </c>
      <c r="P12">
        <v>18</v>
      </c>
      <c r="Q12">
        <v>16.8</v>
      </c>
      <c r="U12">
        <v>0.14666666666666667</v>
      </c>
      <c r="W12">
        <f>SUM(Q12:V12)*P12</f>
        <v>305.04000000000002</v>
      </c>
      <c r="Z12" t="s">
        <v>9</v>
      </c>
      <c r="AA12" t="s">
        <v>50</v>
      </c>
      <c r="AB12">
        <v>15</v>
      </c>
      <c r="AC12">
        <v>16.8</v>
      </c>
      <c r="AG12">
        <v>0.14666666666666667</v>
      </c>
      <c r="AI12">
        <f>SUM(AC12:AH12)*AB12</f>
        <v>254.20000000000005</v>
      </c>
      <c r="AL12" t="s">
        <v>9</v>
      </c>
      <c r="AM12" t="s">
        <v>50</v>
      </c>
      <c r="AN12">
        <v>15</v>
      </c>
      <c r="AO12">
        <v>16.8</v>
      </c>
      <c r="AS12">
        <v>0.14666666666666667</v>
      </c>
      <c r="AU12">
        <f t="shared" ref="AU12:AU14" si="44">SUM(AO12:AT12)*AN12</f>
        <v>254.20000000000005</v>
      </c>
      <c r="AX12" t="s">
        <v>9</v>
      </c>
      <c r="AY12" t="s">
        <v>50</v>
      </c>
      <c r="AZ12">
        <v>16</v>
      </c>
      <c r="BA12">
        <v>16.8</v>
      </c>
      <c r="BE12">
        <v>0.14666666666666667</v>
      </c>
      <c r="BG12">
        <f t="shared" ref="BG12:BG14" si="45">SUM(BA12:BF12)*AZ12</f>
        <v>271.1466666666667</v>
      </c>
      <c r="BJ12" t="s">
        <v>9</v>
      </c>
      <c r="BK12" t="s">
        <v>50</v>
      </c>
      <c r="BL12">
        <f>14+1</f>
        <v>15</v>
      </c>
      <c r="BM12">
        <v>16.8</v>
      </c>
      <c r="BQ12">
        <v>0.14666666666666667</v>
      </c>
      <c r="BS12">
        <f t="shared" ref="BS12:BS14" si="46">SUM(BM12:BR12)*BL12</f>
        <v>254.20000000000005</v>
      </c>
      <c r="BV12" t="s">
        <v>9</v>
      </c>
      <c r="BW12" t="s">
        <v>50</v>
      </c>
      <c r="BX12">
        <v>17</v>
      </c>
      <c r="BY12">
        <v>16.8</v>
      </c>
      <c r="CC12">
        <v>0.14666666666666667</v>
      </c>
      <c r="CE12">
        <f t="shared" ref="CE12:CE15" si="47">SUM(BY12:CD12)*BX12</f>
        <v>288.09333333333336</v>
      </c>
      <c r="CH12" t="s">
        <v>9</v>
      </c>
      <c r="CI12" t="s">
        <v>50</v>
      </c>
      <c r="CJ12">
        <v>17</v>
      </c>
      <c r="CK12">
        <v>16.8</v>
      </c>
      <c r="CO12">
        <v>0.14666666666666667</v>
      </c>
      <c r="CQ12">
        <f t="shared" ref="CQ12:CQ15" si="48">SUM(CK12:CP12)*CJ12</f>
        <v>288.09333333333336</v>
      </c>
      <c r="CT12" t="s">
        <v>9</v>
      </c>
      <c r="CU12" t="s">
        <v>50</v>
      </c>
      <c r="CV12">
        <v>19</v>
      </c>
      <c r="CW12">
        <v>16.8</v>
      </c>
      <c r="DA12">
        <v>0.14666666666666667</v>
      </c>
      <c r="DC12">
        <f t="shared" ref="DC12:DC15" si="49">SUM(CW12:DB12)*CV12</f>
        <v>321.98666666666674</v>
      </c>
      <c r="DF12" t="s">
        <v>8</v>
      </c>
      <c r="DG12" t="s">
        <v>11</v>
      </c>
      <c r="DH12">
        <v>68</v>
      </c>
      <c r="DI12">
        <v>8</v>
      </c>
      <c r="DM12">
        <f>8</f>
        <v>8</v>
      </c>
      <c r="DO12">
        <f>DH12*DI12-DM12</f>
        <v>536</v>
      </c>
      <c r="DR12" t="s">
        <v>8</v>
      </c>
      <c r="DS12" t="s">
        <v>11</v>
      </c>
      <c r="DT12">
        <v>75</v>
      </c>
      <c r="DU12">
        <v>8</v>
      </c>
      <c r="EA12">
        <f>DT12*DU12-DY12</f>
        <v>600</v>
      </c>
      <c r="ED12" t="s">
        <v>8</v>
      </c>
      <c r="EE12" t="s">
        <v>11</v>
      </c>
      <c r="EF12">
        <v>75</v>
      </c>
      <c r="EG12">
        <v>8</v>
      </c>
      <c r="EM12">
        <f>EF12*EG12-EK12</f>
        <v>600</v>
      </c>
      <c r="EP12" t="s">
        <v>8</v>
      </c>
      <c r="EQ12" t="s">
        <v>11</v>
      </c>
      <c r="ER12">
        <f>26+41</f>
        <v>67</v>
      </c>
      <c r="ES12">
        <v>8</v>
      </c>
      <c r="EY12">
        <f>ER12*ES12-EW12</f>
        <v>536</v>
      </c>
      <c r="FB12" t="s">
        <v>8</v>
      </c>
      <c r="FC12" t="s">
        <v>11</v>
      </c>
      <c r="FD12">
        <v>62</v>
      </c>
      <c r="FE12">
        <v>8</v>
      </c>
      <c r="FK12">
        <f>FD12*FE12-FI12</f>
        <v>496</v>
      </c>
      <c r="FN12" t="s">
        <v>8</v>
      </c>
      <c r="FO12" t="s">
        <v>11</v>
      </c>
      <c r="FP12">
        <v>62</v>
      </c>
      <c r="FQ12">
        <v>8</v>
      </c>
      <c r="FW12">
        <f>FP12*FQ12-FU12</f>
        <v>496</v>
      </c>
      <c r="FZ12" t="s">
        <v>8</v>
      </c>
      <c r="GA12" t="s">
        <v>11</v>
      </c>
      <c r="GB12">
        <v>62</v>
      </c>
      <c r="GC12">
        <v>8</v>
      </c>
      <c r="GI12">
        <f>GB12*GC12-GG12</f>
        <v>496</v>
      </c>
      <c r="GL12" t="s">
        <v>8</v>
      </c>
      <c r="GM12" t="s">
        <v>11</v>
      </c>
      <c r="GN12">
        <v>62</v>
      </c>
      <c r="GO12">
        <v>8</v>
      </c>
      <c r="GU12">
        <f>GN12*GO12-GS12</f>
        <v>496</v>
      </c>
      <c r="GX12" t="s">
        <v>8</v>
      </c>
      <c r="GY12" t="s">
        <v>11</v>
      </c>
      <c r="GZ12">
        <f>62-5</f>
        <v>57</v>
      </c>
      <c r="HA12">
        <v>8</v>
      </c>
      <c r="HG12">
        <f>GZ12*HA12-HE12</f>
        <v>456</v>
      </c>
      <c r="HJ12" t="s">
        <v>8</v>
      </c>
      <c r="HK12" t="s">
        <v>11</v>
      </c>
      <c r="HL12">
        <f>62-5</f>
        <v>57</v>
      </c>
      <c r="HM12">
        <v>8</v>
      </c>
      <c r="HS12">
        <f>HL12*HM12-HQ12</f>
        <v>456</v>
      </c>
      <c r="HV12" t="s">
        <v>8</v>
      </c>
      <c r="HW12" t="s">
        <v>11</v>
      </c>
      <c r="HX12">
        <v>55</v>
      </c>
      <c r="HY12">
        <v>8</v>
      </c>
      <c r="IE12">
        <f>HX12*HY12-IC12</f>
        <v>440</v>
      </c>
      <c r="IH12" t="s">
        <v>8</v>
      </c>
      <c r="II12" t="s">
        <v>11</v>
      </c>
      <c r="IJ12">
        <v>55</v>
      </c>
      <c r="IK12">
        <v>8</v>
      </c>
      <c r="IQ12">
        <f>IJ12*IK12-IO12</f>
        <v>440</v>
      </c>
      <c r="IT12" t="s">
        <v>8</v>
      </c>
      <c r="IU12" t="s">
        <v>11</v>
      </c>
      <c r="IV12">
        <v>55</v>
      </c>
      <c r="IW12">
        <v>8</v>
      </c>
      <c r="JC12">
        <f>IV12*IW12-JA12</f>
        <v>440</v>
      </c>
    </row>
    <row r="13" spans="1:265">
      <c r="C13" t="s">
        <v>33</v>
      </c>
      <c r="D13">
        <v>32</v>
      </c>
      <c r="E13">
        <v>25.2</v>
      </c>
      <c r="I13">
        <v>0.35499999999999998</v>
      </c>
      <c r="K13">
        <f>SUM(E13:J13)*D13</f>
        <v>817.76</v>
      </c>
      <c r="O13" t="s">
        <v>33</v>
      </c>
      <c r="P13">
        <f>33-P14</f>
        <v>28</v>
      </c>
      <c r="Q13">
        <v>25.2</v>
      </c>
      <c r="U13">
        <v>0.35499999999999998</v>
      </c>
      <c r="W13">
        <f>SUM(Q13:V13)*P13</f>
        <v>715.54</v>
      </c>
      <c r="AA13" t="s">
        <v>33</v>
      </c>
      <c r="AB13">
        <v>25</v>
      </c>
      <c r="AC13">
        <v>25.2</v>
      </c>
      <c r="AG13">
        <v>0.35499999999999998</v>
      </c>
      <c r="AI13">
        <f>SUM(AC13:AH13)*AB13</f>
        <v>638.875</v>
      </c>
      <c r="AM13" t="s">
        <v>33</v>
      </c>
      <c r="AN13">
        <v>25</v>
      </c>
      <c r="AO13">
        <v>25.2</v>
      </c>
      <c r="AS13">
        <v>0.35499999999999998</v>
      </c>
      <c r="AU13">
        <f t="shared" si="44"/>
        <v>638.875</v>
      </c>
      <c r="AY13" t="s">
        <v>33</v>
      </c>
      <c r="AZ13">
        <v>28</v>
      </c>
      <c r="BA13">
        <v>25.2</v>
      </c>
      <c r="BE13">
        <v>0.35499999999999998</v>
      </c>
      <c r="BG13">
        <f t="shared" si="45"/>
        <v>715.54</v>
      </c>
      <c r="BK13" t="s">
        <v>33</v>
      </c>
      <c r="BL13">
        <v>26</v>
      </c>
      <c r="BM13">
        <v>25.2</v>
      </c>
      <c r="BQ13">
        <v>0.35499999999999998</v>
      </c>
      <c r="BS13">
        <f t="shared" si="46"/>
        <v>664.43</v>
      </c>
      <c r="BW13" t="s">
        <v>66</v>
      </c>
      <c r="BX13">
        <v>0</v>
      </c>
      <c r="BY13">
        <v>16.8</v>
      </c>
      <c r="CC13">
        <v>0.14666666666666667</v>
      </c>
      <c r="CE13">
        <f t="shared" si="47"/>
        <v>0</v>
      </c>
      <c r="CI13" t="s">
        <v>66</v>
      </c>
      <c r="CJ13">
        <v>6</v>
      </c>
      <c r="CK13">
        <v>16.8</v>
      </c>
      <c r="CO13">
        <v>0.14666666666666667</v>
      </c>
      <c r="CQ13">
        <f t="shared" si="48"/>
        <v>101.68</v>
      </c>
      <c r="CU13" t="s">
        <v>66</v>
      </c>
      <c r="CV13">
        <v>8</v>
      </c>
      <c r="CW13">
        <v>16.8</v>
      </c>
      <c r="DA13">
        <v>0.14666666666666667</v>
      </c>
      <c r="DC13">
        <f t="shared" si="49"/>
        <v>135.57333333333335</v>
      </c>
      <c r="DF13" t="s">
        <v>9</v>
      </c>
      <c r="DG13" t="s">
        <v>50</v>
      </c>
      <c r="DH13">
        <v>12</v>
      </c>
      <c r="DI13">
        <v>16.8</v>
      </c>
      <c r="DK13">
        <f t="shared" ref="DK13:DK16" si="50">(5/12-26.9/36/12)</f>
        <v>0.35439814814814818</v>
      </c>
      <c r="DM13">
        <v>0.14666666666666667</v>
      </c>
      <c r="DO13">
        <f t="shared" ref="DO13:DO16" si="51">SUM(DI13:DN13)*DH13</f>
        <v>207.61277777777781</v>
      </c>
      <c r="DR13" t="s">
        <v>9</v>
      </c>
      <c r="DS13" t="s">
        <v>50</v>
      </c>
      <c r="DT13">
        <v>11</v>
      </c>
      <c r="DU13">
        <v>16.8</v>
      </c>
      <c r="DW13">
        <f t="shared" ref="DW13:DW18" si="52">(5/12-41.384/36/12)</f>
        <v>0.32087037037037036</v>
      </c>
      <c r="DY13">
        <v>0.14666666666666667</v>
      </c>
      <c r="EA13">
        <f t="shared" ref="EA13:EA16" si="53">SUM(DU13:DZ13)*DT13</f>
        <v>189.94290740740746</v>
      </c>
      <c r="ED13" t="s">
        <v>9</v>
      </c>
      <c r="EE13" t="s">
        <v>50</v>
      </c>
      <c r="EF13">
        <v>24</v>
      </c>
      <c r="EG13">
        <v>16.8</v>
      </c>
      <c r="EI13">
        <f t="shared" ref="EI13:EI16" si="54">(5/12-26.9/36/12)</f>
        <v>0.35439814814814818</v>
      </c>
      <c r="EK13">
        <v>0.14666666666666667</v>
      </c>
      <c r="EM13">
        <f t="shared" ref="EM13:EM16" si="55">SUM(EG13:EL13)*EF13</f>
        <v>415.22555555555562</v>
      </c>
      <c r="EP13" t="s">
        <v>9</v>
      </c>
      <c r="EQ13" t="s">
        <v>50</v>
      </c>
      <c r="ER13">
        <v>12</v>
      </c>
      <c r="ES13">
        <v>16.8</v>
      </c>
      <c r="EU13">
        <f t="shared" ref="EU13:EU18" si="56">(5/12-41.384/36/12)</f>
        <v>0.32087037037037036</v>
      </c>
      <c r="EW13">
        <v>0.14666666666666667</v>
      </c>
      <c r="EY13">
        <f t="shared" ref="EY13:EY16" si="57">SUM(ES13:EX13)*ER13</f>
        <v>207.21044444444448</v>
      </c>
      <c r="FB13" t="s">
        <v>9</v>
      </c>
      <c r="FC13" t="s">
        <v>50</v>
      </c>
      <c r="FD13">
        <v>11</v>
      </c>
      <c r="FE13">
        <v>16.8</v>
      </c>
      <c r="FG13">
        <f t="shared" ref="FG13:FG17" si="58">(5/12-41.384/36/12)</f>
        <v>0.32087037037037036</v>
      </c>
      <c r="FI13">
        <v>0.7</v>
      </c>
      <c r="FK13">
        <f t="shared" ref="FK13:FK15" si="59">SUM(FE13:FJ13)*FD13</f>
        <v>196.02957407407411</v>
      </c>
      <c r="FN13" t="s">
        <v>9</v>
      </c>
      <c r="FO13" t="s">
        <v>50</v>
      </c>
      <c r="FP13">
        <v>11</v>
      </c>
      <c r="FQ13">
        <v>16.8</v>
      </c>
      <c r="FS13">
        <f t="shared" ref="FS13:FS17" si="60">(5/12-41.384/36/12)</f>
        <v>0.32087037037037036</v>
      </c>
      <c r="FU13">
        <v>0.7</v>
      </c>
      <c r="FW13">
        <f t="shared" ref="FW13:FW15" si="61">SUM(FQ13:FV13)*FP13</f>
        <v>196.02957407407411</v>
      </c>
      <c r="FZ13" t="s">
        <v>122</v>
      </c>
      <c r="GB13">
        <v>7</v>
      </c>
      <c r="GC13">
        <v>15</v>
      </c>
      <c r="GI13">
        <f>GB13*GC13</f>
        <v>105</v>
      </c>
      <c r="GL13" t="s">
        <v>9</v>
      </c>
      <c r="GM13" t="s">
        <v>50</v>
      </c>
      <c r="GN13">
        <v>11</v>
      </c>
      <c r="GO13">
        <v>16.8</v>
      </c>
      <c r="GQ13">
        <f t="shared" ref="GQ13:GQ17" si="62">(5/12-41.384/36/12)</f>
        <v>0.32087037037037036</v>
      </c>
      <c r="GS13">
        <v>0.7</v>
      </c>
      <c r="GU13">
        <f t="shared" ref="GU13:GU15" si="63">SUM(GO13:GT13)*GN13</f>
        <v>196.02957407407411</v>
      </c>
      <c r="GX13" t="s">
        <v>9</v>
      </c>
      <c r="GY13" t="s">
        <v>50</v>
      </c>
      <c r="GZ13">
        <v>11</v>
      </c>
      <c r="HA13">
        <v>16.8</v>
      </c>
      <c r="HC13">
        <f t="shared" ref="HC13:HC17" si="64">(5/12-41.384/36/12)</f>
        <v>0.32087037037037036</v>
      </c>
      <c r="HE13">
        <v>0.7</v>
      </c>
      <c r="HG13">
        <f t="shared" ref="HG13:HG15" si="65">SUM(HA13:HF13)*GZ13</f>
        <v>196.02957407407411</v>
      </c>
      <c r="HJ13" t="s">
        <v>9</v>
      </c>
      <c r="HK13" t="s">
        <v>50</v>
      </c>
      <c r="HL13">
        <v>11</v>
      </c>
      <c r="HM13">
        <v>16.8</v>
      </c>
      <c r="HO13">
        <f t="shared" ref="HO13:HO17" si="66">(5/12-41.384/36/12)</f>
        <v>0.32087037037037036</v>
      </c>
      <c r="HQ13">
        <v>0.7</v>
      </c>
      <c r="HS13">
        <f t="shared" ref="HS13:HS15" si="67">SUM(HM13:HR13)*HL13</f>
        <v>196.02957407407411</v>
      </c>
      <c r="HV13" t="s">
        <v>9</v>
      </c>
      <c r="HW13" t="s">
        <v>50</v>
      </c>
      <c r="HX13">
        <v>11</v>
      </c>
      <c r="HY13">
        <v>16.8</v>
      </c>
      <c r="IA13">
        <f t="shared" ref="IA13:IA17" si="68">(5/12-41.384/36/12)</f>
        <v>0.32087037037037036</v>
      </c>
      <c r="IC13">
        <v>0.7</v>
      </c>
      <c r="IE13">
        <f t="shared" ref="IE13:IE15" si="69">SUM(HY13:ID13)*HX13</f>
        <v>196.02957407407411</v>
      </c>
      <c r="IH13" t="s">
        <v>9</v>
      </c>
      <c r="II13" t="s">
        <v>50</v>
      </c>
      <c r="IJ13">
        <v>12</v>
      </c>
      <c r="IK13">
        <v>16.8</v>
      </c>
      <c r="IM13">
        <f t="shared" ref="IM13:IM17" si="70">(5/12-41.384/36/12)</f>
        <v>0.32087037037037036</v>
      </c>
      <c r="IO13">
        <v>0.7</v>
      </c>
      <c r="IQ13">
        <f t="shared" ref="IQ13:IQ15" si="71">SUM(IK13:IP13)*IJ13</f>
        <v>213.85044444444446</v>
      </c>
      <c r="IT13" t="s">
        <v>9</v>
      </c>
      <c r="IU13" t="s">
        <v>50</v>
      </c>
      <c r="IV13">
        <v>11</v>
      </c>
      <c r="IW13">
        <v>16.8</v>
      </c>
      <c r="IY13">
        <f t="shared" ref="IY13:IY17" si="72">(5/12-41.384/36/12)</f>
        <v>0.32087037037037036</v>
      </c>
      <c r="JA13">
        <v>0.7</v>
      </c>
      <c r="JC13">
        <f t="shared" ref="JC13:JC15" si="73">SUM(IW13:JB13)*IV13</f>
        <v>196.02957407407411</v>
      </c>
    </row>
    <row r="14" spans="1:265">
      <c r="C14" t="s">
        <v>51</v>
      </c>
      <c r="D14">
        <v>4</v>
      </c>
      <c r="E14">
        <v>37.799999999999997</v>
      </c>
      <c r="I14">
        <v>0.44666666666666671</v>
      </c>
      <c r="K14">
        <f>SUM(E14:J14)*D14</f>
        <v>152.98666666666665</v>
      </c>
      <c r="O14" t="s">
        <v>51</v>
      </c>
      <c r="P14">
        <v>5</v>
      </c>
      <c r="Q14">
        <v>37.799999999999997</v>
      </c>
      <c r="U14">
        <v>0.44666666666666671</v>
      </c>
      <c r="W14">
        <f>SUM(Q14:V14)*P14</f>
        <v>191.23333333333332</v>
      </c>
      <c r="AA14" t="s">
        <v>51</v>
      </c>
      <c r="AB14">
        <v>3</v>
      </c>
      <c r="AC14">
        <v>37.799999999999997</v>
      </c>
      <c r="AG14">
        <v>0.44666666666666671</v>
      </c>
      <c r="AI14">
        <f>SUM(AC14:AH14)*AB14</f>
        <v>114.73999999999998</v>
      </c>
      <c r="AM14" t="s">
        <v>51</v>
      </c>
      <c r="AN14">
        <v>3</v>
      </c>
      <c r="AO14">
        <v>37.799999999999997</v>
      </c>
      <c r="AS14">
        <v>0.44666666666666671</v>
      </c>
      <c r="AU14">
        <f t="shared" si="44"/>
        <v>114.73999999999998</v>
      </c>
      <c r="AY14" t="s">
        <v>51</v>
      </c>
      <c r="AZ14">
        <v>2</v>
      </c>
      <c r="BA14">
        <v>37.799999999999997</v>
      </c>
      <c r="BE14">
        <v>0.44666666666666671</v>
      </c>
      <c r="BG14">
        <f t="shared" si="45"/>
        <v>76.493333333333325</v>
      </c>
      <c r="BK14" t="s">
        <v>51</v>
      </c>
      <c r="BL14">
        <v>2</v>
      </c>
      <c r="BM14">
        <f>37.8-BM13</f>
        <v>12.599999999999998</v>
      </c>
      <c r="BQ14">
        <v>0.44666666666666671</v>
      </c>
      <c r="BS14">
        <f t="shared" si="46"/>
        <v>26.09333333333333</v>
      </c>
      <c r="BW14" t="s">
        <v>33</v>
      </c>
      <c r="BX14">
        <v>23</v>
      </c>
      <c r="BY14">
        <v>25.2</v>
      </c>
      <c r="CC14">
        <v>0.35499999999999998</v>
      </c>
      <c r="CE14">
        <f t="shared" si="47"/>
        <v>587.76499999999999</v>
      </c>
      <c r="CI14" t="s">
        <v>33</v>
      </c>
      <c r="CJ14">
        <v>23</v>
      </c>
      <c r="CK14">
        <v>25.2</v>
      </c>
      <c r="CO14">
        <v>0.35499999999999998</v>
      </c>
      <c r="CQ14">
        <f t="shared" si="48"/>
        <v>587.76499999999999</v>
      </c>
      <c r="CU14" t="s">
        <v>33</v>
      </c>
      <c r="CV14">
        <f>12+11</f>
        <v>23</v>
      </c>
      <c r="CW14">
        <v>25.2</v>
      </c>
      <c r="DA14">
        <v>0.35499999999999998</v>
      </c>
      <c r="DC14">
        <f t="shared" si="49"/>
        <v>587.76499999999999</v>
      </c>
      <c r="DG14" t="s">
        <v>66</v>
      </c>
      <c r="DH14">
        <v>12</v>
      </c>
      <c r="DI14">
        <v>16.8</v>
      </c>
      <c r="DK14">
        <f t="shared" si="50"/>
        <v>0.35439814814814818</v>
      </c>
      <c r="DM14">
        <v>0.14666666666666667</v>
      </c>
      <c r="DO14">
        <f t="shared" si="51"/>
        <v>207.61277777777781</v>
      </c>
      <c r="DS14" t="s">
        <v>66</v>
      </c>
      <c r="DT14">
        <v>8</v>
      </c>
      <c r="DU14">
        <v>16.8</v>
      </c>
      <c r="DW14">
        <f t="shared" si="52"/>
        <v>0.32087037037037036</v>
      </c>
      <c r="DY14">
        <v>0.14666666666666667</v>
      </c>
      <c r="EA14">
        <f t="shared" si="53"/>
        <v>138.14029629629633</v>
      </c>
      <c r="EE14" t="s">
        <v>66</v>
      </c>
      <c r="EF14">
        <v>12</v>
      </c>
      <c r="EG14">
        <v>16.8</v>
      </c>
      <c r="EI14">
        <f t="shared" si="54"/>
        <v>0.35439814814814818</v>
      </c>
      <c r="EK14">
        <v>0.14666666666666667</v>
      </c>
      <c r="EM14">
        <f t="shared" si="55"/>
        <v>207.61277777777781</v>
      </c>
      <c r="EQ14" t="s">
        <v>66</v>
      </c>
      <c r="ER14">
        <v>5</v>
      </c>
      <c r="ES14">
        <v>16.8</v>
      </c>
      <c r="EU14">
        <f t="shared" si="56"/>
        <v>0.32087037037037036</v>
      </c>
      <c r="EW14">
        <v>0.14666666666666667</v>
      </c>
      <c r="EY14">
        <f t="shared" si="57"/>
        <v>86.337685185185208</v>
      </c>
      <c r="FC14" t="s">
        <v>102</v>
      </c>
      <c r="FD14">
        <v>16</v>
      </c>
      <c r="FE14">
        <v>25.2</v>
      </c>
      <c r="FG14">
        <f t="shared" si="58"/>
        <v>0.32087037037037036</v>
      </c>
      <c r="FI14">
        <v>1.04</v>
      </c>
      <c r="FK14">
        <f t="shared" si="59"/>
        <v>424.97392592592593</v>
      </c>
      <c r="FO14" t="s">
        <v>102</v>
      </c>
      <c r="FP14">
        <v>16</v>
      </c>
      <c r="FQ14">
        <v>25.2</v>
      </c>
      <c r="FS14">
        <f t="shared" si="60"/>
        <v>0.32087037037037036</v>
      </c>
      <c r="FU14">
        <v>1.04</v>
      </c>
      <c r="FW14">
        <f t="shared" si="61"/>
        <v>424.97392592592593</v>
      </c>
      <c r="FZ14" t="s">
        <v>121</v>
      </c>
      <c r="GB14">
        <v>8</v>
      </c>
      <c r="GC14">
        <f>8-8/3-1</f>
        <v>4.3333333333333339</v>
      </c>
      <c r="GI14">
        <f>GB14*GC14-GG14</f>
        <v>34.666666666666671</v>
      </c>
      <c r="GM14" t="s">
        <v>102</v>
      </c>
      <c r="GN14">
        <v>16</v>
      </c>
      <c r="GO14">
        <v>25.2</v>
      </c>
      <c r="GQ14">
        <f t="shared" si="62"/>
        <v>0.32087037037037036</v>
      </c>
      <c r="GS14">
        <v>1.04</v>
      </c>
      <c r="GU14">
        <f t="shared" si="63"/>
        <v>424.97392592592593</v>
      </c>
      <c r="GY14" t="s">
        <v>102</v>
      </c>
      <c r="GZ14">
        <v>16</v>
      </c>
      <c r="HA14">
        <v>25.2</v>
      </c>
      <c r="HC14">
        <f t="shared" si="64"/>
        <v>0.32087037037037036</v>
      </c>
      <c r="HE14">
        <v>1.04</v>
      </c>
      <c r="HG14">
        <f t="shared" si="65"/>
        <v>424.97392592592593</v>
      </c>
      <c r="HK14" t="s">
        <v>102</v>
      </c>
      <c r="HL14">
        <v>16</v>
      </c>
      <c r="HM14">
        <v>25.2</v>
      </c>
      <c r="HO14">
        <f t="shared" si="66"/>
        <v>0.32087037037037036</v>
      </c>
      <c r="HQ14">
        <v>1.04</v>
      </c>
      <c r="HS14">
        <f t="shared" si="67"/>
        <v>424.97392592592593</v>
      </c>
      <c r="HW14" t="s">
        <v>102</v>
      </c>
      <c r="HX14">
        <v>20</v>
      </c>
      <c r="HY14">
        <v>25.2</v>
      </c>
      <c r="IA14">
        <f t="shared" si="68"/>
        <v>0.32087037037037036</v>
      </c>
      <c r="IC14">
        <v>1.04</v>
      </c>
      <c r="IE14">
        <f t="shared" si="69"/>
        <v>531.21740740740745</v>
      </c>
      <c r="II14" t="s">
        <v>102</v>
      </c>
      <c r="IJ14">
        <v>24</v>
      </c>
      <c r="IK14">
        <v>25.2</v>
      </c>
      <c r="IM14">
        <f t="shared" si="70"/>
        <v>0.32087037037037036</v>
      </c>
      <c r="IO14">
        <v>1.04</v>
      </c>
      <c r="IQ14">
        <f t="shared" si="71"/>
        <v>637.46088888888892</v>
      </c>
      <c r="IU14" t="s">
        <v>102</v>
      </c>
      <c r="IV14">
        <v>36</v>
      </c>
      <c r="IW14">
        <v>25.2</v>
      </c>
      <c r="IY14">
        <f t="shared" si="72"/>
        <v>0.32087037037037036</v>
      </c>
      <c r="JA14">
        <v>1.04</v>
      </c>
      <c r="JC14">
        <f t="shared" si="73"/>
        <v>956.19133333333332</v>
      </c>
    </row>
    <row r="15" spans="1:265">
      <c r="C15" t="s">
        <v>19</v>
      </c>
      <c r="D15">
        <v>42</v>
      </c>
      <c r="K15">
        <f>D15*4+D14*2</f>
        <v>176</v>
      </c>
      <c r="O15" t="s">
        <v>19</v>
      </c>
      <c r="P15">
        <v>39</v>
      </c>
      <c r="W15">
        <f>P15*4+P14*2</f>
        <v>166</v>
      </c>
      <c r="AA15" t="s">
        <v>19</v>
      </c>
      <c r="AB15">
        <v>42</v>
      </c>
      <c r="AI15">
        <f>AB15*4+AB14*2</f>
        <v>174</v>
      </c>
      <c r="AM15" t="s">
        <v>19</v>
      </c>
      <c r="AN15">
        <f>19+9+13</f>
        <v>41</v>
      </c>
      <c r="AU15">
        <f>AN15*4+AN14*2</f>
        <v>170</v>
      </c>
      <c r="AY15" t="s">
        <v>19</v>
      </c>
      <c r="AZ15">
        <v>32</v>
      </c>
      <c r="BG15">
        <f>AZ15*4+AZ14*2</f>
        <v>132</v>
      </c>
      <c r="BK15" t="s">
        <v>19</v>
      </c>
      <c r="BL15">
        <v>28</v>
      </c>
      <c r="BS15">
        <f>BL15*4+BL14*2</f>
        <v>116</v>
      </c>
      <c r="BW15" t="s">
        <v>51</v>
      </c>
      <c r="BX15">
        <v>1</v>
      </c>
      <c r="BY15">
        <f>37.8-BY14</f>
        <v>12.599999999999998</v>
      </c>
      <c r="CC15">
        <v>0.44666666666666671</v>
      </c>
      <c r="CE15">
        <f t="shared" si="47"/>
        <v>13.046666666666665</v>
      </c>
      <c r="CI15" t="s">
        <v>51</v>
      </c>
      <c r="CJ15">
        <v>1</v>
      </c>
      <c r="CK15">
        <f>37.8-CK14</f>
        <v>12.599999999999998</v>
      </c>
      <c r="CO15">
        <v>0.44666666666666671</v>
      </c>
      <c r="CQ15">
        <f t="shared" si="48"/>
        <v>13.046666666666665</v>
      </c>
      <c r="CU15" t="s">
        <v>51</v>
      </c>
      <c r="CV15">
        <v>2</v>
      </c>
      <c r="CW15">
        <f>37.8-CW14</f>
        <v>12.599999999999998</v>
      </c>
      <c r="DA15">
        <v>0.44666666666666671</v>
      </c>
      <c r="DC15">
        <f t="shared" si="49"/>
        <v>26.09333333333333</v>
      </c>
      <c r="DG15" t="s">
        <v>97</v>
      </c>
      <c r="DH15">
        <v>12</v>
      </c>
      <c r="DI15">
        <v>25.2</v>
      </c>
      <c r="DK15">
        <f t="shared" si="50"/>
        <v>0.35439814814814818</v>
      </c>
      <c r="DM15">
        <v>0.35499999999999998</v>
      </c>
      <c r="DO15">
        <f t="shared" si="51"/>
        <v>310.91277777777782</v>
      </c>
      <c r="DS15" t="s">
        <v>102</v>
      </c>
      <c r="DT15">
        <v>20</v>
      </c>
      <c r="DU15">
        <v>25.2</v>
      </c>
      <c r="DW15">
        <f t="shared" si="52"/>
        <v>0.32087037037037036</v>
      </c>
      <c r="DY15">
        <v>0.35499999999999998</v>
      </c>
      <c r="EA15">
        <f t="shared" si="53"/>
        <v>517.5174074074074</v>
      </c>
      <c r="EE15" t="s">
        <v>102</v>
      </c>
      <c r="EF15">
        <v>16</v>
      </c>
      <c r="EG15">
        <v>25.2</v>
      </c>
      <c r="EI15">
        <f t="shared" si="54"/>
        <v>0.35439814814814818</v>
      </c>
      <c r="EK15">
        <v>0.35499999999999998</v>
      </c>
      <c r="EM15">
        <f t="shared" si="55"/>
        <v>414.55037037037039</v>
      </c>
      <c r="EQ15" t="s">
        <v>102</v>
      </c>
      <c r="ER15">
        <v>17</v>
      </c>
      <c r="ES15">
        <v>25.2</v>
      </c>
      <c r="EU15">
        <f t="shared" si="56"/>
        <v>0.32087037037037036</v>
      </c>
      <c r="EW15">
        <v>0.35499999999999998</v>
      </c>
      <c r="EY15">
        <f t="shared" si="57"/>
        <v>439.88979629629631</v>
      </c>
      <c r="FC15" t="s">
        <v>91</v>
      </c>
      <c r="FD15">
        <v>20</v>
      </c>
      <c r="FE15">
        <v>25.2</v>
      </c>
      <c r="FG15">
        <f t="shared" si="58"/>
        <v>0.32087037037037036</v>
      </c>
      <c r="FI15">
        <v>1.04</v>
      </c>
      <c r="FK15">
        <f t="shared" si="59"/>
        <v>531.21740740740745</v>
      </c>
      <c r="FO15" t="s">
        <v>91</v>
      </c>
      <c r="FP15">
        <v>20</v>
      </c>
      <c r="FQ15">
        <v>25.2</v>
      </c>
      <c r="FS15">
        <f t="shared" si="60"/>
        <v>0.32087037037037036</v>
      </c>
      <c r="FU15">
        <v>1.04</v>
      </c>
      <c r="FW15">
        <f t="shared" si="61"/>
        <v>531.21740740740745</v>
      </c>
      <c r="FZ15" t="s">
        <v>9</v>
      </c>
      <c r="GA15" t="s">
        <v>50</v>
      </c>
      <c r="GB15">
        <v>11</v>
      </c>
      <c r="GC15">
        <v>16.8</v>
      </c>
      <c r="GE15">
        <f t="shared" ref="GE15:GE19" si="74">(5/12-41.384/36/12)</f>
        <v>0.32087037037037036</v>
      </c>
      <c r="GG15">
        <v>0.7</v>
      </c>
      <c r="GI15">
        <f t="shared" ref="GI15:GI17" si="75">SUM(GC15:GH15)*GB15</f>
        <v>196.02957407407411</v>
      </c>
      <c r="GM15" t="s">
        <v>91</v>
      </c>
      <c r="GN15">
        <v>20</v>
      </c>
      <c r="GO15">
        <v>25.2</v>
      </c>
      <c r="GQ15">
        <f t="shared" si="62"/>
        <v>0.32087037037037036</v>
      </c>
      <c r="GS15">
        <v>1.04</v>
      </c>
      <c r="GU15">
        <f t="shared" si="63"/>
        <v>531.21740740740745</v>
      </c>
      <c r="GY15" t="s">
        <v>91</v>
      </c>
      <c r="GZ15">
        <v>20</v>
      </c>
      <c r="HA15">
        <v>25.2</v>
      </c>
      <c r="HC15">
        <f t="shared" si="64"/>
        <v>0.32087037037037036</v>
      </c>
      <c r="HE15">
        <v>1.04</v>
      </c>
      <c r="HG15">
        <f t="shared" si="65"/>
        <v>531.21740740740745</v>
      </c>
      <c r="HK15" t="s">
        <v>91</v>
      </c>
      <c r="HL15">
        <v>20</v>
      </c>
      <c r="HM15">
        <v>25.2</v>
      </c>
      <c r="HO15">
        <f t="shared" si="66"/>
        <v>0.32087037037037036</v>
      </c>
      <c r="HQ15">
        <v>1.04</v>
      </c>
      <c r="HS15">
        <f t="shared" si="67"/>
        <v>531.21740740740745</v>
      </c>
      <c r="HW15" t="s">
        <v>91</v>
      </c>
      <c r="HX15">
        <v>20</v>
      </c>
      <c r="HY15">
        <v>25.2</v>
      </c>
      <c r="IA15">
        <f t="shared" si="68"/>
        <v>0.32087037037037036</v>
      </c>
      <c r="IC15">
        <v>1.04</v>
      </c>
      <c r="IE15">
        <f t="shared" si="69"/>
        <v>531.21740740740745</v>
      </c>
      <c r="II15" t="s">
        <v>91</v>
      </c>
      <c r="IJ15">
        <f>12+4</f>
        <v>16</v>
      </c>
      <c r="IK15">
        <v>25.2</v>
      </c>
      <c r="IM15">
        <f t="shared" si="70"/>
        <v>0.32087037037037036</v>
      </c>
      <c r="IO15">
        <v>1.04</v>
      </c>
      <c r="IQ15">
        <f t="shared" si="71"/>
        <v>424.97392592592593</v>
      </c>
      <c r="IU15" t="s">
        <v>91</v>
      </c>
      <c r="IW15">
        <v>25.2</v>
      </c>
      <c r="IY15">
        <f t="shared" si="72"/>
        <v>0.32087037037037036</v>
      </c>
      <c r="JA15">
        <v>1.04</v>
      </c>
      <c r="JC15">
        <f t="shared" si="73"/>
        <v>0</v>
      </c>
    </row>
    <row r="16" spans="1:265">
      <c r="B16" t="s">
        <v>10</v>
      </c>
      <c r="C16" t="s">
        <v>54</v>
      </c>
      <c r="D16">
        <v>12</v>
      </c>
      <c r="E16">
        <v>25.2</v>
      </c>
      <c r="I16">
        <v>0.4433333333333333</v>
      </c>
      <c r="K16">
        <f>SUM(E16:J16)*D16</f>
        <v>307.71999999999997</v>
      </c>
      <c r="N16" t="s">
        <v>10</v>
      </c>
      <c r="O16" t="s">
        <v>54</v>
      </c>
      <c r="P16">
        <v>12</v>
      </c>
      <c r="Q16">
        <v>25.2</v>
      </c>
      <c r="U16">
        <v>0.4433333333333333</v>
      </c>
      <c r="W16">
        <f>SUM(Q16:V16)*P16</f>
        <v>307.71999999999997</v>
      </c>
      <c r="Z16" t="s">
        <v>10</v>
      </c>
      <c r="AA16" t="s">
        <v>54</v>
      </c>
      <c r="AB16">
        <v>9</v>
      </c>
      <c r="AC16">
        <v>25.2</v>
      </c>
      <c r="AG16">
        <v>0.4433333333333333</v>
      </c>
      <c r="AI16">
        <f>SUM(AC16:AH16)*AB16</f>
        <v>230.78999999999996</v>
      </c>
      <c r="AL16" t="s">
        <v>10</v>
      </c>
      <c r="AM16" t="s">
        <v>54</v>
      </c>
      <c r="AN16">
        <v>9</v>
      </c>
      <c r="AO16">
        <v>25.2</v>
      </c>
      <c r="AS16">
        <v>0.4433333333333333</v>
      </c>
      <c r="AU16">
        <f>SUM(AO16:AT16)*AN16</f>
        <v>230.78999999999996</v>
      </c>
      <c r="AX16" t="s">
        <v>10</v>
      </c>
      <c r="AY16" t="s">
        <v>54</v>
      </c>
      <c r="AZ16">
        <v>10</v>
      </c>
      <c r="BA16">
        <v>25.2</v>
      </c>
      <c r="BE16">
        <v>0.4433333333333333</v>
      </c>
      <c r="BG16">
        <f>SUM(BA16:BF16)*AZ16</f>
        <v>256.43333333333328</v>
      </c>
      <c r="BJ16" t="s">
        <v>10</v>
      </c>
      <c r="BK16" t="s">
        <v>54</v>
      </c>
      <c r="BL16">
        <v>10</v>
      </c>
      <c r="BM16">
        <v>25.2</v>
      </c>
      <c r="BQ16">
        <v>0.4433333333333333</v>
      </c>
      <c r="BS16">
        <f>SUM(BM16:BR16)*BL16</f>
        <v>256.43333333333328</v>
      </c>
      <c r="BW16" t="s">
        <v>19</v>
      </c>
      <c r="BX16">
        <v>29</v>
      </c>
      <c r="CE16">
        <f>BX16*4+BX15*2</f>
        <v>118</v>
      </c>
      <c r="CI16" t="s">
        <v>19</v>
      </c>
      <c r="CJ16">
        <v>28</v>
      </c>
      <c r="CQ16">
        <f>CJ16*4+CJ15*2</f>
        <v>114</v>
      </c>
      <c r="CU16" t="s">
        <v>19</v>
      </c>
      <c r="CV16">
        <v>28</v>
      </c>
      <c r="DC16">
        <f>CV16*4+CV15*2</f>
        <v>116</v>
      </c>
      <c r="DG16" t="s">
        <v>91</v>
      </c>
      <c r="DH16">
        <f>12+9</f>
        <v>21</v>
      </c>
      <c r="DI16">
        <v>25.2</v>
      </c>
      <c r="DK16">
        <f t="shared" si="50"/>
        <v>0.35439814814814818</v>
      </c>
      <c r="DM16">
        <v>0.44666666666666671</v>
      </c>
      <c r="DO16">
        <f t="shared" si="51"/>
        <v>546.02236111111108</v>
      </c>
      <c r="DS16" t="s">
        <v>91</v>
      </c>
      <c r="DT16">
        <v>23</v>
      </c>
      <c r="DU16">
        <v>25.2</v>
      </c>
      <c r="DW16">
        <f t="shared" si="52"/>
        <v>0.32087037037037036</v>
      </c>
      <c r="DY16">
        <v>0.35499999999999998</v>
      </c>
      <c r="EA16">
        <f t="shared" si="53"/>
        <v>595.14501851851855</v>
      </c>
      <c r="EE16" t="s">
        <v>91</v>
      </c>
      <c r="EF16">
        <v>35</v>
      </c>
      <c r="EG16">
        <v>25.2</v>
      </c>
      <c r="EI16">
        <f t="shared" si="54"/>
        <v>0.35439814814814818</v>
      </c>
      <c r="EK16">
        <v>0.35499999999999998</v>
      </c>
      <c r="EM16">
        <f t="shared" si="55"/>
        <v>906.82893518518517</v>
      </c>
      <c r="EQ16" t="s">
        <v>91</v>
      </c>
      <c r="ER16">
        <v>23</v>
      </c>
      <c r="ES16">
        <v>25.2</v>
      </c>
      <c r="EU16">
        <f t="shared" si="56"/>
        <v>0.32087037037037036</v>
      </c>
      <c r="EW16">
        <v>0.35499999999999998</v>
      </c>
      <c r="EY16">
        <f t="shared" si="57"/>
        <v>595.14501851851855</v>
      </c>
      <c r="FC16" t="s">
        <v>19</v>
      </c>
      <c r="FD16">
        <v>28</v>
      </c>
      <c r="FK16">
        <f>FD16*4</f>
        <v>112</v>
      </c>
      <c r="FO16" t="s">
        <v>19</v>
      </c>
      <c r="FP16">
        <v>28</v>
      </c>
      <c r="FW16">
        <f>FP16*4</f>
        <v>112</v>
      </c>
      <c r="GA16" t="s">
        <v>102</v>
      </c>
      <c r="GB16">
        <v>16</v>
      </c>
      <c r="GC16">
        <v>25.2</v>
      </c>
      <c r="GE16">
        <f t="shared" si="74"/>
        <v>0.32087037037037036</v>
      </c>
      <c r="GG16">
        <v>1.04</v>
      </c>
      <c r="GI16">
        <f t="shared" si="75"/>
        <v>424.97392592592593</v>
      </c>
      <c r="GM16" t="s">
        <v>19</v>
      </c>
      <c r="GN16">
        <v>28</v>
      </c>
      <c r="GU16">
        <f>GN16*4</f>
        <v>112</v>
      </c>
      <c r="GY16" t="s">
        <v>19</v>
      </c>
      <c r="GZ16">
        <v>28</v>
      </c>
      <c r="HG16">
        <f>GZ16*4</f>
        <v>112</v>
      </c>
      <c r="HK16" t="s">
        <v>19</v>
      </c>
      <c r="HL16">
        <v>28</v>
      </c>
      <c r="HS16">
        <f>HL16*4</f>
        <v>112</v>
      </c>
      <c r="HW16" t="s">
        <v>19</v>
      </c>
      <c r="HX16">
        <v>32</v>
      </c>
      <c r="IE16">
        <f>HX16*4</f>
        <v>128</v>
      </c>
      <c r="II16" t="s">
        <v>19</v>
      </c>
      <c r="IJ16">
        <v>32</v>
      </c>
      <c r="IQ16">
        <f>IJ16*4</f>
        <v>128</v>
      </c>
      <c r="IU16" t="s">
        <v>19</v>
      </c>
      <c r="IV16">
        <v>32</v>
      </c>
      <c r="JC16">
        <f>IV16*4</f>
        <v>128</v>
      </c>
    </row>
    <row r="17" spans="2:263">
      <c r="C17" t="s">
        <v>55</v>
      </c>
      <c r="D17">
        <v>10</v>
      </c>
      <c r="E17">
        <v>25.2</v>
      </c>
      <c r="H17">
        <f>(3-30/20/12-9/12)</f>
        <v>2.125</v>
      </c>
      <c r="I17">
        <v>0.55833333333333335</v>
      </c>
      <c r="K17">
        <f>SUM(E17:J17)*D17</f>
        <v>278.83333333333331</v>
      </c>
      <c r="O17" t="s">
        <v>55</v>
      </c>
      <c r="P17">
        <v>10</v>
      </c>
      <c r="Q17">
        <v>25.2</v>
      </c>
      <c r="T17">
        <f>(3-30/20/12-9/12)</f>
        <v>2.125</v>
      </c>
      <c r="U17">
        <v>0.55833333333333335</v>
      </c>
      <c r="W17">
        <f>SUM(Q17:V17)*P17</f>
        <v>278.83333333333331</v>
      </c>
      <c r="AA17" t="s">
        <v>55</v>
      </c>
      <c r="AB17">
        <v>10</v>
      </c>
      <c r="AC17">
        <v>25.2</v>
      </c>
      <c r="AF17">
        <f>(3-30/20/12-9/12)</f>
        <v>2.125</v>
      </c>
      <c r="AG17">
        <v>0.55833333333333335</v>
      </c>
      <c r="AI17">
        <f>SUM(AC17:AH17)*AB17</f>
        <v>278.83333333333331</v>
      </c>
      <c r="AM17" t="s">
        <v>55</v>
      </c>
      <c r="AN17">
        <v>15</v>
      </c>
      <c r="AO17">
        <v>25.2</v>
      </c>
      <c r="AR17">
        <f>(3-30/20/12-9/12)</f>
        <v>2.125</v>
      </c>
      <c r="AS17">
        <v>0.55833333333333335</v>
      </c>
      <c r="AU17">
        <f>SUM(AO17:AT17)*AN17</f>
        <v>418.25</v>
      </c>
      <c r="AY17" t="s">
        <v>71</v>
      </c>
      <c r="AZ17">
        <v>7</v>
      </c>
      <c r="BA17">
        <v>25.2</v>
      </c>
      <c r="BD17">
        <f>(3-30/20/12-9/12)</f>
        <v>2.125</v>
      </c>
      <c r="BE17">
        <v>0.55833333333333335</v>
      </c>
      <c r="BG17">
        <f>SUM(BA17:BF17)*AZ17</f>
        <v>195.18333333333334</v>
      </c>
      <c r="BK17" t="s">
        <v>71</v>
      </c>
      <c r="BL17">
        <v>6</v>
      </c>
      <c r="BM17">
        <v>25.2</v>
      </c>
      <c r="BP17">
        <f>(3-30/20/12-9/12)</f>
        <v>2.125</v>
      </c>
      <c r="BQ17">
        <v>0.55833333333333335</v>
      </c>
      <c r="BS17">
        <f>SUM(BM17:BR17)*BL17</f>
        <v>167.3</v>
      </c>
      <c r="BV17" t="s">
        <v>10</v>
      </c>
      <c r="BW17" t="s">
        <v>54</v>
      </c>
      <c r="BX17">
        <v>6</v>
      </c>
      <c r="BY17">
        <v>25.2</v>
      </c>
      <c r="CC17">
        <v>0.4433333333333333</v>
      </c>
      <c r="CE17">
        <f>SUM(BY17:CD17)*BX17</f>
        <v>153.85999999999999</v>
      </c>
      <c r="CH17" t="s">
        <v>10</v>
      </c>
      <c r="CI17" t="s">
        <v>54</v>
      </c>
      <c r="CJ17">
        <v>6</v>
      </c>
      <c r="CK17">
        <v>25.2</v>
      </c>
      <c r="CO17">
        <v>0.4433333333333333</v>
      </c>
      <c r="CQ17">
        <f>SUM(CK17:CP17)*CJ17</f>
        <v>153.85999999999999</v>
      </c>
      <c r="CT17" t="s">
        <v>10</v>
      </c>
      <c r="CU17" t="s">
        <v>54</v>
      </c>
      <c r="CV17">
        <v>4</v>
      </c>
      <c r="CW17">
        <v>25.2</v>
      </c>
      <c r="DA17">
        <v>0.4433333333333333</v>
      </c>
      <c r="DC17">
        <f>SUM(CW17:DB17)*CV17</f>
        <v>102.57333333333332</v>
      </c>
      <c r="DG17" t="s">
        <v>19</v>
      </c>
      <c r="DH17">
        <v>28</v>
      </c>
      <c r="DO17">
        <f>DH17*4+DH16*2</f>
        <v>154</v>
      </c>
      <c r="DS17" t="s">
        <v>19</v>
      </c>
      <c r="DT17">
        <v>28</v>
      </c>
      <c r="EA17">
        <f>DT17*4</f>
        <v>112</v>
      </c>
      <c r="EE17" t="s">
        <v>19</v>
      </c>
      <c r="EF17">
        <v>28</v>
      </c>
      <c r="EM17">
        <f>EF17*4</f>
        <v>112</v>
      </c>
      <c r="EQ17" t="s">
        <v>19</v>
      </c>
      <c r="ER17">
        <v>28</v>
      </c>
      <c r="EY17">
        <f>ER17*4</f>
        <v>112</v>
      </c>
      <c r="FB17" t="s">
        <v>10</v>
      </c>
      <c r="FC17" t="s">
        <v>54</v>
      </c>
      <c r="FD17">
        <v>8</v>
      </c>
      <c r="FE17">
        <v>25.2</v>
      </c>
      <c r="FG17">
        <f t="shared" si="58"/>
        <v>0.32087037037037036</v>
      </c>
      <c r="FI17">
        <v>0.4</v>
      </c>
      <c r="FK17">
        <f t="shared" ref="FK17:FK23" si="76">SUM(FE17:FJ17)*FD17</f>
        <v>207.36696296296296</v>
      </c>
      <c r="FN17" t="s">
        <v>10</v>
      </c>
      <c r="FO17" t="s">
        <v>54</v>
      </c>
      <c r="FP17">
        <v>8</v>
      </c>
      <c r="FQ17">
        <v>25.2</v>
      </c>
      <c r="FS17">
        <f t="shared" si="60"/>
        <v>0.32087037037037036</v>
      </c>
      <c r="FU17">
        <v>0.4</v>
      </c>
      <c r="FW17">
        <f t="shared" ref="FW17:FW23" si="77">SUM(FQ17:FV17)*FP17</f>
        <v>207.36696296296296</v>
      </c>
      <c r="GA17" t="s">
        <v>91</v>
      </c>
      <c r="GB17">
        <v>20</v>
      </c>
      <c r="GC17">
        <v>25.2</v>
      </c>
      <c r="GE17">
        <f t="shared" si="74"/>
        <v>0.32087037037037036</v>
      </c>
      <c r="GG17">
        <v>1.04</v>
      </c>
      <c r="GI17">
        <f t="shared" si="75"/>
        <v>531.21740740740745</v>
      </c>
      <c r="GL17" t="s">
        <v>10</v>
      </c>
      <c r="GM17" t="s">
        <v>54</v>
      </c>
      <c r="GN17">
        <v>8</v>
      </c>
      <c r="GO17">
        <v>25.2</v>
      </c>
      <c r="GQ17">
        <f t="shared" si="62"/>
        <v>0.32087037037037036</v>
      </c>
      <c r="GS17">
        <v>0.4</v>
      </c>
      <c r="GU17">
        <f t="shared" ref="GU17:GU23" si="78">SUM(GO17:GT17)*GN17</f>
        <v>207.36696296296296</v>
      </c>
      <c r="GX17" t="s">
        <v>10</v>
      </c>
      <c r="GY17" t="s">
        <v>54</v>
      </c>
      <c r="GZ17">
        <v>8</v>
      </c>
      <c r="HA17">
        <v>25.2</v>
      </c>
      <c r="HC17">
        <f t="shared" si="64"/>
        <v>0.32087037037037036</v>
      </c>
      <c r="HE17">
        <v>0.4</v>
      </c>
      <c r="HG17">
        <f t="shared" ref="HG17:HG25" si="79">SUM(HA17:HF17)*GZ17</f>
        <v>207.36696296296296</v>
      </c>
      <c r="HJ17" t="s">
        <v>10</v>
      </c>
      <c r="HK17" t="s">
        <v>54</v>
      </c>
      <c r="HL17">
        <v>8</v>
      </c>
      <c r="HM17">
        <v>25.2</v>
      </c>
      <c r="HO17">
        <f t="shared" si="66"/>
        <v>0.32087037037037036</v>
      </c>
      <c r="HQ17">
        <v>0.4</v>
      </c>
      <c r="HS17">
        <f t="shared" ref="HS17:HS25" si="80">SUM(HM17:HR17)*HL17</f>
        <v>207.36696296296296</v>
      </c>
      <c r="HV17" t="s">
        <v>10</v>
      </c>
      <c r="HW17" t="s">
        <v>54</v>
      </c>
      <c r="HX17">
        <v>8</v>
      </c>
      <c r="HY17">
        <v>25.2</v>
      </c>
      <c r="IA17">
        <f t="shared" si="68"/>
        <v>0.32087037037037036</v>
      </c>
      <c r="IC17">
        <v>0.4</v>
      </c>
      <c r="IE17">
        <f t="shared" ref="IE17:IE25" si="81">SUM(HY17:ID17)*HX17</f>
        <v>207.36696296296296</v>
      </c>
      <c r="IH17" t="s">
        <v>10</v>
      </c>
      <c r="II17" t="s">
        <v>54</v>
      </c>
      <c r="IJ17">
        <v>8</v>
      </c>
      <c r="IK17">
        <v>25.2</v>
      </c>
      <c r="IM17">
        <f t="shared" si="70"/>
        <v>0.32087037037037036</v>
      </c>
      <c r="IO17">
        <v>0.4</v>
      </c>
      <c r="IQ17">
        <f t="shared" ref="IQ17:IQ25" si="82">SUM(IK17:IP17)*IJ17</f>
        <v>207.36696296296296</v>
      </c>
      <c r="IT17" t="s">
        <v>10</v>
      </c>
      <c r="IU17" t="s">
        <v>110</v>
      </c>
      <c r="IV17">
        <v>8</v>
      </c>
      <c r="IW17">
        <v>25.2</v>
      </c>
      <c r="IY17">
        <f t="shared" si="72"/>
        <v>0.32087037037037036</v>
      </c>
      <c r="JA17">
        <v>0.4</v>
      </c>
      <c r="JC17">
        <f t="shared" ref="JC17:JC25" si="83">SUM(IW17:JB17)*IV17</f>
        <v>207.36696296296296</v>
      </c>
    </row>
    <row r="18" spans="2:263">
      <c r="C18" t="s">
        <v>56</v>
      </c>
      <c r="D18">
        <v>9</v>
      </c>
      <c r="E18">
        <v>25.2</v>
      </c>
      <c r="H18">
        <f>(3-30/20/12-9/12)</f>
        <v>2.125</v>
      </c>
      <c r="I18">
        <v>0.86583333333333334</v>
      </c>
      <c r="K18">
        <f>SUM(E18:J18)*D18</f>
        <v>253.7175</v>
      </c>
      <c r="O18" t="s">
        <v>56</v>
      </c>
      <c r="P18">
        <v>8</v>
      </c>
      <c r="Q18">
        <v>25.2</v>
      </c>
      <c r="T18">
        <f>(3-30/20/12-9/12)</f>
        <v>2.125</v>
      </c>
      <c r="U18">
        <v>0.86583333333333334</v>
      </c>
      <c r="W18">
        <f>SUM(Q18:V18)*P18</f>
        <v>225.52666666666667</v>
      </c>
      <c r="AA18" t="s">
        <v>56</v>
      </c>
      <c r="AB18">
        <v>6</v>
      </c>
      <c r="AC18">
        <v>25.2</v>
      </c>
      <c r="AF18">
        <f>(3-30/20/12-9/12)</f>
        <v>2.125</v>
      </c>
      <c r="AG18">
        <v>0.86583333333333334</v>
      </c>
      <c r="AI18">
        <f>SUM(AC18:AH18)*AB18</f>
        <v>169.14500000000001</v>
      </c>
      <c r="AM18" t="s">
        <v>56</v>
      </c>
      <c r="AN18">
        <v>8</v>
      </c>
      <c r="AO18">
        <v>25.2</v>
      </c>
      <c r="AR18">
        <f>(3-30/20/12-9/12)</f>
        <v>2.125</v>
      </c>
      <c r="AS18">
        <v>0.86583333333333334</v>
      </c>
      <c r="AU18">
        <f>SUM(AO18:AT18)*AN18</f>
        <v>225.52666666666667</v>
      </c>
      <c r="AY18" t="s">
        <v>72</v>
      </c>
      <c r="AZ18">
        <v>7</v>
      </c>
      <c r="BA18">
        <v>25.2</v>
      </c>
      <c r="BD18">
        <f>(3-30/20/12-9/12)</f>
        <v>2.125</v>
      </c>
      <c r="BE18">
        <v>0.55833333333333335</v>
      </c>
      <c r="BG18">
        <f>SUM(BA18:BF18)*AZ18</f>
        <v>195.18333333333334</v>
      </c>
      <c r="BK18" t="s">
        <v>72</v>
      </c>
      <c r="BL18">
        <v>7</v>
      </c>
      <c r="BM18">
        <v>25.2</v>
      </c>
      <c r="BP18">
        <f>(3-30/20/12-9/12)</f>
        <v>2.125</v>
      </c>
      <c r="BQ18">
        <v>0.55833333333333335</v>
      </c>
      <c r="BS18">
        <f>SUM(BM18:BR18)*BL18</f>
        <v>195.18333333333334</v>
      </c>
      <c r="BW18" t="s">
        <v>71</v>
      </c>
      <c r="BX18">
        <v>6</v>
      </c>
      <c r="BY18">
        <v>25.2</v>
      </c>
      <c r="CB18">
        <f>(3-30/20/12-9/12)</f>
        <v>2.125</v>
      </c>
      <c r="CC18">
        <v>0.55833333333333335</v>
      </c>
      <c r="CE18">
        <f>SUM(BY18:CD18)*BX18</f>
        <v>167.3</v>
      </c>
      <c r="CI18" t="s">
        <v>71</v>
      </c>
      <c r="CJ18">
        <v>6</v>
      </c>
      <c r="CK18">
        <v>25.2</v>
      </c>
      <c r="CN18">
        <f>(3-30/20/12-9/12)</f>
        <v>2.125</v>
      </c>
      <c r="CO18">
        <v>0.55833333333333335</v>
      </c>
      <c r="CQ18">
        <f>SUM(CK18:CP18)*CJ18</f>
        <v>167.3</v>
      </c>
      <c r="CU18" t="s">
        <v>71</v>
      </c>
      <c r="CV18">
        <v>7</v>
      </c>
      <c r="CW18">
        <v>25.2</v>
      </c>
      <c r="CZ18">
        <f>(3-30/20/12-9/12)</f>
        <v>2.125</v>
      </c>
      <c r="DA18">
        <v>0.55833333333333335</v>
      </c>
      <c r="DC18">
        <f>SUM(CW18:DB18)*CV18</f>
        <v>195.18333333333334</v>
      </c>
      <c r="DF18" t="s">
        <v>10</v>
      </c>
      <c r="DG18" t="s">
        <v>54</v>
      </c>
      <c r="DH18">
        <v>8</v>
      </c>
      <c r="DI18">
        <v>25.2</v>
      </c>
      <c r="DK18">
        <f t="shared" ref="DK18" si="84">(5/12-26.9/36/12)</f>
        <v>0.35439814814814818</v>
      </c>
      <c r="DM18">
        <v>0.4433333333333333</v>
      </c>
      <c r="DO18">
        <f t="shared" ref="DO18:DO23" si="85">SUM(DI18:DN18)*DH18</f>
        <v>207.98185185185184</v>
      </c>
      <c r="DR18" t="s">
        <v>10</v>
      </c>
      <c r="DS18" t="s">
        <v>54</v>
      </c>
      <c r="DT18">
        <v>9</v>
      </c>
      <c r="DU18">
        <v>25.2</v>
      </c>
      <c r="DW18">
        <f t="shared" si="52"/>
        <v>0.32087037037037036</v>
      </c>
      <c r="DY18">
        <v>0.61</v>
      </c>
      <c r="EA18">
        <f t="shared" ref="EA18:EA24" si="86">SUM(DU18:DZ18)*DT18</f>
        <v>235.17783333333333</v>
      </c>
      <c r="ED18" t="s">
        <v>10</v>
      </c>
      <c r="EE18" t="s">
        <v>54</v>
      </c>
      <c r="EF18">
        <v>9</v>
      </c>
      <c r="EG18">
        <v>25.2</v>
      </c>
      <c r="EK18">
        <v>0.4433333333333333</v>
      </c>
      <c r="EM18">
        <f t="shared" ref="EM18:EM23" si="87">SUM(EG18:EL18)*EF18</f>
        <v>230.78999999999996</v>
      </c>
      <c r="EP18" t="s">
        <v>10</v>
      </c>
      <c r="EQ18" t="s">
        <v>54</v>
      </c>
      <c r="ER18">
        <v>9</v>
      </c>
      <c r="ES18">
        <v>25.2</v>
      </c>
      <c r="EU18">
        <f t="shared" si="56"/>
        <v>0.32087037037037036</v>
      </c>
      <c r="EW18">
        <v>0.61</v>
      </c>
      <c r="EY18">
        <f t="shared" ref="EY18:EY24" si="88">SUM(ES18:EX18)*ER18</f>
        <v>235.17783333333333</v>
      </c>
      <c r="FC18" t="s">
        <v>110</v>
      </c>
      <c r="FD18">
        <v>9</v>
      </c>
      <c r="FE18">
        <v>25.2</v>
      </c>
      <c r="FH18">
        <f t="shared" ref="FH18:FH23" si="89">(3-30/20/12-9/12)</f>
        <v>2.125</v>
      </c>
      <c r="FI18">
        <v>0.6</v>
      </c>
      <c r="FK18">
        <f t="shared" si="76"/>
        <v>251.32500000000002</v>
      </c>
      <c r="FO18" t="s">
        <v>110</v>
      </c>
      <c r="FP18">
        <v>9</v>
      </c>
      <c r="FQ18">
        <v>25.2</v>
      </c>
      <c r="FT18">
        <f t="shared" ref="FT18:FT23" si="90">(3-30/20/12-9/12)</f>
        <v>2.125</v>
      </c>
      <c r="FU18">
        <v>0.6</v>
      </c>
      <c r="FW18">
        <f t="shared" si="77"/>
        <v>251.32500000000002</v>
      </c>
      <c r="GA18" t="s">
        <v>19</v>
      </c>
      <c r="GB18">
        <v>28</v>
      </c>
      <c r="GI18">
        <f>GB18*4</f>
        <v>112</v>
      </c>
      <c r="GM18" t="s">
        <v>110</v>
      </c>
      <c r="GN18">
        <v>9</v>
      </c>
      <c r="GO18">
        <v>25.2</v>
      </c>
      <c r="GR18">
        <f t="shared" ref="GR18:GR23" si="91">(3-30/20/12-9/12)</f>
        <v>2.125</v>
      </c>
      <c r="GS18">
        <v>0.6</v>
      </c>
      <c r="GU18">
        <f t="shared" si="78"/>
        <v>251.32500000000002</v>
      </c>
      <c r="GY18" t="s">
        <v>110</v>
      </c>
      <c r="GZ18">
        <v>9</v>
      </c>
      <c r="HA18">
        <v>25.2</v>
      </c>
      <c r="HD18">
        <f t="shared" ref="HD18:HD25" si="92">(3-30/20/12-9/12)</f>
        <v>2.125</v>
      </c>
      <c r="HE18">
        <v>0.6</v>
      </c>
      <c r="HG18">
        <f t="shared" si="79"/>
        <v>251.32500000000002</v>
      </c>
      <c r="HK18" t="s">
        <v>110</v>
      </c>
      <c r="HL18">
        <v>9</v>
      </c>
      <c r="HM18">
        <v>25.2</v>
      </c>
      <c r="HP18">
        <f t="shared" ref="HP18:HP25" si="93">(3-30/20/12-9/12)</f>
        <v>2.125</v>
      </c>
      <c r="HQ18">
        <v>0.6</v>
      </c>
      <c r="HS18">
        <f t="shared" si="80"/>
        <v>251.32500000000002</v>
      </c>
      <c r="HW18" t="s">
        <v>110</v>
      </c>
      <c r="HX18">
        <v>9</v>
      </c>
      <c r="HY18">
        <v>25.2</v>
      </c>
      <c r="IB18">
        <f t="shared" ref="IB18:IB25" si="94">(3-30/20/12-9/12)</f>
        <v>2.125</v>
      </c>
      <c r="IC18">
        <v>0.6</v>
      </c>
      <c r="IE18">
        <f t="shared" si="81"/>
        <v>251.32500000000002</v>
      </c>
      <c r="II18" t="s">
        <v>110</v>
      </c>
      <c r="IJ18">
        <v>9</v>
      </c>
      <c r="IK18">
        <v>25.2</v>
      </c>
      <c r="IN18">
        <f t="shared" ref="IN18:IN25" si="95">(3-30/20/12-9/12)</f>
        <v>2.125</v>
      </c>
      <c r="IO18">
        <v>0.6</v>
      </c>
      <c r="IQ18">
        <f t="shared" si="82"/>
        <v>251.32500000000002</v>
      </c>
      <c r="IU18" t="s">
        <v>178</v>
      </c>
      <c r="IV18">
        <v>9</v>
      </c>
      <c r="IW18">
        <v>25.2</v>
      </c>
      <c r="IZ18">
        <f t="shared" ref="IZ18:IZ25" si="96">(3-30/20/12-9/12)</f>
        <v>2.125</v>
      </c>
      <c r="JA18">
        <v>0.6</v>
      </c>
      <c r="JC18">
        <f t="shared" si="83"/>
        <v>251.32500000000002</v>
      </c>
    </row>
    <row r="19" spans="2:263">
      <c r="C19" t="s">
        <v>57</v>
      </c>
      <c r="D19">
        <v>6</v>
      </c>
      <c r="E19">
        <v>25.2</v>
      </c>
      <c r="H19">
        <f>(3-30/20/12-9/12)</f>
        <v>2.125</v>
      </c>
      <c r="I19">
        <v>0.71</v>
      </c>
      <c r="K19">
        <f>SUM(E19:J19)*D19</f>
        <v>168.21</v>
      </c>
      <c r="O19" t="s">
        <v>57</v>
      </c>
      <c r="P19">
        <v>4</v>
      </c>
      <c r="Q19">
        <v>25.2</v>
      </c>
      <c r="T19">
        <f>(3-30/20/12-9/12)</f>
        <v>2.125</v>
      </c>
      <c r="U19">
        <v>0.71</v>
      </c>
      <c r="W19">
        <f>SUM(Q19:V19)*P19</f>
        <v>112.14</v>
      </c>
      <c r="AA19" t="s">
        <v>57</v>
      </c>
      <c r="AB19">
        <v>3</v>
      </c>
      <c r="AC19">
        <v>25.2</v>
      </c>
      <c r="AF19">
        <f>(3-30/20/12-9/12)</f>
        <v>2.125</v>
      </c>
      <c r="AG19">
        <v>0.71</v>
      </c>
      <c r="AI19">
        <f>SUM(AC19:AH19)*AB19</f>
        <v>84.105000000000004</v>
      </c>
      <c r="AM19" t="s">
        <v>52</v>
      </c>
      <c r="AN19">
        <v>15</v>
      </c>
      <c r="AO19">
        <v>4</v>
      </c>
      <c r="AU19">
        <f t="shared" ref="AU19" si="97">SUM(AO19:AT19)*AN19</f>
        <v>60</v>
      </c>
      <c r="AY19" t="s">
        <v>56</v>
      </c>
      <c r="AZ19">
        <v>5</v>
      </c>
      <c r="BA19">
        <v>25.2</v>
      </c>
      <c r="BD19">
        <f>(3-30/20/12-9/12)</f>
        <v>2.125</v>
      </c>
      <c r="BE19">
        <v>0.86583333333333334</v>
      </c>
      <c r="BG19">
        <f>SUM(BA19:BF19)*AZ19</f>
        <v>140.95416666666668</v>
      </c>
      <c r="BK19" t="s">
        <v>56</v>
      </c>
      <c r="BL19">
        <v>3</v>
      </c>
      <c r="BM19">
        <v>25.2</v>
      </c>
      <c r="BP19">
        <f>(3-30/20/12-9/12)</f>
        <v>2.125</v>
      </c>
      <c r="BQ19">
        <v>0.86583333333333334</v>
      </c>
      <c r="BS19">
        <f>SUM(BM19:BR19)*BL19</f>
        <v>84.572500000000005</v>
      </c>
      <c r="BW19" t="s">
        <v>72</v>
      </c>
      <c r="BX19">
        <v>9</v>
      </c>
      <c r="BY19">
        <v>25.2</v>
      </c>
      <c r="CB19">
        <f>(3-30/20/12-9/12)</f>
        <v>2.125</v>
      </c>
      <c r="CC19">
        <v>0.55833333333333335</v>
      </c>
      <c r="CE19">
        <f>SUM(BY19:CD19)*BX19</f>
        <v>250.95</v>
      </c>
      <c r="CI19" t="s">
        <v>72</v>
      </c>
      <c r="CJ19">
        <v>9</v>
      </c>
      <c r="CK19">
        <v>25.2</v>
      </c>
      <c r="CN19">
        <f>(3-30/20/12-9/12)</f>
        <v>2.125</v>
      </c>
      <c r="CO19">
        <v>0.55833333333333335</v>
      </c>
      <c r="CQ19">
        <f>SUM(CK19:CP19)*CJ19</f>
        <v>250.95</v>
      </c>
      <c r="CU19" t="s">
        <v>72</v>
      </c>
      <c r="CV19">
        <v>6</v>
      </c>
      <c r="CW19">
        <v>25.2</v>
      </c>
      <c r="CZ19">
        <f>(3-30/20/12-9/12)</f>
        <v>2.125</v>
      </c>
      <c r="DA19">
        <v>0.55833333333333335</v>
      </c>
      <c r="DC19">
        <f>SUM(CW19:DB19)*CV19</f>
        <v>167.3</v>
      </c>
      <c r="DG19" t="s">
        <v>83</v>
      </c>
      <c r="DH19">
        <v>12</v>
      </c>
      <c r="DI19">
        <v>25.2</v>
      </c>
      <c r="DL19">
        <f>(3-30/20/12-9/12)</f>
        <v>2.125</v>
      </c>
      <c r="DM19">
        <v>0.55833333333333335</v>
      </c>
      <c r="DO19">
        <f t="shared" si="85"/>
        <v>334.6</v>
      </c>
      <c r="DS19" t="s">
        <v>83</v>
      </c>
      <c r="DT19">
        <v>12</v>
      </c>
      <c r="DU19">
        <v>25.2</v>
      </c>
      <c r="DX19">
        <f t="shared" ref="DX19:DX24" si="98">(3-30/20/12-9/12)</f>
        <v>2.125</v>
      </c>
      <c r="DY19">
        <v>0.92</v>
      </c>
      <c r="EA19">
        <f t="shared" si="86"/>
        <v>338.94</v>
      </c>
      <c r="EE19" t="s">
        <v>83</v>
      </c>
      <c r="EF19">
        <v>12</v>
      </c>
      <c r="EG19">
        <v>25.2</v>
      </c>
      <c r="EJ19">
        <f>(3-30/20/12-9/12)</f>
        <v>2.125</v>
      </c>
      <c r="EK19">
        <v>0.55833333333333335</v>
      </c>
      <c r="EM19">
        <f t="shared" si="87"/>
        <v>334.6</v>
      </c>
      <c r="EQ19" t="s">
        <v>110</v>
      </c>
      <c r="ER19">
        <v>9</v>
      </c>
      <c r="ES19">
        <v>25.2</v>
      </c>
      <c r="EV19">
        <f t="shared" ref="EV19:EV24" si="99">(3-30/20/12-9/12)</f>
        <v>2.125</v>
      </c>
      <c r="EW19">
        <v>0.92</v>
      </c>
      <c r="EY19">
        <f t="shared" si="88"/>
        <v>254.20500000000001</v>
      </c>
      <c r="FC19" t="s">
        <v>84</v>
      </c>
      <c r="FD19">
        <v>5</v>
      </c>
      <c r="FE19">
        <v>25.2</v>
      </c>
      <c r="FH19">
        <f t="shared" si="89"/>
        <v>2.125</v>
      </c>
      <c r="FI19">
        <v>0.52</v>
      </c>
      <c r="FK19">
        <f t="shared" si="76"/>
        <v>139.22499999999999</v>
      </c>
      <c r="FO19" t="s">
        <v>84</v>
      </c>
      <c r="FP19">
        <v>5</v>
      </c>
      <c r="FQ19">
        <v>25.2</v>
      </c>
      <c r="FT19">
        <f t="shared" si="90"/>
        <v>2.125</v>
      </c>
      <c r="FU19">
        <v>0.52</v>
      </c>
      <c r="FW19">
        <f t="shared" si="77"/>
        <v>139.22499999999999</v>
      </c>
      <c r="FZ19" t="s">
        <v>10</v>
      </c>
      <c r="GA19" t="s">
        <v>54</v>
      </c>
      <c r="GB19">
        <v>8</v>
      </c>
      <c r="GC19">
        <v>25.2</v>
      </c>
      <c r="GE19">
        <f t="shared" si="74"/>
        <v>0.32087037037037036</v>
      </c>
      <c r="GG19">
        <v>0.4</v>
      </c>
      <c r="GI19">
        <f t="shared" ref="GI19:GI25" si="100">SUM(GC19:GH19)*GB19</f>
        <v>207.36696296296296</v>
      </c>
      <c r="GM19" t="s">
        <v>84</v>
      </c>
      <c r="GN19">
        <v>5</v>
      </c>
      <c r="GO19">
        <v>25.2</v>
      </c>
      <c r="GR19">
        <f t="shared" si="91"/>
        <v>2.125</v>
      </c>
      <c r="GS19">
        <v>0.52</v>
      </c>
      <c r="GU19">
        <f t="shared" si="78"/>
        <v>139.22499999999999</v>
      </c>
      <c r="GY19" t="s">
        <v>84</v>
      </c>
      <c r="GZ19">
        <v>5</v>
      </c>
      <c r="HA19">
        <v>25.2</v>
      </c>
      <c r="HD19">
        <f t="shared" si="92"/>
        <v>2.125</v>
      </c>
      <c r="HE19">
        <v>0.52</v>
      </c>
      <c r="HG19">
        <f t="shared" si="79"/>
        <v>139.22499999999999</v>
      </c>
      <c r="HK19" t="s">
        <v>84</v>
      </c>
      <c r="HL19">
        <v>0</v>
      </c>
      <c r="HM19">
        <v>25.2</v>
      </c>
      <c r="HP19">
        <f t="shared" si="93"/>
        <v>2.125</v>
      </c>
      <c r="HQ19">
        <v>0.52</v>
      </c>
      <c r="HS19">
        <f t="shared" si="80"/>
        <v>0</v>
      </c>
      <c r="HW19" t="s">
        <v>84</v>
      </c>
      <c r="HX19">
        <v>5</v>
      </c>
      <c r="HY19">
        <v>25.2</v>
      </c>
      <c r="IB19">
        <f t="shared" si="94"/>
        <v>2.125</v>
      </c>
      <c r="IC19">
        <v>0.52</v>
      </c>
      <c r="IE19">
        <f t="shared" si="81"/>
        <v>139.22499999999999</v>
      </c>
      <c r="II19" t="s">
        <v>84</v>
      </c>
      <c r="IJ19">
        <v>5</v>
      </c>
      <c r="IK19">
        <v>25.2</v>
      </c>
      <c r="IN19">
        <f t="shared" si="95"/>
        <v>2.125</v>
      </c>
      <c r="IO19">
        <v>0.52</v>
      </c>
      <c r="IQ19">
        <f t="shared" si="82"/>
        <v>139.22499999999999</v>
      </c>
      <c r="IU19" t="s">
        <v>179</v>
      </c>
      <c r="IV19">
        <v>5</v>
      </c>
      <c r="IW19">
        <v>25.2</v>
      </c>
      <c r="IZ19">
        <f t="shared" si="96"/>
        <v>2.125</v>
      </c>
      <c r="JA19">
        <v>0.52</v>
      </c>
      <c r="JC19">
        <f t="shared" si="83"/>
        <v>139.22499999999999</v>
      </c>
    </row>
    <row r="20" spans="2:263">
      <c r="C20" t="s">
        <v>52</v>
      </c>
      <c r="D20">
        <v>21</v>
      </c>
      <c r="E20">
        <v>4</v>
      </c>
      <c r="K20">
        <f>SUM(E20:J20)*D20</f>
        <v>84</v>
      </c>
      <c r="O20" t="s">
        <v>52</v>
      </c>
      <c r="P20">
        <v>18</v>
      </c>
      <c r="Q20">
        <v>4</v>
      </c>
      <c r="W20">
        <f>SUM(Q20:V20)*P20</f>
        <v>72</v>
      </c>
      <c r="AA20" t="s">
        <v>52</v>
      </c>
      <c r="AB20">
        <v>13</v>
      </c>
      <c r="AC20">
        <v>4</v>
      </c>
      <c r="AI20">
        <f>SUM(AC20:AH20)*AB20</f>
        <v>52</v>
      </c>
      <c r="AM20" t="s">
        <v>58</v>
      </c>
      <c r="AN20">
        <v>11</v>
      </c>
      <c r="AU20">
        <f>(SUM(AN16:AN18)-AN20)*4+AN19*2</f>
        <v>114</v>
      </c>
      <c r="AY20" t="s">
        <v>52</v>
      </c>
      <c r="AZ20">
        <v>14</v>
      </c>
      <c r="BA20">
        <v>4</v>
      </c>
      <c r="BG20">
        <f t="shared" ref="BG20" si="101">SUM(BA20:BF20)*AZ20</f>
        <v>56</v>
      </c>
      <c r="BK20" t="s">
        <v>52</v>
      </c>
      <c r="BL20">
        <v>15</v>
      </c>
      <c r="BM20">
        <v>4</v>
      </c>
      <c r="BS20">
        <f t="shared" ref="BS20" si="102">SUM(BM20:BR20)*BL20</f>
        <v>60</v>
      </c>
      <c r="BW20" t="s">
        <v>79</v>
      </c>
      <c r="BX20">
        <v>3</v>
      </c>
      <c r="BY20">
        <v>37.799999999999997</v>
      </c>
      <c r="CB20">
        <f>(3-30/20/12-9/12)</f>
        <v>2.125</v>
      </c>
      <c r="CC20">
        <v>0.86583333333333334</v>
      </c>
      <c r="CE20">
        <f>SUM(BY20:CD20)*BX20</f>
        <v>122.3725</v>
      </c>
      <c r="CI20" t="s">
        <v>79</v>
      </c>
      <c r="CJ20">
        <v>4</v>
      </c>
      <c r="CK20">
        <v>37.799999999999997</v>
      </c>
      <c r="CN20">
        <f>(3-30/20/12-9/12)</f>
        <v>2.125</v>
      </c>
      <c r="CO20">
        <v>0.86583333333333334</v>
      </c>
      <c r="CQ20">
        <f>SUM(CK20:CP20)*CJ20</f>
        <v>163.16333333333333</v>
      </c>
      <c r="CU20" t="s">
        <v>79</v>
      </c>
      <c r="CV20">
        <v>4</v>
      </c>
      <c r="CW20">
        <v>37.799999999999997</v>
      </c>
      <c r="CZ20">
        <f>(3-30/20/12-9/12)</f>
        <v>2.125</v>
      </c>
      <c r="DA20">
        <v>0.86583333333333334</v>
      </c>
      <c r="DC20">
        <f>SUM(CW20:DB20)*CV20</f>
        <v>163.16333333333333</v>
      </c>
      <c r="DG20" t="s">
        <v>84</v>
      </c>
      <c r="DH20">
        <v>5</v>
      </c>
      <c r="DI20">
        <v>25.2</v>
      </c>
      <c r="DL20">
        <f>(3-30/20/12-9/12)</f>
        <v>2.125</v>
      </c>
      <c r="DM20">
        <v>0.55833333333333335</v>
      </c>
      <c r="DO20">
        <f t="shared" si="85"/>
        <v>139.41666666666666</v>
      </c>
      <c r="DS20" t="s">
        <v>84</v>
      </c>
      <c r="DT20">
        <v>9</v>
      </c>
      <c r="DU20">
        <v>25.2</v>
      </c>
      <c r="DX20">
        <f t="shared" si="98"/>
        <v>2.125</v>
      </c>
      <c r="DY20">
        <v>0.86</v>
      </c>
      <c r="EA20">
        <f t="shared" si="86"/>
        <v>253.66499999999999</v>
      </c>
      <c r="EE20" t="s">
        <v>84</v>
      </c>
      <c r="EF20">
        <v>9</v>
      </c>
      <c r="EG20">
        <v>25.2</v>
      </c>
      <c r="EJ20">
        <f>(3-30/20/12-9/12)</f>
        <v>2.125</v>
      </c>
      <c r="EK20">
        <v>0.55833333333333335</v>
      </c>
      <c r="EM20">
        <f t="shared" si="87"/>
        <v>250.95</v>
      </c>
      <c r="EQ20" t="s">
        <v>84</v>
      </c>
      <c r="ER20">
        <v>8</v>
      </c>
      <c r="ES20">
        <v>25.2</v>
      </c>
      <c r="EV20">
        <f t="shared" si="99"/>
        <v>2.125</v>
      </c>
      <c r="EW20">
        <v>0.86</v>
      </c>
      <c r="EY20">
        <f t="shared" si="88"/>
        <v>225.48</v>
      </c>
      <c r="FC20" t="s">
        <v>79</v>
      </c>
      <c r="FD20">
        <v>3</v>
      </c>
      <c r="FE20">
        <v>42</v>
      </c>
      <c r="FH20">
        <f t="shared" si="89"/>
        <v>2.125</v>
      </c>
      <c r="FI20">
        <v>0.86499999999999999</v>
      </c>
      <c r="FK20">
        <f t="shared" si="76"/>
        <v>134.97</v>
      </c>
      <c r="FO20" t="s">
        <v>79</v>
      </c>
      <c r="FP20">
        <v>3</v>
      </c>
      <c r="FQ20">
        <v>42</v>
      </c>
      <c r="FT20">
        <f t="shared" si="90"/>
        <v>2.125</v>
      </c>
      <c r="FU20">
        <v>0.86499999999999999</v>
      </c>
      <c r="FW20">
        <f t="shared" si="77"/>
        <v>134.97</v>
      </c>
      <c r="GA20" t="s">
        <v>110</v>
      </c>
      <c r="GB20">
        <v>9</v>
      </c>
      <c r="GC20">
        <v>25.2</v>
      </c>
      <c r="GF20">
        <f t="shared" ref="GF20:GF27" si="103">(3-30/20/12-9/12)</f>
        <v>2.125</v>
      </c>
      <c r="GG20">
        <v>0.6</v>
      </c>
      <c r="GI20">
        <f t="shared" si="100"/>
        <v>251.32500000000002</v>
      </c>
      <c r="GM20" t="s">
        <v>79</v>
      </c>
      <c r="GN20">
        <v>3</v>
      </c>
      <c r="GO20">
        <v>42</v>
      </c>
      <c r="GR20">
        <f t="shared" si="91"/>
        <v>2.125</v>
      </c>
      <c r="GS20">
        <v>0.86499999999999999</v>
      </c>
      <c r="GU20">
        <f t="shared" si="78"/>
        <v>134.97</v>
      </c>
      <c r="GY20" t="s">
        <v>79</v>
      </c>
      <c r="GZ20">
        <v>3</v>
      </c>
      <c r="HA20">
        <v>42</v>
      </c>
      <c r="HD20">
        <f t="shared" si="92"/>
        <v>2.125</v>
      </c>
      <c r="HE20">
        <v>0.86499999999999999</v>
      </c>
      <c r="HG20">
        <f t="shared" si="79"/>
        <v>134.97</v>
      </c>
      <c r="HK20" t="s">
        <v>79</v>
      </c>
      <c r="HL20">
        <v>3</v>
      </c>
      <c r="HM20">
        <v>42</v>
      </c>
      <c r="HP20">
        <f t="shared" si="93"/>
        <v>2.125</v>
      </c>
      <c r="HQ20">
        <v>0.86499999999999999</v>
      </c>
      <c r="HS20">
        <f t="shared" si="80"/>
        <v>134.97</v>
      </c>
      <c r="HW20" t="s">
        <v>79</v>
      </c>
      <c r="HX20">
        <v>3</v>
      </c>
      <c r="HY20">
        <v>42</v>
      </c>
      <c r="IB20">
        <f t="shared" si="94"/>
        <v>2.125</v>
      </c>
      <c r="IC20">
        <v>0.86499999999999999</v>
      </c>
      <c r="IE20">
        <f t="shared" si="81"/>
        <v>134.97</v>
      </c>
      <c r="II20" t="s">
        <v>79</v>
      </c>
      <c r="IJ20">
        <v>3</v>
      </c>
      <c r="IK20">
        <v>42</v>
      </c>
      <c r="IN20">
        <f t="shared" si="95"/>
        <v>2.125</v>
      </c>
      <c r="IO20">
        <v>0.86499999999999999</v>
      </c>
      <c r="IQ20">
        <f t="shared" si="82"/>
        <v>134.97</v>
      </c>
      <c r="IU20" t="s">
        <v>79</v>
      </c>
      <c r="IV20">
        <v>5</v>
      </c>
      <c r="IW20">
        <v>42</v>
      </c>
      <c r="IZ20">
        <f t="shared" si="96"/>
        <v>2.125</v>
      </c>
      <c r="JA20">
        <v>0.86499999999999999</v>
      </c>
      <c r="JC20">
        <f t="shared" si="83"/>
        <v>224.95000000000002</v>
      </c>
    </row>
    <row r="21" spans="2:263">
      <c r="C21" t="s">
        <v>58</v>
      </c>
      <c r="D21">
        <v>15</v>
      </c>
      <c r="K21">
        <f>(SUM(D16:D19)-D21)*4+D20*2</f>
        <v>130</v>
      </c>
      <c r="O21" t="s">
        <v>58</v>
      </c>
      <c r="P21">
        <v>14</v>
      </c>
      <c r="W21">
        <f>(SUM(P16:P19)-P21)*4+P20*2</f>
        <v>116</v>
      </c>
      <c r="AA21" t="s">
        <v>58</v>
      </c>
      <c r="AB21">
        <v>10</v>
      </c>
      <c r="AI21">
        <f>(SUM(AB16:AB19)-AB21)*4+AB20*2</f>
        <v>98</v>
      </c>
      <c r="AL21" t="s">
        <v>12</v>
      </c>
      <c r="AU21">
        <f>SUM(AU2:AU20)</f>
        <v>8169.0543981481478</v>
      </c>
      <c r="AY21" t="s">
        <v>58</v>
      </c>
      <c r="AZ21">
        <v>11</v>
      </c>
      <c r="BG21">
        <f>(SUM(AZ16:AZ19)-AZ21)*4+AZ20*2</f>
        <v>100</v>
      </c>
      <c r="BK21" t="s">
        <v>58</v>
      </c>
      <c r="BL21">
        <v>9</v>
      </c>
      <c r="BS21">
        <f>(SUM(BL16:BL19)-BL21)*4+BL20*2</f>
        <v>98</v>
      </c>
      <c r="BW21" t="s">
        <v>52</v>
      </c>
      <c r="BX21">
        <v>12</v>
      </c>
      <c r="BY21">
        <v>4</v>
      </c>
      <c r="CE21">
        <f>SUM(BY21:CD21)*BX21</f>
        <v>48</v>
      </c>
      <c r="CI21" t="s">
        <v>52</v>
      </c>
      <c r="CJ21">
        <v>12</v>
      </c>
      <c r="CK21">
        <v>4</v>
      </c>
      <c r="CQ21">
        <f>SUM(CK21:CP21)*CJ21</f>
        <v>48</v>
      </c>
      <c r="CU21" t="s">
        <v>52</v>
      </c>
      <c r="CV21">
        <v>12</v>
      </c>
      <c r="CW21">
        <v>4</v>
      </c>
      <c r="DC21">
        <f>SUM(CW21:DB21)*CV21</f>
        <v>48</v>
      </c>
      <c r="DG21" t="s">
        <v>86</v>
      </c>
      <c r="DH21">
        <v>7</v>
      </c>
      <c r="DI21">
        <v>42</v>
      </c>
      <c r="DL21">
        <f>(3-30/20/12-9/12)</f>
        <v>2.125</v>
      </c>
      <c r="DM21">
        <v>0.86583333333333334</v>
      </c>
      <c r="DO21">
        <f t="shared" si="85"/>
        <v>314.93583333333333</v>
      </c>
      <c r="DS21" t="s">
        <v>103</v>
      </c>
      <c r="DT21">
        <v>6</v>
      </c>
      <c r="DU21">
        <v>42</v>
      </c>
      <c r="DX21">
        <f t="shared" si="98"/>
        <v>2.125</v>
      </c>
      <c r="DY21">
        <v>1.03</v>
      </c>
      <c r="EA21">
        <f t="shared" si="86"/>
        <v>270.93</v>
      </c>
      <c r="EE21" t="s">
        <v>79</v>
      </c>
      <c r="EF21">
        <v>6</v>
      </c>
      <c r="EG21">
        <v>42</v>
      </c>
      <c r="EJ21">
        <f>(3-30/20/12-9/12)</f>
        <v>2.125</v>
      </c>
      <c r="EK21">
        <v>0.86583333333333334</v>
      </c>
      <c r="EM21">
        <f t="shared" si="87"/>
        <v>269.94499999999999</v>
      </c>
      <c r="EQ21" t="s">
        <v>103</v>
      </c>
      <c r="ER21">
        <v>3</v>
      </c>
      <c r="ES21">
        <v>42</v>
      </c>
      <c r="EV21">
        <f t="shared" si="99"/>
        <v>2.125</v>
      </c>
      <c r="EW21">
        <v>1.03</v>
      </c>
      <c r="EY21">
        <f t="shared" si="88"/>
        <v>135.465</v>
      </c>
      <c r="FC21" t="s">
        <v>106</v>
      </c>
      <c r="FD21">
        <v>2</v>
      </c>
      <c r="FE21">
        <v>25.2</v>
      </c>
      <c r="FH21">
        <f t="shared" si="89"/>
        <v>2.125</v>
      </c>
      <c r="FI21">
        <v>0.65800000000000003</v>
      </c>
      <c r="FK21">
        <f t="shared" si="76"/>
        <v>55.966000000000001</v>
      </c>
      <c r="FO21" t="s">
        <v>106</v>
      </c>
      <c r="FP21">
        <v>2</v>
      </c>
      <c r="FQ21">
        <v>25.2</v>
      </c>
      <c r="FT21">
        <f t="shared" si="90"/>
        <v>2.125</v>
      </c>
      <c r="FU21">
        <v>0.65800000000000003</v>
      </c>
      <c r="FW21">
        <f t="shared" si="77"/>
        <v>55.966000000000001</v>
      </c>
      <c r="GA21" t="s">
        <v>84</v>
      </c>
      <c r="GB21">
        <v>5</v>
      </c>
      <c r="GC21">
        <v>25.2</v>
      </c>
      <c r="GF21">
        <f t="shared" si="103"/>
        <v>2.125</v>
      </c>
      <c r="GG21">
        <v>0.52</v>
      </c>
      <c r="GI21">
        <f t="shared" si="100"/>
        <v>139.22499999999999</v>
      </c>
      <c r="GM21" t="s">
        <v>106</v>
      </c>
      <c r="GN21">
        <v>1</v>
      </c>
      <c r="GO21">
        <v>25.2</v>
      </c>
      <c r="GR21">
        <f t="shared" si="91"/>
        <v>2.125</v>
      </c>
      <c r="GS21">
        <v>0.65800000000000003</v>
      </c>
      <c r="GU21">
        <f t="shared" si="78"/>
        <v>27.983000000000001</v>
      </c>
      <c r="GY21" t="s">
        <v>106</v>
      </c>
      <c r="GZ21">
        <v>1</v>
      </c>
      <c r="HA21">
        <v>25.2</v>
      </c>
      <c r="HD21">
        <f t="shared" si="92"/>
        <v>2.125</v>
      </c>
      <c r="HE21">
        <v>0.65800000000000003</v>
      </c>
      <c r="HG21">
        <f t="shared" si="79"/>
        <v>27.983000000000001</v>
      </c>
      <c r="HK21" t="s">
        <v>106</v>
      </c>
      <c r="HL21">
        <v>1</v>
      </c>
      <c r="HM21">
        <v>25.2</v>
      </c>
      <c r="HP21">
        <f t="shared" si="93"/>
        <v>2.125</v>
      </c>
      <c r="HQ21">
        <v>0.65800000000000003</v>
      </c>
      <c r="HS21">
        <f t="shared" si="80"/>
        <v>27.983000000000001</v>
      </c>
      <c r="HW21" t="s">
        <v>106</v>
      </c>
      <c r="HX21">
        <v>1</v>
      </c>
      <c r="HY21">
        <v>25.2</v>
      </c>
      <c r="IB21">
        <f t="shared" si="94"/>
        <v>2.125</v>
      </c>
      <c r="IC21">
        <v>0.65800000000000003</v>
      </c>
      <c r="IE21">
        <f t="shared" si="81"/>
        <v>27.983000000000001</v>
      </c>
      <c r="II21" t="s">
        <v>106</v>
      </c>
      <c r="IJ21">
        <v>1</v>
      </c>
      <c r="IK21">
        <v>25.2</v>
      </c>
      <c r="IN21">
        <f t="shared" si="95"/>
        <v>2.125</v>
      </c>
      <c r="IO21">
        <v>0.65800000000000003</v>
      </c>
      <c r="IQ21">
        <f t="shared" si="82"/>
        <v>27.983000000000001</v>
      </c>
      <c r="IU21" t="s">
        <v>106</v>
      </c>
      <c r="IV21">
        <v>1</v>
      </c>
      <c r="IW21">
        <v>25.2</v>
      </c>
      <c r="IZ21">
        <f t="shared" si="96"/>
        <v>2.125</v>
      </c>
      <c r="JA21">
        <v>0.65800000000000003</v>
      </c>
      <c r="JC21">
        <f t="shared" si="83"/>
        <v>27.983000000000001</v>
      </c>
    </row>
    <row r="22" spans="2:263">
      <c r="B22" t="s">
        <v>12</v>
      </c>
      <c r="K22">
        <f>SUM(K2:K21)</f>
        <v>8551.4610648148137</v>
      </c>
      <c r="N22" t="s">
        <v>12</v>
      </c>
      <c r="W22">
        <f>SUM(W2:W21)</f>
        <v>8220.1475000000009</v>
      </c>
      <c r="Z22" t="s">
        <v>12</v>
      </c>
      <c r="AI22">
        <f>SUM(AI2:AI21)</f>
        <v>7831.6089351851842</v>
      </c>
      <c r="AX22" t="s">
        <v>12</v>
      </c>
      <c r="BG22">
        <f>SUM(BG2:BG21)</f>
        <v>8081.6068981481476</v>
      </c>
      <c r="BJ22" t="s">
        <v>12</v>
      </c>
      <c r="BS22">
        <f>SUM(BS2:BS21)</f>
        <v>7888.671666666668</v>
      </c>
      <c r="BW22" t="s">
        <v>58</v>
      </c>
      <c r="BX22">
        <v>10</v>
      </c>
      <c r="CE22">
        <f>(SUM(BX17:BX20)-BX22)*4+BX21*2</f>
        <v>80</v>
      </c>
      <c r="CI22" t="s">
        <v>58</v>
      </c>
      <c r="CJ22">
        <v>10</v>
      </c>
      <c r="CQ22">
        <f>(SUM(CJ17:CJ20)-CJ22)*4+CJ21*2</f>
        <v>84</v>
      </c>
      <c r="CU22" t="s">
        <v>58</v>
      </c>
      <c r="CV22">
        <v>10</v>
      </c>
      <c r="DC22">
        <f>(SUM(CV17:CV20)-CV22)*4+CV21*2</f>
        <v>68</v>
      </c>
      <c r="DG22" t="s">
        <v>85</v>
      </c>
      <c r="DH22">
        <v>6</v>
      </c>
      <c r="DI22">
        <v>42</v>
      </c>
      <c r="DL22">
        <f>(3-30/20/12-9/12)</f>
        <v>2.125</v>
      </c>
      <c r="DM22">
        <v>0.86583333333333334</v>
      </c>
      <c r="DO22">
        <f t="shared" si="85"/>
        <v>269.94499999999999</v>
      </c>
      <c r="DS22" t="s">
        <v>106</v>
      </c>
      <c r="DT22">
        <v>1</v>
      </c>
      <c r="DU22">
        <v>25.2</v>
      </c>
      <c r="DX22">
        <f t="shared" si="98"/>
        <v>2.125</v>
      </c>
      <c r="DY22">
        <v>1.03</v>
      </c>
      <c r="EA22">
        <f t="shared" si="86"/>
        <v>28.355</v>
      </c>
      <c r="EE22" t="s">
        <v>106</v>
      </c>
      <c r="EF22">
        <v>1</v>
      </c>
      <c r="EG22">
        <v>25.2</v>
      </c>
      <c r="EJ22">
        <f t="shared" ref="EJ22" si="104">(3-30/20/12-9/12)</f>
        <v>2.125</v>
      </c>
      <c r="EK22">
        <v>1.03</v>
      </c>
      <c r="EM22">
        <f t="shared" ref="EM22" si="105">SUM(EG22:EL22)*EF22</f>
        <v>28.355</v>
      </c>
      <c r="EQ22" t="s">
        <v>106</v>
      </c>
      <c r="ER22">
        <v>2</v>
      </c>
      <c r="ES22">
        <v>25.2</v>
      </c>
      <c r="EV22">
        <f t="shared" si="99"/>
        <v>2.125</v>
      </c>
      <c r="EW22">
        <v>1.03</v>
      </c>
      <c r="EY22">
        <f t="shared" si="88"/>
        <v>56.71</v>
      </c>
      <c r="FC22" t="s">
        <v>104</v>
      </c>
      <c r="FD22">
        <v>4</v>
      </c>
      <c r="FE22">
        <v>42</v>
      </c>
      <c r="FH22">
        <f t="shared" si="89"/>
        <v>2.125</v>
      </c>
      <c r="FI22">
        <v>0.44669999999999999</v>
      </c>
      <c r="FK22">
        <f t="shared" si="76"/>
        <v>178.2868</v>
      </c>
      <c r="FO22" t="s">
        <v>104</v>
      </c>
      <c r="FP22">
        <v>4</v>
      </c>
      <c r="FQ22">
        <v>42</v>
      </c>
      <c r="FT22">
        <f t="shared" si="90"/>
        <v>2.125</v>
      </c>
      <c r="FU22">
        <v>0.44669999999999999</v>
      </c>
      <c r="FW22">
        <f t="shared" si="77"/>
        <v>178.2868</v>
      </c>
      <c r="GA22" t="s">
        <v>79</v>
      </c>
      <c r="GB22">
        <v>3</v>
      </c>
      <c r="GC22">
        <v>42</v>
      </c>
      <c r="GF22">
        <f t="shared" si="103"/>
        <v>2.125</v>
      </c>
      <c r="GG22">
        <v>0.86499999999999999</v>
      </c>
      <c r="GI22">
        <f t="shared" si="100"/>
        <v>134.97</v>
      </c>
      <c r="GM22" t="s">
        <v>104</v>
      </c>
      <c r="GN22">
        <v>4</v>
      </c>
      <c r="GO22">
        <v>42</v>
      </c>
      <c r="GR22">
        <f t="shared" si="91"/>
        <v>2.125</v>
      </c>
      <c r="GS22">
        <v>0.44669999999999999</v>
      </c>
      <c r="GU22">
        <f t="shared" si="78"/>
        <v>178.2868</v>
      </c>
      <c r="GY22" t="s">
        <v>104</v>
      </c>
      <c r="GZ22">
        <v>4</v>
      </c>
      <c r="HA22">
        <v>42</v>
      </c>
      <c r="HD22">
        <f t="shared" si="92"/>
        <v>2.125</v>
      </c>
      <c r="HE22">
        <v>0.44669999999999999</v>
      </c>
      <c r="HG22">
        <f t="shared" si="79"/>
        <v>178.2868</v>
      </c>
      <c r="HK22" t="s">
        <v>104</v>
      </c>
      <c r="HL22">
        <v>4</v>
      </c>
      <c r="HM22">
        <v>42</v>
      </c>
      <c r="HP22">
        <f t="shared" si="93"/>
        <v>2.125</v>
      </c>
      <c r="HQ22">
        <v>0.44669999999999999</v>
      </c>
      <c r="HS22">
        <f t="shared" si="80"/>
        <v>178.2868</v>
      </c>
      <c r="HW22" t="s">
        <v>104</v>
      </c>
      <c r="HX22">
        <v>4</v>
      </c>
      <c r="HY22">
        <v>42</v>
      </c>
      <c r="IB22">
        <f t="shared" si="94"/>
        <v>2.125</v>
      </c>
      <c r="IC22">
        <v>0.44669999999999999</v>
      </c>
      <c r="IE22">
        <f t="shared" si="81"/>
        <v>178.2868</v>
      </c>
      <c r="II22" t="s">
        <v>104</v>
      </c>
      <c r="IJ22">
        <v>4</v>
      </c>
      <c r="IK22">
        <v>42</v>
      </c>
      <c r="IN22">
        <f t="shared" si="95"/>
        <v>2.125</v>
      </c>
      <c r="IO22">
        <v>0.44669999999999999</v>
      </c>
      <c r="IQ22">
        <f t="shared" si="82"/>
        <v>178.2868</v>
      </c>
      <c r="IU22" t="s">
        <v>104</v>
      </c>
      <c r="IV22">
        <v>4</v>
      </c>
      <c r="IW22">
        <v>42</v>
      </c>
      <c r="IZ22">
        <f t="shared" si="96"/>
        <v>2.125</v>
      </c>
      <c r="JA22">
        <v>0.44669999999999999</v>
      </c>
      <c r="JC22">
        <f t="shared" si="83"/>
        <v>178.2868</v>
      </c>
    </row>
    <row r="23" spans="2:263">
      <c r="AL23" t="s">
        <v>13</v>
      </c>
      <c r="AM23" t="s">
        <v>15</v>
      </c>
      <c r="AN23" t="s">
        <v>16</v>
      </c>
      <c r="AO23" t="s">
        <v>17</v>
      </c>
      <c r="AP23" t="s">
        <v>12</v>
      </c>
      <c r="BV23" t="s">
        <v>12</v>
      </c>
      <c r="CE23">
        <f>SUM(CE2:CE22)</f>
        <v>7108.2646759259269</v>
      </c>
      <c r="CH23" t="s">
        <v>12</v>
      </c>
      <c r="CQ23">
        <f>SUM(CQ2:CQ22)</f>
        <v>7388.3080092592591</v>
      </c>
      <c r="CT23" t="s">
        <v>12</v>
      </c>
      <c r="DC23">
        <f>SUM(DC2:DC22)</f>
        <v>7356.0880092592597</v>
      </c>
      <c r="DG23" t="s">
        <v>87</v>
      </c>
      <c r="DH23">
        <v>0</v>
      </c>
      <c r="DI23">
        <v>42</v>
      </c>
      <c r="DL23">
        <f>(3-30/20/12-9/12)</f>
        <v>2.125</v>
      </c>
      <c r="DM23">
        <v>0.86583333333333334</v>
      </c>
      <c r="DO23">
        <f t="shared" si="85"/>
        <v>0</v>
      </c>
      <c r="DS23" t="s">
        <v>104</v>
      </c>
      <c r="DT23">
        <v>4</v>
      </c>
      <c r="DU23">
        <v>42</v>
      </c>
      <c r="DX23">
        <f t="shared" si="98"/>
        <v>2.125</v>
      </c>
      <c r="DY23">
        <v>0.71</v>
      </c>
      <c r="EA23">
        <f t="shared" si="86"/>
        <v>179.34</v>
      </c>
      <c r="EE23" t="s">
        <v>104</v>
      </c>
      <c r="EF23">
        <v>5</v>
      </c>
      <c r="EG23">
        <v>42</v>
      </c>
      <c r="EJ23">
        <f>(3-30/20/12-9/12)</f>
        <v>2.125</v>
      </c>
      <c r="EK23">
        <v>0.86583333333333334</v>
      </c>
      <c r="EM23">
        <f t="shared" si="87"/>
        <v>224.95416666666668</v>
      </c>
      <c r="EQ23" t="s">
        <v>104</v>
      </c>
      <c r="ER23">
        <v>6</v>
      </c>
      <c r="ES23">
        <v>42</v>
      </c>
      <c r="EV23">
        <f t="shared" si="99"/>
        <v>2.125</v>
      </c>
      <c r="EW23">
        <v>0.71</v>
      </c>
      <c r="EY23">
        <f t="shared" si="88"/>
        <v>269.01</v>
      </c>
      <c r="FC23" t="s">
        <v>105</v>
      </c>
      <c r="FD23">
        <v>1</v>
      </c>
      <c r="FE23">
        <v>25.2</v>
      </c>
      <c r="FH23">
        <f t="shared" si="89"/>
        <v>2.125</v>
      </c>
      <c r="FI23">
        <v>0.33300000000000002</v>
      </c>
      <c r="FK23">
        <f t="shared" si="76"/>
        <v>27.657999999999998</v>
      </c>
      <c r="FO23" t="s">
        <v>105</v>
      </c>
      <c r="FP23">
        <v>1</v>
      </c>
      <c r="FQ23">
        <v>25.2</v>
      </c>
      <c r="FT23">
        <f t="shared" si="90"/>
        <v>2.125</v>
      </c>
      <c r="FU23">
        <v>0.33300000000000002</v>
      </c>
      <c r="FW23">
        <f t="shared" si="77"/>
        <v>27.657999999999998</v>
      </c>
      <c r="GA23" t="s">
        <v>106</v>
      </c>
      <c r="GB23">
        <v>2</v>
      </c>
      <c r="GC23">
        <v>25.2</v>
      </c>
      <c r="GF23">
        <f t="shared" si="103"/>
        <v>2.125</v>
      </c>
      <c r="GG23">
        <v>0.65800000000000003</v>
      </c>
      <c r="GI23">
        <f t="shared" si="100"/>
        <v>55.966000000000001</v>
      </c>
      <c r="GM23" t="s">
        <v>105</v>
      </c>
      <c r="GN23">
        <v>1</v>
      </c>
      <c r="GO23">
        <v>25.2</v>
      </c>
      <c r="GR23">
        <f t="shared" si="91"/>
        <v>2.125</v>
      </c>
      <c r="GS23">
        <v>0.33300000000000002</v>
      </c>
      <c r="GU23">
        <f t="shared" si="78"/>
        <v>27.657999999999998</v>
      </c>
      <c r="GY23" t="s">
        <v>105</v>
      </c>
      <c r="GZ23">
        <v>1</v>
      </c>
      <c r="HA23">
        <v>25.2</v>
      </c>
      <c r="HD23">
        <f t="shared" si="92"/>
        <v>2.125</v>
      </c>
      <c r="HE23">
        <v>0.33300000000000002</v>
      </c>
      <c r="HG23">
        <f t="shared" si="79"/>
        <v>27.657999999999998</v>
      </c>
      <c r="HK23" t="s">
        <v>105</v>
      </c>
      <c r="HL23">
        <v>1</v>
      </c>
      <c r="HM23">
        <v>25.2</v>
      </c>
      <c r="HP23">
        <f t="shared" si="93"/>
        <v>2.125</v>
      </c>
      <c r="HQ23">
        <v>0.33300000000000002</v>
      </c>
      <c r="HS23">
        <f t="shared" si="80"/>
        <v>27.657999999999998</v>
      </c>
      <c r="HW23" t="s">
        <v>105</v>
      </c>
      <c r="HX23">
        <v>1</v>
      </c>
      <c r="HY23">
        <v>25.2</v>
      </c>
      <c r="IB23">
        <f t="shared" si="94"/>
        <v>2.125</v>
      </c>
      <c r="IC23">
        <v>0.33300000000000002</v>
      </c>
      <c r="IE23">
        <f t="shared" si="81"/>
        <v>27.657999999999998</v>
      </c>
      <c r="II23" t="s">
        <v>105</v>
      </c>
      <c r="IJ23">
        <v>1</v>
      </c>
      <c r="IK23">
        <v>25.2</v>
      </c>
      <c r="IN23">
        <f t="shared" si="95"/>
        <v>2.125</v>
      </c>
      <c r="IO23">
        <v>0.33300000000000002</v>
      </c>
      <c r="IQ23">
        <f t="shared" si="82"/>
        <v>27.657999999999998</v>
      </c>
      <c r="IU23" t="s">
        <v>105</v>
      </c>
      <c r="IV23">
        <v>1</v>
      </c>
      <c r="IW23">
        <v>25.2</v>
      </c>
      <c r="IZ23">
        <f t="shared" si="96"/>
        <v>2.125</v>
      </c>
      <c r="JA23">
        <v>0.33300000000000002</v>
      </c>
      <c r="JC23">
        <f t="shared" si="83"/>
        <v>27.657999999999998</v>
      </c>
    </row>
    <row r="24" spans="2:263">
      <c r="B24" t="s">
        <v>13</v>
      </c>
      <c r="C24" t="s">
        <v>15</v>
      </c>
      <c r="D24" t="s">
        <v>16</v>
      </c>
      <c r="E24" t="s">
        <v>17</v>
      </c>
      <c r="F24" t="s">
        <v>12</v>
      </c>
      <c r="N24" t="s">
        <v>13</v>
      </c>
      <c r="O24" t="s">
        <v>15</v>
      </c>
      <c r="P24" t="s">
        <v>16</v>
      </c>
      <c r="Q24" t="s">
        <v>17</v>
      </c>
      <c r="R24" t="s">
        <v>12</v>
      </c>
      <c r="Z24" t="s">
        <v>13</v>
      </c>
      <c r="AA24" t="s">
        <v>15</v>
      </c>
      <c r="AB24" t="s">
        <v>16</v>
      </c>
      <c r="AC24" t="s">
        <v>17</v>
      </c>
      <c r="AD24" t="s">
        <v>12</v>
      </c>
      <c r="AL24" t="s">
        <v>14</v>
      </c>
      <c r="AM24">
        <v>420</v>
      </c>
      <c r="AP24">
        <f>SUM(AM24:AO24)</f>
        <v>420</v>
      </c>
      <c r="AX24" t="s">
        <v>13</v>
      </c>
      <c r="AY24" t="s">
        <v>15</v>
      </c>
      <c r="AZ24" t="s">
        <v>16</v>
      </c>
      <c r="BA24" t="s">
        <v>17</v>
      </c>
      <c r="BB24" t="s">
        <v>12</v>
      </c>
      <c r="BJ24" t="s">
        <v>13</v>
      </c>
      <c r="BK24" t="s">
        <v>15</v>
      </c>
      <c r="BL24" t="s">
        <v>16</v>
      </c>
      <c r="BM24" t="s">
        <v>17</v>
      </c>
      <c r="BN24" t="s">
        <v>12</v>
      </c>
      <c r="DS24" t="s">
        <v>105</v>
      </c>
      <c r="DT24">
        <v>1</v>
      </c>
      <c r="DU24">
        <v>25.2</v>
      </c>
      <c r="DX24">
        <f t="shared" si="98"/>
        <v>2.125</v>
      </c>
      <c r="DY24">
        <v>0.71</v>
      </c>
      <c r="EA24">
        <f t="shared" si="86"/>
        <v>28.035</v>
      </c>
      <c r="EQ24" t="s">
        <v>105</v>
      </c>
      <c r="ER24">
        <v>0</v>
      </c>
      <c r="ES24">
        <v>25.2</v>
      </c>
      <c r="EV24">
        <f t="shared" si="99"/>
        <v>2.125</v>
      </c>
      <c r="EW24">
        <v>0.71</v>
      </c>
      <c r="EY24">
        <f t="shared" si="88"/>
        <v>0</v>
      </c>
      <c r="FC24" t="s">
        <v>58</v>
      </c>
      <c r="FD24">
        <v>10</v>
      </c>
      <c r="FK24">
        <f>(SUM(FD17:FD23)-FD24)*4</f>
        <v>88</v>
      </c>
      <c r="FO24" t="s">
        <v>58</v>
      </c>
      <c r="FP24">
        <v>10</v>
      </c>
      <c r="FW24">
        <f>(SUM(FP17:FP23)-FP24)*4</f>
        <v>88</v>
      </c>
      <c r="GA24" t="s">
        <v>104</v>
      </c>
      <c r="GB24">
        <v>4</v>
      </c>
      <c r="GC24">
        <v>42</v>
      </c>
      <c r="GF24">
        <f t="shared" si="103"/>
        <v>2.125</v>
      </c>
      <c r="GG24">
        <v>0.44669999999999999</v>
      </c>
      <c r="GI24">
        <f t="shared" si="100"/>
        <v>178.2868</v>
      </c>
      <c r="GM24" t="s">
        <v>58</v>
      </c>
      <c r="GN24">
        <v>10</v>
      </c>
      <c r="GU24">
        <f>(SUM(GN17:GN23)-GN24)*4</f>
        <v>84</v>
      </c>
      <c r="GY24" t="s">
        <v>119</v>
      </c>
      <c r="GZ24">
        <v>0</v>
      </c>
      <c r="HA24">
        <v>16.8</v>
      </c>
      <c r="HD24">
        <f t="shared" si="92"/>
        <v>2.125</v>
      </c>
      <c r="HG24">
        <f t="shared" si="79"/>
        <v>0</v>
      </c>
      <c r="HK24" t="s">
        <v>119</v>
      </c>
      <c r="HL24">
        <v>5</v>
      </c>
      <c r="HM24">
        <v>16.8</v>
      </c>
      <c r="HP24">
        <f t="shared" si="93"/>
        <v>2.125</v>
      </c>
      <c r="HS24">
        <f t="shared" si="80"/>
        <v>94.625</v>
      </c>
      <c r="HW24" t="s">
        <v>119</v>
      </c>
      <c r="HX24">
        <v>0</v>
      </c>
      <c r="HY24">
        <v>16.8</v>
      </c>
      <c r="IB24">
        <f t="shared" si="94"/>
        <v>2.125</v>
      </c>
      <c r="IE24">
        <f t="shared" si="81"/>
        <v>0</v>
      </c>
      <c r="II24" t="s">
        <v>119</v>
      </c>
      <c r="IJ24">
        <v>0</v>
      </c>
      <c r="IK24">
        <v>16.8</v>
      </c>
      <c r="IN24">
        <f t="shared" si="95"/>
        <v>2.125</v>
      </c>
      <c r="IQ24">
        <f t="shared" si="82"/>
        <v>0</v>
      </c>
      <c r="IU24" t="s">
        <v>180</v>
      </c>
      <c r="IV24">
        <v>5</v>
      </c>
      <c r="IW24">
        <v>42</v>
      </c>
      <c r="IZ24">
        <f t="shared" si="96"/>
        <v>2.125</v>
      </c>
      <c r="JA24">
        <v>0.44669999999999999</v>
      </c>
      <c r="JC24">
        <f t="shared" si="83"/>
        <v>222.85849999999999</v>
      </c>
    </row>
    <row r="25" spans="2:263">
      <c r="B25" t="s">
        <v>14</v>
      </c>
      <c r="C25">
        <v>400</v>
      </c>
      <c r="D25">
        <v>20</v>
      </c>
      <c r="E25">
        <f>C25*0.1</f>
        <v>40</v>
      </c>
      <c r="F25">
        <f t="shared" ref="F25:F33" si="106">SUM(C25:E25)</f>
        <v>460</v>
      </c>
      <c r="N25" t="s">
        <v>14</v>
      </c>
      <c r="O25">
        <v>400</v>
      </c>
      <c r="P25">
        <v>20</v>
      </c>
      <c r="Q25">
        <f t="shared" ref="Q25:Q27" si="107">O25*0.1</f>
        <v>40</v>
      </c>
      <c r="R25">
        <f>SUM(O25:Q25)</f>
        <v>460</v>
      </c>
      <c r="Z25" t="s">
        <v>14</v>
      </c>
      <c r="AA25">
        <v>420</v>
      </c>
      <c r="AD25">
        <f>SUM(AA25:AC25)</f>
        <v>420</v>
      </c>
      <c r="AL25" t="s">
        <v>41</v>
      </c>
      <c r="AM25">
        <v>260</v>
      </c>
      <c r="AN25">
        <v>75</v>
      </c>
      <c r="AO25">
        <f t="shared" ref="AO25:AO26" si="108">AM25*0.1</f>
        <v>26</v>
      </c>
      <c r="AP25">
        <f t="shared" ref="AP25:AP27" si="109">SUM(AM25:AO25)</f>
        <v>361</v>
      </c>
      <c r="AX25" t="s">
        <v>14</v>
      </c>
      <c r="AY25">
        <v>420</v>
      </c>
      <c r="BB25">
        <f>SUM(AY25:BA25)</f>
        <v>420</v>
      </c>
      <c r="BJ25" t="s">
        <v>14</v>
      </c>
      <c r="BK25">
        <v>420</v>
      </c>
      <c r="BN25">
        <f>SUM(BK25:BM25)</f>
        <v>420</v>
      </c>
      <c r="BV25" t="s">
        <v>13</v>
      </c>
      <c r="BW25" t="s">
        <v>15</v>
      </c>
      <c r="BX25" t="s">
        <v>16</v>
      </c>
      <c r="BY25" t="s">
        <v>17</v>
      </c>
      <c r="BZ25" t="s">
        <v>12</v>
      </c>
      <c r="CH25" t="s">
        <v>13</v>
      </c>
      <c r="CI25" t="s">
        <v>15</v>
      </c>
      <c r="CJ25" t="s">
        <v>16</v>
      </c>
      <c r="CK25" t="s">
        <v>17</v>
      </c>
      <c r="CL25" t="s">
        <v>12</v>
      </c>
      <c r="CT25" t="s">
        <v>13</v>
      </c>
      <c r="CU25" t="s">
        <v>15</v>
      </c>
      <c r="CV25" t="s">
        <v>16</v>
      </c>
      <c r="CW25" t="s">
        <v>17</v>
      </c>
      <c r="CX25" t="s">
        <v>12</v>
      </c>
      <c r="DG25" t="s">
        <v>52</v>
      </c>
      <c r="DI25">
        <v>4</v>
      </c>
      <c r="DO25">
        <f>SUM(DI25:DN25)*DH25</f>
        <v>0</v>
      </c>
      <c r="DS25" t="s">
        <v>58</v>
      </c>
      <c r="DT25">
        <v>10</v>
      </c>
      <c r="EA25">
        <f>(SUM(DT18:DT24)-DT25)*4</f>
        <v>128</v>
      </c>
      <c r="EE25" t="s">
        <v>58</v>
      </c>
      <c r="EF25">
        <v>10</v>
      </c>
      <c r="EM25">
        <f>(SUM(EF18:EF23)-EF25)*4</f>
        <v>128</v>
      </c>
      <c r="EQ25" t="s">
        <v>58</v>
      </c>
      <c r="ER25">
        <v>10</v>
      </c>
      <c r="EY25">
        <f>(SUM(ER18:ER24)-ER25)*4</f>
        <v>108</v>
      </c>
      <c r="FB25" t="s">
        <v>12</v>
      </c>
      <c r="FK25">
        <f>SUM(FK2:FK24)</f>
        <v>7917.1002925925932</v>
      </c>
      <c r="FN25" t="s">
        <v>12</v>
      </c>
      <c r="FW25">
        <f>SUM(FW2:FW24)</f>
        <v>7646.6761518518533</v>
      </c>
      <c r="GA25" t="s">
        <v>105</v>
      </c>
      <c r="GB25">
        <v>1</v>
      </c>
      <c r="GC25">
        <v>25.2</v>
      </c>
      <c r="GF25">
        <f t="shared" si="103"/>
        <v>2.125</v>
      </c>
      <c r="GG25">
        <v>0.33300000000000002</v>
      </c>
      <c r="GI25">
        <f t="shared" si="100"/>
        <v>27.657999999999998</v>
      </c>
      <c r="GL25" t="s">
        <v>12</v>
      </c>
      <c r="GU25">
        <f>SUM(GU2:GU24)</f>
        <v>7613.1634222222228</v>
      </c>
      <c r="GY25" t="s">
        <v>120</v>
      </c>
      <c r="GZ25">
        <v>0</v>
      </c>
      <c r="HA25">
        <v>16.8</v>
      </c>
      <c r="HD25">
        <f t="shared" si="92"/>
        <v>2.125</v>
      </c>
      <c r="HG25">
        <f t="shared" si="79"/>
        <v>0</v>
      </c>
      <c r="HK25" t="s">
        <v>120</v>
      </c>
      <c r="HL25">
        <v>0</v>
      </c>
      <c r="HM25">
        <v>16.8</v>
      </c>
      <c r="HP25">
        <f t="shared" si="93"/>
        <v>2.125</v>
      </c>
      <c r="HS25">
        <f t="shared" si="80"/>
        <v>0</v>
      </c>
      <c r="HW25" t="s">
        <v>120</v>
      </c>
      <c r="HX25">
        <v>0</v>
      </c>
      <c r="HY25">
        <v>16.8</v>
      </c>
      <c r="IB25">
        <f t="shared" si="94"/>
        <v>2.125</v>
      </c>
      <c r="IE25">
        <f t="shared" si="81"/>
        <v>0</v>
      </c>
      <c r="II25" t="s">
        <v>120</v>
      </c>
      <c r="IJ25">
        <v>0</v>
      </c>
      <c r="IK25">
        <v>16.8</v>
      </c>
      <c r="IN25">
        <f t="shared" si="95"/>
        <v>2.125</v>
      </c>
      <c r="IQ25">
        <f t="shared" si="82"/>
        <v>0</v>
      </c>
      <c r="IU25" t="s">
        <v>120</v>
      </c>
      <c r="IV25">
        <v>0</v>
      </c>
      <c r="IW25">
        <v>16.8</v>
      </c>
      <c r="IZ25">
        <f t="shared" si="96"/>
        <v>2.125</v>
      </c>
      <c r="JC25">
        <f t="shared" si="83"/>
        <v>0</v>
      </c>
    </row>
    <row r="26" spans="2:263">
      <c r="B26" t="s">
        <v>41</v>
      </c>
      <c r="C26">
        <v>260</v>
      </c>
      <c r="D26">
        <v>75</v>
      </c>
      <c r="E26">
        <f>C26*0.1</f>
        <v>26</v>
      </c>
      <c r="F26">
        <f t="shared" si="106"/>
        <v>361</v>
      </c>
      <c r="N26" t="s">
        <v>41</v>
      </c>
      <c r="O26">
        <v>260</v>
      </c>
      <c r="P26">
        <v>75</v>
      </c>
      <c r="Q26">
        <f t="shared" si="107"/>
        <v>26</v>
      </c>
      <c r="R26">
        <f t="shared" ref="R26:R27" si="110">SUM(O26:Q26)</f>
        <v>361</v>
      </c>
      <c r="Z26" t="s">
        <v>41</v>
      </c>
      <c r="AA26">
        <v>260</v>
      </c>
      <c r="AB26">
        <v>75</v>
      </c>
      <c r="AC26">
        <f t="shared" ref="AC26:AC27" si="111">AA26*0.1</f>
        <v>26</v>
      </c>
      <c r="AD26">
        <f t="shared" ref="AD26:AD28" si="112">SUM(AA26:AC26)</f>
        <v>361</v>
      </c>
      <c r="AL26" t="s">
        <v>42</v>
      </c>
      <c r="AM26">
        <v>240</v>
      </c>
      <c r="AN26">
        <v>75</v>
      </c>
      <c r="AO26">
        <f t="shared" si="108"/>
        <v>24</v>
      </c>
      <c r="AP26">
        <f t="shared" si="109"/>
        <v>339</v>
      </c>
      <c r="AX26" t="s">
        <v>41</v>
      </c>
      <c r="AY26">
        <v>260</v>
      </c>
      <c r="AZ26">
        <v>75</v>
      </c>
      <c r="BA26">
        <f t="shared" ref="BA26:BA27" si="113">AY26*0.1</f>
        <v>26</v>
      </c>
      <c r="BB26">
        <f t="shared" ref="BB26:BB28" si="114">SUM(AY26:BA26)</f>
        <v>361</v>
      </c>
      <c r="BJ26" t="s">
        <v>41</v>
      </c>
      <c r="BK26">
        <v>260</v>
      </c>
      <c r="BL26">
        <f>75+20</f>
        <v>95</v>
      </c>
      <c r="BM26">
        <f t="shared" ref="BM26:BM27" si="115">BK26*0.1</f>
        <v>26</v>
      </c>
      <c r="BN26">
        <f t="shared" ref="BN26:BN28" si="116">SUM(BK26:BM26)</f>
        <v>381</v>
      </c>
      <c r="BV26" t="s">
        <v>45</v>
      </c>
      <c r="BW26">
        <v>340</v>
      </c>
      <c r="BX26">
        <v>20</v>
      </c>
      <c r="BY26">
        <f>BW26*0.1</f>
        <v>34</v>
      </c>
      <c r="BZ26">
        <f>SUM(BW26:BY26)</f>
        <v>394</v>
      </c>
      <c r="CH26" t="s">
        <v>45</v>
      </c>
      <c r="CI26">
        <v>340</v>
      </c>
      <c r="CJ26">
        <v>20</v>
      </c>
      <c r="CK26">
        <f>CI26*0.1</f>
        <v>34</v>
      </c>
      <c r="CL26">
        <f>SUM(CI26:CK26)</f>
        <v>394</v>
      </c>
      <c r="CT26" t="s">
        <v>45</v>
      </c>
      <c r="CU26">
        <v>340</v>
      </c>
      <c r="CV26">
        <v>20</v>
      </c>
      <c r="CW26">
        <f>CU26*0.1</f>
        <v>34</v>
      </c>
      <c r="CX26">
        <f>SUM(CU26:CW26)</f>
        <v>394</v>
      </c>
      <c r="DG26" t="s">
        <v>58</v>
      </c>
      <c r="DH26">
        <v>10</v>
      </c>
      <c r="DO26">
        <f>(SUM(DH18:DH21)-DH26)*4+DH25*2</f>
        <v>88</v>
      </c>
      <c r="DR26" t="s">
        <v>12</v>
      </c>
      <c r="EA26">
        <f>SUM(EA2:EA25)</f>
        <v>8989.2747962962967</v>
      </c>
      <c r="ED26" t="s">
        <v>12</v>
      </c>
      <c r="EM26">
        <f>SUM(EM2:EM25)</f>
        <v>9341.3356018518516</v>
      </c>
      <c r="EP26" t="s">
        <v>12</v>
      </c>
      <c r="EY26">
        <f>SUM(EY2:EY25)</f>
        <v>8503.8312407407411</v>
      </c>
      <c r="GA26" t="s">
        <v>119</v>
      </c>
      <c r="GB26">
        <v>5</v>
      </c>
      <c r="GC26">
        <v>16.8</v>
      </c>
      <c r="GF26">
        <f t="shared" si="103"/>
        <v>2.125</v>
      </c>
      <c r="GI26">
        <f t="shared" ref="GI26" si="117">SUM(GC26:GH26)*GB26</f>
        <v>94.625</v>
      </c>
      <c r="GY26" t="s">
        <v>58</v>
      </c>
      <c r="GZ26">
        <v>10</v>
      </c>
      <c r="HG26">
        <f>(SUM(GZ17:GZ23)-GZ26)*4</f>
        <v>84</v>
      </c>
      <c r="HK26" t="s">
        <v>58</v>
      </c>
      <c r="HL26">
        <v>10</v>
      </c>
      <c r="HS26">
        <f>(SUM(HL17:HL23)-HL26)*4</f>
        <v>64</v>
      </c>
      <c r="HW26" t="s">
        <v>58</v>
      </c>
      <c r="HX26">
        <v>10</v>
      </c>
      <c r="IE26">
        <f>(SUM(HX17:HX23)-HX26)*4</f>
        <v>84</v>
      </c>
      <c r="II26" t="s">
        <v>58</v>
      </c>
      <c r="IJ26">
        <v>10</v>
      </c>
      <c r="IQ26">
        <f>(SUM(IJ17:IJ23)-IJ26)*4</f>
        <v>84</v>
      </c>
      <c r="IU26" t="s">
        <v>58</v>
      </c>
      <c r="IV26">
        <v>10</v>
      </c>
      <c r="JC26">
        <f>(SUM(IV17:IV23)-IV26)*4</f>
        <v>92</v>
      </c>
    </row>
    <row r="27" spans="2:263">
      <c r="B27" t="s">
        <v>42</v>
      </c>
      <c r="C27">
        <v>240</v>
      </c>
      <c r="D27">
        <v>75</v>
      </c>
      <c r="E27">
        <f>C27*0.1</f>
        <v>24</v>
      </c>
      <c r="F27">
        <f t="shared" si="106"/>
        <v>339</v>
      </c>
      <c r="N27" t="s">
        <v>42</v>
      </c>
      <c r="O27">
        <v>240</v>
      </c>
      <c r="P27">
        <v>75</v>
      </c>
      <c r="Q27">
        <f t="shared" si="107"/>
        <v>24</v>
      </c>
      <c r="R27">
        <f t="shared" si="110"/>
        <v>339</v>
      </c>
      <c r="Z27" t="s">
        <v>42</v>
      </c>
      <c r="AA27">
        <v>240</v>
      </c>
      <c r="AB27">
        <v>75</v>
      </c>
      <c r="AC27">
        <f t="shared" si="111"/>
        <v>24</v>
      </c>
      <c r="AD27">
        <f t="shared" si="112"/>
        <v>339</v>
      </c>
      <c r="AL27" t="s">
        <v>68</v>
      </c>
      <c r="AM27">
        <v>210</v>
      </c>
      <c r="AN27">
        <v>75</v>
      </c>
      <c r="AO27">
        <f>AM27*0.05</f>
        <v>10.5</v>
      </c>
      <c r="AP27">
        <f t="shared" si="109"/>
        <v>295.5</v>
      </c>
      <c r="AX27" t="s">
        <v>42</v>
      </c>
      <c r="AY27">
        <v>240</v>
      </c>
      <c r="AZ27">
        <v>75</v>
      </c>
      <c r="BA27">
        <f t="shared" si="113"/>
        <v>24</v>
      </c>
      <c r="BB27">
        <f t="shared" si="114"/>
        <v>339</v>
      </c>
      <c r="BJ27" t="s">
        <v>42</v>
      </c>
      <c r="BK27">
        <v>240</v>
      </c>
      <c r="BL27">
        <v>75</v>
      </c>
      <c r="BM27">
        <f t="shared" si="115"/>
        <v>24</v>
      </c>
      <c r="BN27">
        <f t="shared" si="116"/>
        <v>339</v>
      </c>
      <c r="BV27" t="s">
        <v>41</v>
      </c>
      <c r="BW27">
        <v>260</v>
      </c>
      <c r="BX27">
        <f>75+20</f>
        <v>95</v>
      </c>
      <c r="BY27">
        <f t="shared" ref="BY27:BY28" si="118">BW27*0.1</f>
        <v>26</v>
      </c>
      <c r="BZ27">
        <f t="shared" ref="BZ27:BZ29" si="119">SUM(BW27:BY27)</f>
        <v>381</v>
      </c>
      <c r="CH27" t="s">
        <v>41</v>
      </c>
      <c r="CI27">
        <v>260</v>
      </c>
      <c r="CJ27">
        <f>75+20</f>
        <v>95</v>
      </c>
      <c r="CK27">
        <f t="shared" ref="CK27:CK28" si="120">CI27*0.1</f>
        <v>26</v>
      </c>
      <c r="CL27">
        <f t="shared" ref="CL27:CL29" si="121">SUM(CI27:CK27)</f>
        <v>381</v>
      </c>
      <c r="CT27" t="s">
        <v>41</v>
      </c>
      <c r="CU27">
        <v>260</v>
      </c>
      <c r="CV27">
        <v>75</v>
      </c>
      <c r="CW27">
        <f t="shared" ref="CW27:CW28" si="122">CU27*0.1</f>
        <v>26</v>
      </c>
      <c r="CX27">
        <f t="shared" ref="CX27:CX29" si="123">SUM(CU27:CW27)</f>
        <v>361</v>
      </c>
      <c r="DF27" t="s">
        <v>12</v>
      </c>
      <c r="DO27">
        <f>SUM(DO2:DO26)</f>
        <v>8335.1787500000009</v>
      </c>
      <c r="FB27" t="s">
        <v>13</v>
      </c>
      <c r="FC27" t="s">
        <v>15</v>
      </c>
      <c r="FD27" t="s">
        <v>16</v>
      </c>
      <c r="FE27" t="s">
        <v>17</v>
      </c>
      <c r="FF27" t="s">
        <v>12</v>
      </c>
      <c r="FN27" t="s">
        <v>13</v>
      </c>
      <c r="FO27" t="s">
        <v>15</v>
      </c>
      <c r="FP27" t="s">
        <v>16</v>
      </c>
      <c r="FQ27" t="s">
        <v>17</v>
      </c>
      <c r="FR27" t="s">
        <v>12</v>
      </c>
      <c r="GA27" t="s">
        <v>120</v>
      </c>
      <c r="GB27">
        <v>5</v>
      </c>
      <c r="GC27">
        <v>16.8</v>
      </c>
      <c r="GF27">
        <f t="shared" si="103"/>
        <v>2.125</v>
      </c>
      <c r="GI27">
        <f t="shared" ref="GI27" si="124">SUM(GC27:GH27)*GB27</f>
        <v>94.625</v>
      </c>
      <c r="GL27" t="s">
        <v>13</v>
      </c>
      <c r="GM27" t="s">
        <v>15</v>
      </c>
      <c r="GN27" t="s">
        <v>16</v>
      </c>
      <c r="GO27" t="s">
        <v>17</v>
      </c>
      <c r="GP27" t="s">
        <v>12</v>
      </c>
      <c r="GX27" t="s">
        <v>12</v>
      </c>
      <c r="HG27">
        <f>SUM(HG2:HG26)</f>
        <v>7302.7392814814821</v>
      </c>
      <c r="HJ27" t="s">
        <v>12</v>
      </c>
      <c r="HS27">
        <f>SUM(HS2:HS26)</f>
        <v>6961.0575407407405</v>
      </c>
      <c r="HV27" t="s">
        <v>12</v>
      </c>
      <c r="IE27">
        <f>SUM(IE2:IE26)</f>
        <v>7676.4636037037044</v>
      </c>
      <c r="IH27" t="s">
        <v>12</v>
      </c>
      <c r="IQ27">
        <f>SUM(IQ2:IQ26)</f>
        <v>7559.5456037037047</v>
      </c>
      <c r="IT27" t="s">
        <v>12</v>
      </c>
      <c r="JC27">
        <f>SUM(JC2:JC26)</f>
        <v>10099.640037037037</v>
      </c>
    </row>
    <row r="28" spans="2:263">
      <c r="B28" t="s">
        <v>49</v>
      </c>
      <c r="C28">
        <v>250</v>
      </c>
      <c r="D28">
        <v>75</v>
      </c>
      <c r="E28">
        <f>C28*0.05</f>
        <v>12.5</v>
      </c>
      <c r="F28">
        <f t="shared" si="106"/>
        <v>337.5</v>
      </c>
      <c r="N28" t="s">
        <v>67</v>
      </c>
      <c r="O28">
        <v>230</v>
      </c>
      <c r="P28">
        <v>75</v>
      </c>
      <c r="Q28">
        <f>O28*0.05</f>
        <v>11.5</v>
      </c>
      <c r="R28">
        <f t="shared" ref="R28" si="125">SUM(O28:Q28)</f>
        <v>316.5</v>
      </c>
      <c r="Z28" t="s">
        <v>68</v>
      </c>
      <c r="AA28">
        <v>210</v>
      </c>
      <c r="AB28">
        <v>75</v>
      </c>
      <c r="AC28">
        <f>AA28*0.05</f>
        <v>10.5</v>
      </c>
      <c r="AD28">
        <f t="shared" si="112"/>
        <v>295.5</v>
      </c>
      <c r="AL28" t="s">
        <v>43</v>
      </c>
      <c r="AM28">
        <v>260</v>
      </c>
      <c r="AN28">
        <v>80</v>
      </c>
      <c r="AO28">
        <f t="shared" ref="AO28:AO29" si="126">AM28*0.1</f>
        <v>26</v>
      </c>
      <c r="AP28">
        <f>SUM(AM28:AO28)</f>
        <v>366</v>
      </c>
      <c r="AX28" t="s">
        <v>68</v>
      </c>
      <c r="AY28">
        <v>210</v>
      </c>
      <c r="AZ28">
        <v>75</v>
      </c>
      <c r="BA28">
        <f>AY28*0.05</f>
        <v>10.5</v>
      </c>
      <c r="BB28">
        <f t="shared" si="114"/>
        <v>295.5</v>
      </c>
      <c r="BJ28" t="s">
        <v>68</v>
      </c>
      <c r="BK28">
        <v>210</v>
      </c>
      <c r="BL28">
        <v>75</v>
      </c>
      <c r="BM28">
        <f>BK28*0.05</f>
        <v>10.5</v>
      </c>
      <c r="BN28">
        <f t="shared" si="116"/>
        <v>295.5</v>
      </c>
      <c r="BV28" t="s">
        <v>42</v>
      </c>
      <c r="BW28">
        <v>240</v>
      </c>
      <c r="BX28">
        <v>75</v>
      </c>
      <c r="BY28">
        <f t="shared" si="118"/>
        <v>24</v>
      </c>
      <c r="BZ28">
        <f t="shared" si="119"/>
        <v>339</v>
      </c>
      <c r="CH28" t="s">
        <v>42</v>
      </c>
      <c r="CI28">
        <v>240</v>
      </c>
      <c r="CJ28">
        <v>75</v>
      </c>
      <c r="CK28">
        <f t="shared" si="120"/>
        <v>24</v>
      </c>
      <c r="CL28">
        <f t="shared" si="121"/>
        <v>339</v>
      </c>
      <c r="CT28" t="s">
        <v>42</v>
      </c>
      <c r="CU28">
        <v>240</v>
      </c>
      <c r="CV28">
        <v>75</v>
      </c>
      <c r="CW28">
        <f t="shared" si="122"/>
        <v>24</v>
      </c>
      <c r="CX28">
        <f t="shared" si="123"/>
        <v>339</v>
      </c>
      <c r="DR28" t="s">
        <v>13</v>
      </c>
      <c r="DS28" t="s">
        <v>15</v>
      </c>
      <c r="DT28" t="s">
        <v>16</v>
      </c>
      <c r="DU28" t="s">
        <v>17</v>
      </c>
      <c r="DV28" t="s">
        <v>12</v>
      </c>
      <c r="ED28" t="s">
        <v>13</v>
      </c>
      <c r="EE28" t="s">
        <v>15</v>
      </c>
      <c r="EF28" t="s">
        <v>16</v>
      </c>
      <c r="EG28" t="s">
        <v>17</v>
      </c>
      <c r="EH28" t="s">
        <v>12</v>
      </c>
      <c r="EP28" t="s">
        <v>13</v>
      </c>
      <c r="EQ28" t="s">
        <v>15</v>
      </c>
      <c r="ER28" t="s">
        <v>16</v>
      </c>
      <c r="ES28" t="s">
        <v>17</v>
      </c>
      <c r="ET28" t="s">
        <v>12</v>
      </c>
      <c r="FB28" t="s">
        <v>45</v>
      </c>
      <c r="FC28">
        <v>340</v>
      </c>
      <c r="FD28">
        <v>20</v>
      </c>
      <c r="FE28">
        <f>FC28*0.1</f>
        <v>34</v>
      </c>
      <c r="FF28">
        <f>SUM(FC28:FE28)</f>
        <v>394</v>
      </c>
      <c r="FN28" t="s">
        <v>45</v>
      </c>
      <c r="FO28">
        <v>340</v>
      </c>
      <c r="FP28">
        <v>20</v>
      </c>
      <c r="FQ28">
        <f>FO28*0.1</f>
        <v>34</v>
      </c>
      <c r="FR28">
        <f>SUM(FO28:FQ28)</f>
        <v>394</v>
      </c>
      <c r="GA28" t="s">
        <v>58</v>
      </c>
      <c r="GB28">
        <v>10</v>
      </c>
      <c r="GI28">
        <f>(SUM(GB19:GB25)-GB28)*4</f>
        <v>88</v>
      </c>
      <c r="GL28" t="s">
        <v>45</v>
      </c>
      <c r="GM28">
        <v>340</v>
      </c>
      <c r="GN28">
        <v>20</v>
      </c>
      <c r="GO28">
        <f>GM28*0.1</f>
        <v>34</v>
      </c>
      <c r="GP28">
        <f>SUM(GM28:GO28)</f>
        <v>394</v>
      </c>
    </row>
    <row r="29" spans="2:263">
      <c r="B29" t="s">
        <v>43</v>
      </c>
      <c r="C29">
        <v>260</v>
      </c>
      <c r="D29">
        <v>75</v>
      </c>
      <c r="E29">
        <f t="shared" ref="E29:E36" si="127">C29*0.1</f>
        <v>26</v>
      </c>
      <c r="F29">
        <f t="shared" si="106"/>
        <v>361</v>
      </c>
      <c r="N29" t="s">
        <v>43</v>
      </c>
      <c r="O29">
        <v>260</v>
      </c>
      <c r="P29">
        <v>80</v>
      </c>
      <c r="Q29">
        <f t="shared" ref="Q29:Q30" si="128">O29*0.1</f>
        <v>26</v>
      </c>
      <c r="R29">
        <f>SUM(O29:Q29)</f>
        <v>366</v>
      </c>
      <c r="Z29" t="s">
        <v>43</v>
      </c>
      <c r="AA29">
        <v>260</v>
      </c>
      <c r="AB29">
        <v>80</v>
      </c>
      <c r="AC29">
        <f t="shared" ref="AC29:AC30" si="129">AA29*0.1</f>
        <v>26</v>
      </c>
      <c r="AD29">
        <f>SUM(AA29:AC29)</f>
        <v>366</v>
      </c>
      <c r="AL29" t="s">
        <v>44</v>
      </c>
      <c r="AM29">
        <v>260</v>
      </c>
      <c r="AN29">
        <v>75</v>
      </c>
      <c r="AO29">
        <f t="shared" si="126"/>
        <v>26</v>
      </c>
      <c r="AP29">
        <f t="shared" ref="AP29" si="130">SUM(AM29:AO29)</f>
        <v>361</v>
      </c>
      <c r="AX29" t="s">
        <v>43</v>
      </c>
      <c r="AY29">
        <v>260</v>
      </c>
      <c r="AZ29">
        <v>80</v>
      </c>
      <c r="BA29">
        <f t="shared" ref="BA29:BA30" si="131">AY29*0.1</f>
        <v>26</v>
      </c>
      <c r="BB29">
        <f>SUM(AY29:BA29)</f>
        <v>366</v>
      </c>
      <c r="BJ29" t="s">
        <v>43</v>
      </c>
      <c r="BK29">
        <v>260</v>
      </c>
      <c r="BL29">
        <v>75</v>
      </c>
      <c r="BM29">
        <f t="shared" ref="BM29:BM30" si="132">BK29*0.1</f>
        <v>26</v>
      </c>
      <c r="BN29">
        <f>SUM(BK29:BM29)</f>
        <v>361</v>
      </c>
      <c r="BV29" t="s">
        <v>68</v>
      </c>
      <c r="BW29">
        <v>210</v>
      </c>
      <c r="BX29">
        <v>75</v>
      </c>
      <c r="BY29">
        <f>BW29*0.05</f>
        <v>10.5</v>
      </c>
      <c r="BZ29">
        <f t="shared" si="119"/>
        <v>295.5</v>
      </c>
      <c r="CH29" t="s">
        <v>68</v>
      </c>
      <c r="CI29">
        <v>210</v>
      </c>
      <c r="CJ29">
        <v>75</v>
      </c>
      <c r="CK29">
        <f>CI29*0.05</f>
        <v>10.5</v>
      </c>
      <c r="CL29">
        <f t="shared" si="121"/>
        <v>295.5</v>
      </c>
      <c r="CT29" t="s">
        <v>68</v>
      </c>
      <c r="CU29">
        <v>210</v>
      </c>
      <c r="CV29">
        <v>75</v>
      </c>
      <c r="CW29">
        <f>CU29*0.05</f>
        <v>10.5</v>
      </c>
      <c r="CX29">
        <f t="shared" si="123"/>
        <v>295.5</v>
      </c>
      <c r="DF29" t="s">
        <v>13</v>
      </c>
      <c r="DG29" t="s">
        <v>15</v>
      </c>
      <c r="DH29" t="s">
        <v>16</v>
      </c>
      <c r="DI29" t="s">
        <v>17</v>
      </c>
      <c r="DJ29" t="s">
        <v>12</v>
      </c>
      <c r="DR29" t="s">
        <v>45</v>
      </c>
      <c r="DS29">
        <v>340</v>
      </c>
      <c r="DT29">
        <v>20</v>
      </c>
      <c r="DU29">
        <f>DS29*0.1</f>
        <v>34</v>
      </c>
      <c r="DV29">
        <f>SUM(DS29:DU29)</f>
        <v>394</v>
      </c>
      <c r="ED29" t="s">
        <v>45</v>
      </c>
      <c r="EE29">
        <v>340</v>
      </c>
      <c r="EF29">
        <v>20</v>
      </c>
      <c r="EG29">
        <f>EE29*0.1</f>
        <v>34</v>
      </c>
      <c r="EH29">
        <f>SUM(EE29:EG29)</f>
        <v>394</v>
      </c>
      <c r="EP29" t="s">
        <v>45</v>
      </c>
      <c r="EQ29">
        <v>340</v>
      </c>
      <c r="ER29">
        <v>20</v>
      </c>
      <c r="ES29">
        <f>EQ29*0.1</f>
        <v>34</v>
      </c>
      <c r="ET29">
        <f>SUM(EQ29:ES29)</f>
        <v>394</v>
      </c>
      <c r="FA29" s="1" t="s">
        <v>39</v>
      </c>
      <c r="FB29" t="s">
        <v>92</v>
      </c>
      <c r="FC29">
        <v>240</v>
      </c>
      <c r="FF29">
        <f t="shared" ref="FF29:FF30" si="133">SUM(FC29:FE29)</f>
        <v>240</v>
      </c>
      <c r="FM29" s="1" t="s">
        <v>39</v>
      </c>
      <c r="FN29" t="s">
        <v>92</v>
      </c>
      <c r="FO29">
        <v>240</v>
      </c>
      <c r="FR29">
        <f t="shared" ref="FR29:FR30" si="134">SUM(FO29:FQ29)</f>
        <v>240</v>
      </c>
      <c r="FZ29" t="s">
        <v>12</v>
      </c>
      <c r="GI29">
        <f>SUM(GI2:GI28)</f>
        <v>8381.2290296296305</v>
      </c>
      <c r="GK29" s="1" t="s">
        <v>39</v>
      </c>
      <c r="GL29" t="s">
        <v>92</v>
      </c>
      <c r="GM29">
        <v>240</v>
      </c>
      <c r="GP29">
        <f t="shared" ref="GP29:GP30" si="135">SUM(GM29:GO29)</f>
        <v>240</v>
      </c>
      <c r="GX29" t="s">
        <v>13</v>
      </c>
      <c r="GY29" t="s">
        <v>15</v>
      </c>
      <c r="GZ29" t="s">
        <v>16</v>
      </c>
      <c r="HA29" t="s">
        <v>17</v>
      </c>
      <c r="HB29" t="s">
        <v>12</v>
      </c>
      <c r="HJ29" t="s">
        <v>13</v>
      </c>
      <c r="HK29" t="s">
        <v>15</v>
      </c>
      <c r="HL29" t="s">
        <v>16</v>
      </c>
      <c r="HM29" t="s">
        <v>17</v>
      </c>
      <c r="HN29" t="s">
        <v>12</v>
      </c>
      <c r="HV29" t="s">
        <v>13</v>
      </c>
      <c r="HW29" t="s">
        <v>15</v>
      </c>
      <c r="HX29" t="s">
        <v>16</v>
      </c>
      <c r="HY29" t="s">
        <v>17</v>
      </c>
      <c r="HZ29" t="s">
        <v>12</v>
      </c>
      <c r="IH29" t="s">
        <v>13</v>
      </c>
      <c r="II29" t="s">
        <v>15</v>
      </c>
      <c r="IJ29" t="s">
        <v>16</v>
      </c>
      <c r="IK29" t="s">
        <v>17</v>
      </c>
      <c r="IL29" t="s">
        <v>12</v>
      </c>
      <c r="IT29" t="s">
        <v>13</v>
      </c>
      <c r="IU29" t="s">
        <v>15</v>
      </c>
      <c r="IV29" t="s">
        <v>16</v>
      </c>
      <c r="IW29" t="s">
        <v>17</v>
      </c>
      <c r="IX29" t="s">
        <v>12</v>
      </c>
    </row>
    <row r="30" spans="2:263">
      <c r="B30" t="s">
        <v>44</v>
      </c>
      <c r="C30">
        <v>260</v>
      </c>
      <c r="D30">
        <v>75</v>
      </c>
      <c r="E30">
        <f t="shared" si="127"/>
        <v>26</v>
      </c>
      <c r="F30">
        <f t="shared" si="106"/>
        <v>361</v>
      </c>
      <c r="N30" t="s">
        <v>44</v>
      </c>
      <c r="O30">
        <v>260</v>
      </c>
      <c r="P30">
        <v>75</v>
      </c>
      <c r="Q30">
        <f t="shared" si="128"/>
        <v>26</v>
      </c>
      <c r="R30">
        <f t="shared" ref="R30" si="136">SUM(O30:Q30)</f>
        <v>361</v>
      </c>
      <c r="Z30" t="s">
        <v>44</v>
      </c>
      <c r="AA30">
        <v>260</v>
      </c>
      <c r="AB30">
        <v>75</v>
      </c>
      <c r="AC30">
        <f t="shared" si="129"/>
        <v>26</v>
      </c>
      <c r="AD30">
        <f t="shared" ref="AD30" si="137">SUM(AA30:AC30)</f>
        <v>361</v>
      </c>
      <c r="AL30" t="s">
        <v>48</v>
      </c>
      <c r="AM30">
        <v>290</v>
      </c>
      <c r="AN30">
        <v>20</v>
      </c>
      <c r="AO30">
        <f>AM30*0.1</f>
        <v>29</v>
      </c>
      <c r="AP30">
        <f>SUM(AM30:AO30)</f>
        <v>339</v>
      </c>
      <c r="AX30" t="s">
        <v>44</v>
      </c>
      <c r="AY30">
        <v>260</v>
      </c>
      <c r="AZ30">
        <v>75</v>
      </c>
      <c r="BA30">
        <f t="shared" si="131"/>
        <v>26</v>
      </c>
      <c r="BB30">
        <f t="shared" ref="BB30" si="138">SUM(AY30:BA30)</f>
        <v>361</v>
      </c>
      <c r="BJ30" t="s">
        <v>44</v>
      </c>
      <c r="BK30">
        <v>260</v>
      </c>
      <c r="BL30">
        <v>75</v>
      </c>
      <c r="BM30">
        <f t="shared" si="132"/>
        <v>26</v>
      </c>
      <c r="BN30">
        <f t="shared" ref="BN30" si="139">SUM(BK30:BM30)</f>
        <v>361</v>
      </c>
      <c r="BV30" t="s">
        <v>73</v>
      </c>
      <c r="BW30">
        <v>215</v>
      </c>
      <c r="BX30">
        <v>75</v>
      </c>
      <c r="BY30">
        <f>BW30*0.05</f>
        <v>10.75</v>
      </c>
      <c r="BZ30">
        <f>SUM(BW30:BY30)</f>
        <v>300.75</v>
      </c>
      <c r="CH30" t="s">
        <v>73</v>
      </c>
      <c r="CI30">
        <v>215</v>
      </c>
      <c r="CJ30">
        <v>75</v>
      </c>
      <c r="CK30">
        <f>CI30*0.05</f>
        <v>10.75</v>
      </c>
      <c r="CL30">
        <f>SUM(CI30:CK30)</f>
        <v>300.75</v>
      </c>
      <c r="CT30" t="s">
        <v>73</v>
      </c>
      <c r="CU30">
        <v>215</v>
      </c>
      <c r="CV30">
        <v>75</v>
      </c>
      <c r="CW30">
        <f>CU30*0.05</f>
        <v>10.75</v>
      </c>
      <c r="CX30">
        <f>SUM(CU30:CW30)</f>
        <v>300.75</v>
      </c>
      <c r="DF30" t="s">
        <v>45</v>
      </c>
      <c r="DG30">
        <v>340</v>
      </c>
      <c r="DH30">
        <v>20</v>
      </c>
      <c r="DI30">
        <f>DG30*0.1</f>
        <v>34</v>
      </c>
      <c r="DJ30">
        <f>SUM(DG30:DI30)</f>
        <v>394</v>
      </c>
      <c r="DQ30" s="1" t="s">
        <v>39</v>
      </c>
      <c r="DR30" t="s">
        <v>92</v>
      </c>
      <c r="DS30">
        <v>240</v>
      </c>
      <c r="DV30">
        <f t="shared" ref="DV30:DV31" si="140">SUM(DS30:DU30)</f>
        <v>240</v>
      </c>
      <c r="EC30" s="1" t="s">
        <v>39</v>
      </c>
      <c r="ED30" t="s">
        <v>92</v>
      </c>
      <c r="EE30">
        <v>240</v>
      </c>
      <c r="EH30">
        <f t="shared" ref="EH30:EH32" si="141">SUM(EE30:EG30)</f>
        <v>240</v>
      </c>
      <c r="EO30" s="1" t="s">
        <v>39</v>
      </c>
      <c r="EP30" t="s">
        <v>92</v>
      </c>
      <c r="EQ30">
        <v>240</v>
      </c>
      <c r="ER30">
        <v>10</v>
      </c>
      <c r="ET30">
        <f t="shared" ref="ET30:ET31" si="142">SUM(EQ30:ES30)</f>
        <v>250</v>
      </c>
      <c r="FA30" s="1" t="s">
        <v>82</v>
      </c>
      <c r="FB30" t="s">
        <v>111</v>
      </c>
      <c r="FC30">
        <v>255</v>
      </c>
      <c r="FD30">
        <f>20+37</f>
        <v>57</v>
      </c>
      <c r="FE30">
        <f t="shared" ref="FE30" si="143">FC30*0.1</f>
        <v>25.5</v>
      </c>
      <c r="FF30">
        <f t="shared" si="133"/>
        <v>337.5</v>
      </c>
      <c r="FM30" s="1" t="s">
        <v>82</v>
      </c>
      <c r="FN30" t="s">
        <v>111</v>
      </c>
      <c r="FO30">
        <v>255</v>
      </c>
      <c r="FP30">
        <f>20+37</f>
        <v>57</v>
      </c>
      <c r="FQ30">
        <f t="shared" ref="FQ30" si="144">FO30*0.1</f>
        <v>25.5</v>
      </c>
      <c r="FR30">
        <f t="shared" si="134"/>
        <v>337.5</v>
      </c>
      <c r="GK30" s="1" t="s">
        <v>82</v>
      </c>
      <c r="GL30" t="s">
        <v>111</v>
      </c>
      <c r="GM30">
        <v>255</v>
      </c>
      <c r="GN30">
        <f>20+37</f>
        <v>57</v>
      </c>
      <c r="GO30">
        <f t="shared" ref="GO30" si="145">GM30*0.1</f>
        <v>25.5</v>
      </c>
      <c r="GP30">
        <f t="shared" si="135"/>
        <v>337.5</v>
      </c>
      <c r="GX30" t="s">
        <v>45</v>
      </c>
      <c r="GY30">
        <v>340</v>
      </c>
      <c r="GZ30">
        <v>20</v>
      </c>
      <c r="HA30">
        <f>GY30*0.1</f>
        <v>34</v>
      </c>
      <c r="HB30">
        <f>SUM(GY30:HA30)</f>
        <v>394</v>
      </c>
      <c r="HJ30" t="s">
        <v>45</v>
      </c>
      <c r="HK30">
        <v>340</v>
      </c>
      <c r="HL30">
        <v>20</v>
      </c>
      <c r="HM30">
        <f>HK30*0.1</f>
        <v>34</v>
      </c>
      <c r="HN30">
        <f>SUM(HK30:HM30)</f>
        <v>394</v>
      </c>
      <c r="HV30" t="s">
        <v>45</v>
      </c>
      <c r="HW30">
        <v>340</v>
      </c>
      <c r="HX30">
        <v>20</v>
      </c>
      <c r="HY30">
        <f>HW30*0.1</f>
        <v>34</v>
      </c>
      <c r="HZ30">
        <f>SUM(HW30:HY30)</f>
        <v>394</v>
      </c>
      <c r="IH30" t="s">
        <v>45</v>
      </c>
      <c r="II30">
        <v>340</v>
      </c>
      <c r="IJ30">
        <v>20</v>
      </c>
      <c r="IK30">
        <f>II30*0.1</f>
        <v>34</v>
      </c>
      <c r="IL30">
        <f>SUM(II30:IK30)</f>
        <v>394</v>
      </c>
      <c r="IT30" t="s">
        <v>45</v>
      </c>
      <c r="IU30">
        <v>340</v>
      </c>
      <c r="IV30">
        <v>20</v>
      </c>
      <c r="IW30">
        <f>IU30*0.1</f>
        <v>34</v>
      </c>
      <c r="IX30">
        <f>SUM(IU30:IW30)</f>
        <v>394</v>
      </c>
    </row>
    <row r="31" spans="2:263">
      <c r="B31" t="s">
        <v>48</v>
      </c>
      <c r="C31">
        <v>240</v>
      </c>
      <c r="D31">
        <v>75</v>
      </c>
      <c r="E31">
        <f t="shared" si="127"/>
        <v>24</v>
      </c>
      <c r="F31">
        <f t="shared" si="106"/>
        <v>339</v>
      </c>
      <c r="N31" t="s">
        <v>48</v>
      </c>
      <c r="O31">
        <v>240</v>
      </c>
      <c r="P31">
        <v>75</v>
      </c>
      <c r="Q31">
        <f>O31*0.1</f>
        <v>24</v>
      </c>
      <c r="R31">
        <f>SUM(O31:Q31)</f>
        <v>339</v>
      </c>
      <c r="Z31" t="s">
        <v>48</v>
      </c>
      <c r="AA31">
        <v>290</v>
      </c>
      <c r="AB31">
        <v>20</v>
      </c>
      <c r="AC31">
        <f>AA31*0.1</f>
        <v>29</v>
      </c>
      <c r="AD31">
        <f>SUM(AA31:AC31)</f>
        <v>339</v>
      </c>
      <c r="AL31" t="s">
        <v>59</v>
      </c>
      <c r="AM31">
        <v>220</v>
      </c>
      <c r="AN31">
        <v>20</v>
      </c>
      <c r="AO31">
        <f t="shared" ref="AO31:AO35" si="146">AM31*0.1</f>
        <v>22</v>
      </c>
      <c r="AP31">
        <f>SUM(AM31:AO31)</f>
        <v>262</v>
      </c>
      <c r="AX31" t="s">
        <v>48</v>
      </c>
      <c r="AY31">
        <v>290</v>
      </c>
      <c r="AZ31">
        <v>20</v>
      </c>
      <c r="BA31">
        <f>AY31*0.1</f>
        <v>29</v>
      </c>
      <c r="BB31">
        <f>SUM(AY31:BA31)</f>
        <v>339</v>
      </c>
      <c r="BJ31" t="s">
        <v>48</v>
      </c>
      <c r="BK31">
        <v>290</v>
      </c>
      <c r="BL31">
        <v>20</v>
      </c>
      <c r="BM31">
        <f>BK31*0.1</f>
        <v>29</v>
      </c>
      <c r="BN31">
        <f>SUM(BK31:BM31)</f>
        <v>339</v>
      </c>
      <c r="BV31" t="s">
        <v>44</v>
      </c>
      <c r="BW31">
        <v>260</v>
      </c>
      <c r="BX31">
        <v>75</v>
      </c>
      <c r="BY31">
        <f t="shared" ref="BY31" si="147">BW31*0.1</f>
        <v>26</v>
      </c>
      <c r="BZ31">
        <f t="shared" ref="BZ31" si="148">SUM(BW31:BY31)</f>
        <v>361</v>
      </c>
      <c r="CH31" t="s">
        <v>44</v>
      </c>
      <c r="CI31">
        <v>260</v>
      </c>
      <c r="CJ31">
        <v>75</v>
      </c>
      <c r="CK31">
        <f t="shared" ref="CK31" si="149">CI31*0.1</f>
        <v>26</v>
      </c>
      <c r="CL31">
        <f t="shared" ref="CL31" si="150">SUM(CI31:CK31)</f>
        <v>361</v>
      </c>
      <c r="CR31" s="1"/>
      <c r="CT31" t="s">
        <v>44</v>
      </c>
      <c r="CU31">
        <v>260</v>
      </c>
      <c r="CV31">
        <v>75</v>
      </c>
      <c r="CW31">
        <f t="shared" ref="CW31" si="151">CU31*0.1</f>
        <v>26</v>
      </c>
      <c r="CX31">
        <f t="shared" ref="CX31" si="152">SUM(CU31:CW31)</f>
        <v>361</v>
      </c>
      <c r="DD31" s="1"/>
      <c r="DE31" s="1" t="s">
        <v>39</v>
      </c>
      <c r="DF31" t="s">
        <v>92</v>
      </c>
      <c r="DG31">
        <v>250</v>
      </c>
      <c r="DJ31">
        <f t="shared" ref="DJ31:DJ33" si="153">SUM(DG31:DI31)</f>
        <v>250</v>
      </c>
      <c r="DQ31" s="1" t="s">
        <v>82</v>
      </c>
      <c r="DR31" t="s">
        <v>90</v>
      </c>
      <c r="DS31">
        <v>260</v>
      </c>
      <c r="DT31">
        <v>60</v>
      </c>
      <c r="DU31">
        <f t="shared" ref="DU31" si="154">DS31*0.1</f>
        <v>26</v>
      </c>
      <c r="DV31">
        <f t="shared" si="140"/>
        <v>346</v>
      </c>
      <c r="EC31" s="1" t="s">
        <v>82</v>
      </c>
      <c r="ED31" t="s">
        <v>90</v>
      </c>
      <c r="EE31">
        <v>260</v>
      </c>
      <c r="EF31">
        <v>60</v>
      </c>
      <c r="EG31">
        <f t="shared" ref="EG31:EG32" si="155">EE31*0.1</f>
        <v>26</v>
      </c>
      <c r="EH31">
        <f t="shared" si="141"/>
        <v>346</v>
      </c>
      <c r="EO31" s="1" t="s">
        <v>82</v>
      </c>
      <c r="EP31" t="s">
        <v>111</v>
      </c>
      <c r="EQ31">
        <v>255</v>
      </c>
      <c r="ER31">
        <f>20+37</f>
        <v>57</v>
      </c>
      <c r="ES31">
        <f t="shared" ref="ES31" si="156">EQ31*0.1</f>
        <v>25.5</v>
      </c>
      <c r="ET31">
        <f t="shared" si="142"/>
        <v>337.5</v>
      </c>
      <c r="FA31" s="1" t="s">
        <v>38</v>
      </c>
      <c r="FB31" t="s">
        <v>73</v>
      </c>
      <c r="FC31">
        <v>215</v>
      </c>
      <c r="FD31">
        <v>75</v>
      </c>
      <c r="FE31">
        <f>FC31*0.05</f>
        <v>10.75</v>
      </c>
      <c r="FF31">
        <f>SUM(FC31:FE31)</f>
        <v>300.75</v>
      </c>
      <c r="FM31" s="1" t="s">
        <v>38</v>
      </c>
      <c r="FN31" t="s">
        <v>73</v>
      </c>
      <c r="FO31">
        <v>215</v>
      </c>
      <c r="FP31">
        <v>75</v>
      </c>
      <c r="FQ31">
        <f>FO31*0.05</f>
        <v>10.75</v>
      </c>
      <c r="FR31">
        <f>SUM(FO31:FQ31)</f>
        <v>300.75</v>
      </c>
      <c r="FZ31" t="s">
        <v>13</v>
      </c>
      <c r="GA31" t="s">
        <v>15</v>
      </c>
      <c r="GB31" t="s">
        <v>16</v>
      </c>
      <c r="GC31" t="s">
        <v>17</v>
      </c>
      <c r="GD31" t="s">
        <v>12</v>
      </c>
      <c r="GK31" s="1" t="s">
        <v>38</v>
      </c>
      <c r="GL31" t="s">
        <v>73</v>
      </c>
      <c r="GM31">
        <v>215</v>
      </c>
      <c r="GN31">
        <v>75</v>
      </c>
      <c r="GO31">
        <f>GM31*0.05</f>
        <v>10.75</v>
      </c>
      <c r="GP31">
        <f>SUM(GM31:GO31)</f>
        <v>300.75</v>
      </c>
      <c r="GW31" s="1" t="s">
        <v>39</v>
      </c>
      <c r="GX31" t="s">
        <v>92</v>
      </c>
      <c r="GY31">
        <v>240</v>
      </c>
      <c r="HI31" s="1" t="s">
        <v>39</v>
      </c>
      <c r="HJ31" t="s">
        <v>92</v>
      </c>
      <c r="HK31">
        <v>240</v>
      </c>
      <c r="HU31" s="1" t="s">
        <v>39</v>
      </c>
      <c r="HV31" t="s">
        <v>92</v>
      </c>
      <c r="HW31">
        <v>240</v>
      </c>
      <c r="HZ31">
        <f t="shared" ref="HZ31:HZ32" si="157">SUM(HW31:HY31)</f>
        <v>240</v>
      </c>
      <c r="IG31" s="1" t="s">
        <v>39</v>
      </c>
      <c r="IH31" t="s">
        <v>92</v>
      </c>
      <c r="II31">
        <v>250</v>
      </c>
      <c r="IJ31">
        <v>45</v>
      </c>
      <c r="IL31">
        <f t="shared" ref="IL31:IL32" si="158">SUM(II31:IK31)</f>
        <v>295</v>
      </c>
      <c r="IS31" s="1" t="s">
        <v>39</v>
      </c>
      <c r="IT31" t="s">
        <v>92</v>
      </c>
      <c r="IX31">
        <f t="shared" ref="IX31:IX32" si="159">SUM(IU31:IW31)</f>
        <v>0</v>
      </c>
    </row>
    <row r="32" spans="2:263">
      <c r="B32" t="s">
        <v>59</v>
      </c>
      <c r="C32">
        <v>240</v>
      </c>
      <c r="D32">
        <v>20</v>
      </c>
      <c r="E32">
        <f t="shared" si="127"/>
        <v>24</v>
      </c>
      <c r="F32">
        <f t="shared" si="106"/>
        <v>284</v>
      </c>
      <c r="N32" t="s">
        <v>59</v>
      </c>
      <c r="O32">
        <v>220</v>
      </c>
      <c r="P32">
        <v>20</v>
      </c>
      <c r="Q32">
        <f t="shared" ref="Q32:Q36" si="160">O32*0.1</f>
        <v>22</v>
      </c>
      <c r="R32">
        <f>SUM(O32:Q32)</f>
        <v>262</v>
      </c>
      <c r="Z32" t="s">
        <v>59</v>
      </c>
      <c r="AA32">
        <v>220</v>
      </c>
      <c r="AB32">
        <v>20</v>
      </c>
      <c r="AC32">
        <f t="shared" ref="AC32:AC38" si="161">AA32*0.1</f>
        <v>22</v>
      </c>
      <c r="AD32">
        <f>SUM(AA32:AC32)</f>
        <v>262</v>
      </c>
      <c r="AL32" t="s">
        <v>45</v>
      </c>
      <c r="AM32">
        <v>260</v>
      </c>
      <c r="AN32">
        <v>20</v>
      </c>
      <c r="AO32">
        <f t="shared" si="146"/>
        <v>26</v>
      </c>
      <c r="AP32">
        <f t="shared" ref="AP32" si="162">SUM(AM32:AO32)</f>
        <v>306</v>
      </c>
      <c r="AX32" t="s">
        <v>59</v>
      </c>
      <c r="AY32">
        <v>220</v>
      </c>
      <c r="AZ32">
        <v>20</v>
      </c>
      <c r="BA32">
        <f t="shared" ref="BA32:BA36" si="163">AY32*0.1</f>
        <v>22</v>
      </c>
      <c r="BB32">
        <f>SUM(AY32:BA32)</f>
        <v>262</v>
      </c>
      <c r="BJ32" t="s">
        <v>59</v>
      </c>
      <c r="BK32">
        <v>240</v>
      </c>
      <c r="BL32">
        <v>20</v>
      </c>
      <c r="BM32">
        <f t="shared" ref="BM32:BM34" si="164">BK32*0.1</f>
        <v>24</v>
      </c>
      <c r="BN32">
        <f>SUM(BK32:BM32)</f>
        <v>284</v>
      </c>
      <c r="BV32" t="s">
        <v>48</v>
      </c>
      <c r="BW32">
        <v>290</v>
      </c>
      <c r="BX32">
        <v>20</v>
      </c>
      <c r="BY32">
        <f>BW32*0.1</f>
        <v>29</v>
      </c>
      <c r="BZ32">
        <f>SUM(BW32:BY32)</f>
        <v>339</v>
      </c>
      <c r="CH32" t="s">
        <v>48</v>
      </c>
      <c r="CI32">
        <v>290</v>
      </c>
      <c r="CJ32">
        <v>20</v>
      </c>
      <c r="CK32">
        <f>CI32*0.1</f>
        <v>29</v>
      </c>
      <c r="CL32">
        <f>SUM(CI32:CK32)</f>
        <v>339</v>
      </c>
      <c r="CR32" s="1"/>
      <c r="CT32" t="s">
        <v>48</v>
      </c>
      <c r="CU32">
        <v>290</v>
      </c>
      <c r="CV32">
        <v>20</v>
      </c>
      <c r="CW32">
        <f>CU32*0.1</f>
        <v>29</v>
      </c>
      <c r="CX32">
        <f>SUM(CU32:CW32)</f>
        <v>339</v>
      </c>
      <c r="DD32" s="1"/>
      <c r="DE32" s="1" t="s">
        <v>82</v>
      </c>
      <c r="DF32" t="s">
        <v>90</v>
      </c>
      <c r="DG32">
        <v>260</v>
      </c>
      <c r="DH32">
        <v>60</v>
      </c>
      <c r="DI32">
        <f t="shared" ref="DI32" si="165">DG32*0.1</f>
        <v>26</v>
      </c>
      <c r="DJ32">
        <f t="shared" si="153"/>
        <v>346</v>
      </c>
      <c r="DQ32" s="1" t="s">
        <v>38</v>
      </c>
      <c r="DR32" t="s">
        <v>73</v>
      </c>
      <c r="DS32">
        <v>215</v>
      </c>
      <c r="DT32">
        <v>75</v>
      </c>
      <c r="DU32">
        <f>DS32*0.05</f>
        <v>10.75</v>
      </c>
      <c r="DV32">
        <f>SUM(DS32:DU32)</f>
        <v>300.75</v>
      </c>
      <c r="EC32" s="1" t="s">
        <v>36</v>
      </c>
      <c r="ED32" t="s">
        <v>107</v>
      </c>
      <c r="EE32">
        <v>270</v>
      </c>
      <c r="EF32">
        <v>20</v>
      </c>
      <c r="EG32">
        <f t="shared" si="155"/>
        <v>27</v>
      </c>
      <c r="EH32">
        <f t="shared" si="141"/>
        <v>317</v>
      </c>
      <c r="EO32" s="1" t="s">
        <v>38</v>
      </c>
      <c r="EP32" t="s">
        <v>73</v>
      </c>
      <c r="EQ32">
        <v>215</v>
      </c>
      <c r="ER32">
        <v>75</v>
      </c>
      <c r="ES32">
        <f>EQ32*0.05</f>
        <v>10.75</v>
      </c>
      <c r="ET32">
        <f>SUM(EQ32:ES32)</f>
        <v>300.75</v>
      </c>
      <c r="FA32" s="1" t="s">
        <v>35</v>
      </c>
      <c r="FB32" t="s">
        <v>44</v>
      </c>
      <c r="FC32">
        <v>280</v>
      </c>
      <c r="FD32">
        <v>80</v>
      </c>
      <c r="FE32">
        <f t="shared" ref="FE32" si="166">FC32*0.1</f>
        <v>28</v>
      </c>
      <c r="FF32">
        <f t="shared" ref="FF32:FF34" si="167">SUM(FC32:FE32)</f>
        <v>388</v>
      </c>
      <c r="FM32" s="1" t="s">
        <v>35</v>
      </c>
      <c r="FN32" t="s">
        <v>44</v>
      </c>
      <c r="FO32">
        <v>280</v>
      </c>
      <c r="FP32">
        <v>80</v>
      </c>
      <c r="FQ32">
        <f t="shared" ref="FQ32" si="168">FO32*0.1</f>
        <v>28</v>
      </c>
      <c r="FR32">
        <f t="shared" ref="FR32:FR33" si="169">SUM(FO32:FQ32)</f>
        <v>388</v>
      </c>
      <c r="FZ32" t="s">
        <v>45</v>
      </c>
      <c r="GA32">
        <v>340</v>
      </c>
      <c r="GB32">
        <v>20</v>
      </c>
      <c r="GC32">
        <f>GA32*0.1</f>
        <v>34</v>
      </c>
      <c r="GD32">
        <f>SUM(GA32:GC32)</f>
        <v>394</v>
      </c>
      <c r="GK32" s="1" t="s">
        <v>35</v>
      </c>
      <c r="GL32" t="s">
        <v>44</v>
      </c>
      <c r="GM32">
        <v>280</v>
      </c>
      <c r="GN32">
        <v>80</v>
      </c>
      <c r="GO32">
        <f t="shared" ref="GO32" si="170">GM32*0.1</f>
        <v>28</v>
      </c>
      <c r="GP32">
        <f t="shared" ref="GP32:GP34" si="171">SUM(GM32:GO32)</f>
        <v>388</v>
      </c>
      <c r="GW32" s="1" t="s">
        <v>82</v>
      </c>
      <c r="GX32" t="s">
        <v>111</v>
      </c>
      <c r="GY32">
        <v>255</v>
      </c>
      <c r="GZ32">
        <f>20+37</f>
        <v>57</v>
      </c>
      <c r="HA32">
        <f t="shared" ref="HA32" si="172">GY32*0.1</f>
        <v>25.5</v>
      </c>
      <c r="HB32">
        <f t="shared" ref="HB32" si="173">SUM(GY32:HA32)</f>
        <v>337.5</v>
      </c>
      <c r="HI32" s="1" t="s">
        <v>82</v>
      </c>
      <c r="HJ32" t="s">
        <v>111</v>
      </c>
      <c r="HK32">
        <v>255</v>
      </c>
      <c r="HL32">
        <f>20+37</f>
        <v>57</v>
      </c>
      <c r="HM32">
        <f t="shared" ref="HM32" si="174">HK32*0.1</f>
        <v>25.5</v>
      </c>
      <c r="HN32">
        <f t="shared" ref="HN32" si="175">SUM(HK32:HM32)</f>
        <v>337.5</v>
      </c>
      <c r="HU32" s="1" t="s">
        <v>82</v>
      </c>
      <c r="HV32" t="s">
        <v>111</v>
      </c>
      <c r="HW32">
        <v>255</v>
      </c>
      <c r="HX32">
        <f>20+37</f>
        <v>57</v>
      </c>
      <c r="HY32">
        <f t="shared" ref="HY32" si="176">HW32*0.1</f>
        <v>25.5</v>
      </c>
      <c r="HZ32">
        <f t="shared" si="157"/>
        <v>337.5</v>
      </c>
      <c r="IG32" s="1" t="s">
        <v>82</v>
      </c>
      <c r="IH32" t="s">
        <v>111</v>
      </c>
      <c r="II32">
        <v>255</v>
      </c>
      <c r="IJ32">
        <f>20+37</f>
        <v>57</v>
      </c>
      <c r="IK32">
        <f t="shared" ref="IK32" si="177">II32*0.1</f>
        <v>25.5</v>
      </c>
      <c r="IL32">
        <f t="shared" si="158"/>
        <v>337.5</v>
      </c>
      <c r="IS32" s="1" t="s">
        <v>82</v>
      </c>
      <c r="IT32" t="s">
        <v>111</v>
      </c>
      <c r="IU32">
        <v>255</v>
      </c>
      <c r="IV32">
        <f>20+37</f>
        <v>57</v>
      </c>
      <c r="IW32">
        <f t="shared" ref="IW32" si="178">IU32*0.1</f>
        <v>25.5</v>
      </c>
      <c r="IX32">
        <f t="shared" si="159"/>
        <v>337.5</v>
      </c>
    </row>
    <row r="33" spans="2:258">
      <c r="B33" t="s">
        <v>45</v>
      </c>
      <c r="C33">
        <v>260</v>
      </c>
      <c r="D33">
        <v>20</v>
      </c>
      <c r="E33">
        <f t="shared" si="127"/>
        <v>26</v>
      </c>
      <c r="F33">
        <f t="shared" si="106"/>
        <v>306</v>
      </c>
      <c r="N33" t="s">
        <v>45</v>
      </c>
      <c r="O33">
        <v>260</v>
      </c>
      <c r="P33">
        <v>20</v>
      </c>
      <c r="Q33">
        <f t="shared" si="160"/>
        <v>26</v>
      </c>
      <c r="R33">
        <f t="shared" ref="R33" si="179">SUM(O33:Q33)</f>
        <v>306</v>
      </c>
      <c r="Z33" t="s">
        <v>45</v>
      </c>
      <c r="AA33">
        <v>260</v>
      </c>
      <c r="AB33">
        <v>20</v>
      </c>
      <c r="AC33">
        <f t="shared" si="161"/>
        <v>26</v>
      </c>
      <c r="AD33">
        <f t="shared" ref="AD33" si="180">SUM(AA33:AC33)</f>
        <v>306</v>
      </c>
      <c r="AL33" t="s">
        <v>61</v>
      </c>
      <c r="AM33">
        <v>200</v>
      </c>
      <c r="AN33">
        <v>20</v>
      </c>
      <c r="AO33">
        <f t="shared" si="146"/>
        <v>20</v>
      </c>
      <c r="AP33">
        <f>SUM(AM33:AO33)-60</f>
        <v>180</v>
      </c>
      <c r="AX33" t="s">
        <v>45</v>
      </c>
      <c r="AY33">
        <v>260</v>
      </c>
      <c r="AZ33">
        <v>20</v>
      </c>
      <c r="BA33">
        <f t="shared" si="163"/>
        <v>26</v>
      </c>
      <c r="BB33">
        <f t="shared" ref="BB33" si="181">SUM(AY33:BA33)</f>
        <v>306</v>
      </c>
      <c r="BJ33" t="s">
        <v>45</v>
      </c>
      <c r="BK33">
        <v>260</v>
      </c>
      <c r="BL33">
        <v>20</v>
      </c>
      <c r="BM33">
        <f t="shared" si="164"/>
        <v>26</v>
      </c>
      <c r="BN33">
        <f t="shared" ref="BN33" si="182">SUM(BK33:BM33)</f>
        <v>306</v>
      </c>
      <c r="BV33" t="s">
        <v>59</v>
      </c>
      <c r="BW33">
        <v>240</v>
      </c>
      <c r="BX33">
        <v>20</v>
      </c>
      <c r="BY33">
        <f t="shared" ref="BY33:BY38" si="183">BW33*0.1</f>
        <v>24</v>
      </c>
      <c r="BZ33">
        <f>SUM(BW33:BY33)</f>
        <v>284</v>
      </c>
      <c r="CH33" t="s">
        <v>59</v>
      </c>
      <c r="CI33">
        <v>240</v>
      </c>
      <c r="CJ33">
        <v>20</v>
      </c>
      <c r="CK33">
        <f t="shared" ref="CK33:CK38" si="184">CI33*0.1</f>
        <v>24</v>
      </c>
      <c r="CL33">
        <f>SUM(CI33:CK33)</f>
        <v>284</v>
      </c>
      <c r="CT33" t="s">
        <v>59</v>
      </c>
      <c r="CU33">
        <v>240</v>
      </c>
      <c r="CV33">
        <v>20</v>
      </c>
      <c r="CW33">
        <f t="shared" ref="CW33:CW38" si="185">CU33*0.1</f>
        <v>24</v>
      </c>
      <c r="CX33">
        <f>SUM(CU33:CW33)</f>
        <v>284</v>
      </c>
      <c r="DE33" s="1" t="s">
        <v>38</v>
      </c>
      <c r="DF33" t="s">
        <v>93</v>
      </c>
      <c r="DG33">
        <v>290</v>
      </c>
      <c r="DH33">
        <v>20</v>
      </c>
      <c r="DI33">
        <f>DG33*0.05</f>
        <v>14.5</v>
      </c>
      <c r="DJ33">
        <f t="shared" si="153"/>
        <v>324.5</v>
      </c>
      <c r="DQ33" s="1" t="s">
        <v>35</v>
      </c>
      <c r="DR33" t="s">
        <v>44</v>
      </c>
      <c r="DS33">
        <v>280</v>
      </c>
      <c r="DT33">
        <v>80</v>
      </c>
      <c r="DU33">
        <f t="shared" ref="DU33:DU34" si="186">DS33*0.1</f>
        <v>28</v>
      </c>
      <c r="DV33">
        <f t="shared" ref="DV33:DV34" si="187">SUM(DS33:DU33)</f>
        <v>388</v>
      </c>
      <c r="EC33" s="1" t="s">
        <v>38</v>
      </c>
      <c r="ED33" t="s">
        <v>73</v>
      </c>
      <c r="EE33">
        <v>215</v>
      </c>
      <c r="EF33">
        <v>75</v>
      </c>
      <c r="EG33">
        <f>EE33*0.05</f>
        <v>10.75</v>
      </c>
      <c r="EH33">
        <f>SUM(EE33:EG33)</f>
        <v>300.75</v>
      </c>
      <c r="EO33" s="1" t="s">
        <v>35</v>
      </c>
      <c r="EP33" t="s">
        <v>44</v>
      </c>
      <c r="EQ33">
        <v>280</v>
      </c>
      <c r="ER33">
        <v>80</v>
      </c>
      <c r="ES33">
        <f t="shared" ref="ES33:ES39" si="188">EQ33*0.1</f>
        <v>28</v>
      </c>
      <c r="ET33">
        <f t="shared" ref="ET33:ET35" si="189">SUM(EQ33:ES33)</f>
        <v>388</v>
      </c>
      <c r="FA33" s="3" t="s">
        <v>65</v>
      </c>
      <c r="FB33" t="s">
        <v>99</v>
      </c>
      <c r="FC33">
        <v>260</v>
      </c>
      <c r="FD33">
        <v>20</v>
      </c>
      <c r="FE33">
        <f>FC33*0.1</f>
        <v>26</v>
      </c>
      <c r="FF33">
        <f t="shared" si="167"/>
        <v>306</v>
      </c>
      <c r="FM33" s="3" t="s">
        <v>65</v>
      </c>
      <c r="FN33" t="s">
        <v>99</v>
      </c>
      <c r="FO33">
        <v>260</v>
      </c>
      <c r="FP33">
        <v>20</v>
      </c>
      <c r="FQ33">
        <f>FO33*0.1</f>
        <v>26</v>
      </c>
      <c r="FR33">
        <f t="shared" si="169"/>
        <v>306</v>
      </c>
      <c r="FY33" s="1" t="s">
        <v>39</v>
      </c>
      <c r="FZ33" t="s">
        <v>92</v>
      </c>
      <c r="GA33">
        <v>240</v>
      </c>
      <c r="GD33">
        <f t="shared" ref="GD33:GD34" si="190">SUM(GA33:GC33)</f>
        <v>240</v>
      </c>
      <c r="GK33" s="3" t="s">
        <v>65</v>
      </c>
      <c r="GL33" t="s">
        <v>99</v>
      </c>
      <c r="GM33">
        <v>260</v>
      </c>
      <c r="GN33">
        <v>20</v>
      </c>
      <c r="GO33">
        <f>GM33*0.1</f>
        <v>26</v>
      </c>
      <c r="GP33">
        <f t="shared" si="171"/>
        <v>306</v>
      </c>
      <c r="GW33" s="1" t="s">
        <v>38</v>
      </c>
      <c r="GX33" t="s">
        <v>73</v>
      </c>
      <c r="GY33">
        <v>215</v>
      </c>
      <c r="GZ33">
        <v>75</v>
      </c>
      <c r="HA33">
        <f>GY33*0.05</f>
        <v>10.75</v>
      </c>
      <c r="HB33">
        <f>SUM(GY33:HA33)</f>
        <v>300.75</v>
      </c>
      <c r="HI33" s="1" t="s">
        <v>38</v>
      </c>
      <c r="HJ33" t="s">
        <v>73</v>
      </c>
      <c r="HK33">
        <v>215</v>
      </c>
      <c r="HL33">
        <v>75</v>
      </c>
      <c r="HM33">
        <f>HK33*0.05</f>
        <v>10.75</v>
      </c>
      <c r="HN33">
        <f>SUM(HK33:HM33)</f>
        <v>300.75</v>
      </c>
      <c r="HU33" s="1" t="s">
        <v>38</v>
      </c>
      <c r="HV33" t="s">
        <v>73</v>
      </c>
      <c r="HW33">
        <v>215</v>
      </c>
      <c r="HX33">
        <v>75</v>
      </c>
      <c r="HY33">
        <f>HW33*0.05</f>
        <v>10.75</v>
      </c>
      <c r="HZ33">
        <f>SUM(HW33:HY33)</f>
        <v>300.75</v>
      </c>
      <c r="IG33" s="1" t="s">
        <v>38</v>
      </c>
      <c r="IH33" t="s">
        <v>73</v>
      </c>
      <c r="II33">
        <v>215</v>
      </c>
      <c r="IJ33">
        <v>75</v>
      </c>
      <c r="IK33">
        <f>II33*0.05</f>
        <v>10.75</v>
      </c>
      <c r="IL33">
        <f>SUM(II33:IK33)</f>
        <v>300.75</v>
      </c>
      <c r="IS33" s="1" t="s">
        <v>38</v>
      </c>
      <c r="IT33" t="s">
        <v>73</v>
      </c>
      <c r="IU33">
        <v>225</v>
      </c>
      <c r="IV33">
        <v>75</v>
      </c>
      <c r="IW33">
        <f>IU33*0.05</f>
        <v>11.25</v>
      </c>
      <c r="IX33">
        <f>SUM(IU33:IW33)</f>
        <v>311.25</v>
      </c>
    </row>
    <row r="34" spans="2:258">
      <c r="B34" t="s">
        <v>61</v>
      </c>
      <c r="C34">
        <v>200</v>
      </c>
      <c r="D34">
        <v>20</v>
      </c>
      <c r="E34">
        <f t="shared" si="127"/>
        <v>20</v>
      </c>
      <c r="F34">
        <f>SUM(C34:E34)-60</f>
        <v>180</v>
      </c>
      <c r="N34" t="s">
        <v>61</v>
      </c>
      <c r="O34">
        <v>200</v>
      </c>
      <c r="P34">
        <v>20</v>
      </c>
      <c r="Q34">
        <f t="shared" si="160"/>
        <v>20</v>
      </c>
      <c r="R34">
        <f>SUM(O34:Q34)-60</f>
        <v>180</v>
      </c>
      <c r="Z34" t="s">
        <v>61</v>
      </c>
      <c r="AA34">
        <v>200</v>
      </c>
      <c r="AB34">
        <v>20</v>
      </c>
      <c r="AC34">
        <f t="shared" si="161"/>
        <v>20</v>
      </c>
      <c r="AD34">
        <f>SUM(AA34:AC34)-60</f>
        <v>180</v>
      </c>
      <c r="AL34" t="s">
        <v>46</v>
      </c>
      <c r="AM34">
        <v>250</v>
      </c>
      <c r="AN34">
        <v>20</v>
      </c>
      <c r="AO34">
        <f t="shared" si="146"/>
        <v>25</v>
      </c>
      <c r="AP34">
        <f>SUM(AM34:AO34)-60</f>
        <v>235</v>
      </c>
      <c r="AX34" t="s">
        <v>61</v>
      </c>
      <c r="AY34">
        <v>200</v>
      </c>
      <c r="AZ34">
        <v>20</v>
      </c>
      <c r="BA34">
        <f t="shared" si="163"/>
        <v>20</v>
      </c>
      <c r="BB34">
        <f>SUM(AY34:BA34)-60</f>
        <v>180</v>
      </c>
      <c r="BJ34" t="s">
        <v>61</v>
      </c>
      <c r="BK34">
        <v>200</v>
      </c>
      <c r="BL34">
        <v>20</v>
      </c>
      <c r="BM34">
        <f t="shared" si="164"/>
        <v>20</v>
      </c>
      <c r="BN34">
        <f>SUM(BK34:BM34)-60</f>
        <v>180</v>
      </c>
      <c r="BV34" t="s">
        <v>61</v>
      </c>
      <c r="BW34">
        <v>200</v>
      </c>
      <c r="BX34">
        <v>20</v>
      </c>
      <c r="BY34">
        <f t="shared" si="183"/>
        <v>20</v>
      </c>
      <c r="BZ34">
        <f>SUM(BW34:BY34)-60</f>
        <v>180</v>
      </c>
      <c r="CH34" t="s">
        <v>61</v>
      </c>
      <c r="CI34">
        <v>200</v>
      </c>
      <c r="CJ34">
        <v>20</v>
      </c>
      <c r="CK34">
        <f t="shared" si="184"/>
        <v>20</v>
      </c>
      <c r="CL34">
        <f>SUM(CI34:CK34)-60</f>
        <v>180</v>
      </c>
      <c r="CT34" t="s">
        <v>61</v>
      </c>
      <c r="CU34">
        <v>200</v>
      </c>
      <c r="CV34">
        <v>20</v>
      </c>
      <c r="CW34">
        <f t="shared" si="185"/>
        <v>20</v>
      </c>
      <c r="CX34">
        <f>SUM(CU34:CW34)-60</f>
        <v>180</v>
      </c>
      <c r="DE34" s="1" t="s">
        <v>65</v>
      </c>
      <c r="DF34" t="s">
        <v>73</v>
      </c>
      <c r="DG34">
        <v>215</v>
      </c>
      <c r="DH34">
        <v>75</v>
      </c>
      <c r="DI34">
        <f>DG34*0.05</f>
        <v>10.75</v>
      </c>
      <c r="DJ34">
        <f>SUM(DG34:DI34)</f>
        <v>300.75</v>
      </c>
      <c r="DQ34" s="3" t="s">
        <v>65</v>
      </c>
      <c r="DR34" t="s">
        <v>99</v>
      </c>
      <c r="DS34">
        <v>260</v>
      </c>
      <c r="DT34">
        <v>20</v>
      </c>
      <c r="DU34">
        <f t="shared" si="186"/>
        <v>26</v>
      </c>
      <c r="DV34">
        <f t="shared" si="187"/>
        <v>306</v>
      </c>
      <c r="EC34" s="1" t="s">
        <v>35</v>
      </c>
      <c r="ED34" t="s">
        <v>44</v>
      </c>
      <c r="EE34">
        <v>280</v>
      </c>
      <c r="EF34">
        <v>80</v>
      </c>
      <c r="EG34">
        <f t="shared" ref="EG34:EG39" si="191">EE34*0.1</f>
        <v>28</v>
      </c>
      <c r="EH34">
        <f t="shared" ref="EH34:EH35" si="192">SUM(EE34:EG34)</f>
        <v>388</v>
      </c>
      <c r="EO34" s="3" t="s">
        <v>65</v>
      </c>
      <c r="EP34" t="s">
        <v>99</v>
      </c>
      <c r="EQ34">
        <v>260</v>
      </c>
      <c r="ER34">
        <v>20</v>
      </c>
      <c r="ET34">
        <f t="shared" si="189"/>
        <v>280</v>
      </c>
      <c r="FA34" s="3" t="s">
        <v>36</v>
      </c>
      <c r="FB34" t="s">
        <v>107</v>
      </c>
      <c r="FC34">
        <v>270</v>
      </c>
      <c r="FD34">
        <v>20</v>
      </c>
      <c r="FE34">
        <f>FC34*0.1</f>
        <v>27</v>
      </c>
      <c r="FF34">
        <f t="shared" si="167"/>
        <v>317</v>
      </c>
      <c r="FM34" s="3" t="s">
        <v>36</v>
      </c>
      <c r="FN34" t="s">
        <v>107</v>
      </c>
      <c r="FO34">
        <v>270</v>
      </c>
      <c r="FP34">
        <v>20</v>
      </c>
      <c r="FQ34">
        <f>FO34*0.1</f>
        <v>27</v>
      </c>
      <c r="FR34">
        <v>0</v>
      </c>
      <c r="FY34" s="1" t="s">
        <v>82</v>
      </c>
      <c r="FZ34" t="s">
        <v>111</v>
      </c>
      <c r="GA34">
        <v>255</v>
      </c>
      <c r="GB34">
        <f>20+37</f>
        <v>57</v>
      </c>
      <c r="GC34">
        <f t="shared" ref="GC34" si="193">GA34*0.1</f>
        <v>25.5</v>
      </c>
      <c r="GD34">
        <f t="shared" si="190"/>
        <v>337.5</v>
      </c>
      <c r="GK34" s="3" t="s">
        <v>36</v>
      </c>
      <c r="GL34" t="s">
        <v>107</v>
      </c>
      <c r="GM34">
        <v>270</v>
      </c>
      <c r="GN34">
        <v>20</v>
      </c>
      <c r="GO34">
        <f>GM34*0.1</f>
        <v>27</v>
      </c>
      <c r="GP34">
        <f t="shared" si="171"/>
        <v>317</v>
      </c>
      <c r="GW34" s="1" t="s">
        <v>35</v>
      </c>
      <c r="GX34" t="s">
        <v>44</v>
      </c>
      <c r="GY34">
        <v>280</v>
      </c>
      <c r="GZ34">
        <v>80</v>
      </c>
      <c r="HA34">
        <f t="shared" ref="HA34" si="194">GY34*0.1</f>
        <v>28</v>
      </c>
      <c r="HB34">
        <f t="shared" ref="HB34:HB36" si="195">SUM(GY34:HA34)</f>
        <v>388</v>
      </c>
      <c r="HI34" s="1" t="s">
        <v>35</v>
      </c>
      <c r="HJ34" t="s">
        <v>44</v>
      </c>
      <c r="HK34">
        <v>280</v>
      </c>
      <c r="HL34">
        <v>80</v>
      </c>
      <c r="HM34">
        <f t="shared" ref="HM34" si="196">HK34*0.1</f>
        <v>28</v>
      </c>
      <c r="HN34">
        <f t="shared" ref="HN34:HN36" si="197">SUM(HK34:HM34)</f>
        <v>388</v>
      </c>
      <c r="HU34" s="1" t="s">
        <v>35</v>
      </c>
      <c r="HV34" t="s">
        <v>44</v>
      </c>
      <c r="HW34">
        <v>280</v>
      </c>
      <c r="HX34">
        <v>80</v>
      </c>
      <c r="HY34">
        <f t="shared" ref="HY34" si="198">HW34*0.1</f>
        <v>28</v>
      </c>
      <c r="HZ34">
        <f t="shared" ref="HZ34:HZ36" si="199">SUM(HW34:HY34)</f>
        <v>388</v>
      </c>
      <c r="IG34" s="1" t="s">
        <v>35</v>
      </c>
      <c r="IH34" t="s">
        <v>44</v>
      </c>
      <c r="II34">
        <v>280</v>
      </c>
      <c r="IJ34">
        <v>80</v>
      </c>
      <c r="IK34">
        <f t="shared" ref="IK34" si="200">II34*0.1</f>
        <v>28</v>
      </c>
      <c r="IL34">
        <f t="shared" ref="IL34:IL36" si="201">SUM(II34:IK34)</f>
        <v>388</v>
      </c>
      <c r="IS34" s="1" t="s">
        <v>35</v>
      </c>
      <c r="IT34" t="s">
        <v>44</v>
      </c>
      <c r="IU34">
        <v>290</v>
      </c>
      <c r="IV34">
        <v>80</v>
      </c>
      <c r="IW34">
        <f t="shared" ref="IW34" si="202">IU34*0.1</f>
        <v>29</v>
      </c>
      <c r="IX34">
        <f t="shared" ref="IX34:IX36" si="203">SUM(IU34:IW34)</f>
        <v>399</v>
      </c>
    </row>
    <row r="35" spans="2:258">
      <c r="B35" t="s">
        <v>46</v>
      </c>
      <c r="C35">
        <v>250</v>
      </c>
      <c r="D35">
        <v>20</v>
      </c>
      <c r="E35">
        <f t="shared" si="127"/>
        <v>25</v>
      </c>
      <c r="F35">
        <f>SUM(C35:E35)-60</f>
        <v>235</v>
      </c>
      <c r="N35" t="s">
        <v>46</v>
      </c>
      <c r="O35">
        <v>250</v>
      </c>
      <c r="P35">
        <v>20</v>
      </c>
      <c r="Q35">
        <f t="shared" si="160"/>
        <v>25</v>
      </c>
      <c r="R35">
        <f>SUM(O35:Q35)-60</f>
        <v>235</v>
      </c>
      <c r="Z35" t="s">
        <v>46</v>
      </c>
      <c r="AA35">
        <v>250</v>
      </c>
      <c r="AB35">
        <v>20</v>
      </c>
      <c r="AC35">
        <f t="shared" si="161"/>
        <v>25</v>
      </c>
      <c r="AD35">
        <f>SUM(AA35:AC35)-60</f>
        <v>235</v>
      </c>
      <c r="AL35" t="s">
        <v>62</v>
      </c>
      <c r="AM35">
        <v>240</v>
      </c>
      <c r="AN35">
        <v>20</v>
      </c>
      <c r="AO35">
        <f t="shared" si="146"/>
        <v>24</v>
      </c>
      <c r="AP35">
        <f>SUM(AM35:AO35)-60</f>
        <v>224</v>
      </c>
      <c r="AX35" t="s">
        <v>46</v>
      </c>
      <c r="AY35">
        <v>250</v>
      </c>
      <c r="AZ35">
        <v>20</v>
      </c>
      <c r="BA35">
        <f t="shared" si="163"/>
        <v>25</v>
      </c>
      <c r="BB35">
        <f>SUM(AY35:BA35)-60</f>
        <v>235</v>
      </c>
      <c r="BJ35" t="s">
        <v>62</v>
      </c>
      <c r="BK35">
        <v>240</v>
      </c>
      <c r="BL35">
        <v>20</v>
      </c>
      <c r="BM35">
        <f t="shared" ref="BM35:BM37" si="204">BK35*0.1</f>
        <v>24</v>
      </c>
      <c r="BN35">
        <f>SUM(BK35:BM35)-60</f>
        <v>224</v>
      </c>
      <c r="BV35" t="s">
        <v>62</v>
      </c>
      <c r="BW35">
        <v>240</v>
      </c>
      <c r="BX35">
        <v>20</v>
      </c>
      <c r="BY35">
        <f t="shared" si="183"/>
        <v>24</v>
      </c>
      <c r="BZ35">
        <f>SUM(BW35:BY35)-60</f>
        <v>224</v>
      </c>
      <c r="CH35" t="s">
        <v>62</v>
      </c>
      <c r="CI35">
        <v>240</v>
      </c>
      <c r="CJ35">
        <v>20</v>
      </c>
      <c r="CK35">
        <f t="shared" si="184"/>
        <v>24</v>
      </c>
      <c r="CL35">
        <f>SUM(CI35:CK35)-60</f>
        <v>224</v>
      </c>
      <c r="CT35" t="s">
        <v>62</v>
      </c>
      <c r="CU35">
        <v>240</v>
      </c>
      <c r="CV35">
        <v>20</v>
      </c>
      <c r="CW35">
        <f t="shared" si="185"/>
        <v>24</v>
      </c>
      <c r="CX35">
        <f>SUM(CU35:CW35)-60</f>
        <v>224</v>
      </c>
      <c r="DE35" s="1" t="s">
        <v>35</v>
      </c>
      <c r="DF35" t="s">
        <v>44</v>
      </c>
      <c r="DG35">
        <v>340</v>
      </c>
      <c r="DH35">
        <v>20</v>
      </c>
      <c r="DI35">
        <f t="shared" ref="DI35" si="205">DG35*0.1</f>
        <v>34</v>
      </c>
      <c r="DJ35">
        <f t="shared" ref="DJ35" si="206">SUM(DG35:DI35)</f>
        <v>394</v>
      </c>
      <c r="DQ35" s="1" t="s">
        <v>35</v>
      </c>
      <c r="DR35" t="s">
        <v>98</v>
      </c>
      <c r="DS35">
        <v>200</v>
      </c>
      <c r="DT35">
        <v>20</v>
      </c>
      <c r="DU35">
        <f t="shared" ref="DU35:DU40" si="207">DS35*0.1</f>
        <v>20</v>
      </c>
      <c r="DV35">
        <f>SUM(DS35:DU35)-60</f>
        <v>180</v>
      </c>
      <c r="EC35" s="3" t="s">
        <v>65</v>
      </c>
      <c r="ED35" t="s">
        <v>99</v>
      </c>
      <c r="EE35">
        <v>260</v>
      </c>
      <c r="EF35">
        <v>20</v>
      </c>
      <c r="EG35">
        <f t="shared" si="191"/>
        <v>26</v>
      </c>
      <c r="EH35">
        <f t="shared" si="192"/>
        <v>306</v>
      </c>
      <c r="EO35" s="3" t="s">
        <v>36</v>
      </c>
      <c r="EP35" t="s">
        <v>107</v>
      </c>
      <c r="EQ35">
        <v>270</v>
      </c>
      <c r="ER35">
        <v>20</v>
      </c>
      <c r="ES35">
        <f>EQ35*0.1</f>
        <v>27</v>
      </c>
      <c r="ET35">
        <f t="shared" si="189"/>
        <v>317</v>
      </c>
      <c r="FA35" s="1" t="s">
        <v>35</v>
      </c>
      <c r="FB35" t="s">
        <v>114</v>
      </c>
      <c r="FC35">
        <f>200/0.967</f>
        <v>206.82523267838678</v>
      </c>
      <c r="FF35">
        <f>SUM(FC35:FE35)</f>
        <v>206.82523267838678</v>
      </c>
      <c r="FM35" s="1" t="s">
        <v>35</v>
      </c>
      <c r="FN35" t="s">
        <v>114</v>
      </c>
      <c r="FO35">
        <f>200/0.967</f>
        <v>206.82523267838678</v>
      </c>
      <c r="FR35">
        <f>SUM(FO35:FQ35)</f>
        <v>206.82523267838678</v>
      </c>
      <c r="FY35" s="1" t="s">
        <v>38</v>
      </c>
      <c r="FZ35" t="s">
        <v>73</v>
      </c>
      <c r="GA35">
        <v>215</v>
      </c>
      <c r="GB35">
        <v>75</v>
      </c>
      <c r="GC35">
        <f>GA35*0.05</f>
        <v>10.75</v>
      </c>
      <c r="GD35">
        <f>SUM(GA35:GC35)</f>
        <v>300.75</v>
      </c>
      <c r="GK35" s="1" t="s">
        <v>35</v>
      </c>
      <c r="GL35" t="s">
        <v>114</v>
      </c>
      <c r="GM35">
        <f>200/0.967</f>
        <v>206.82523267838678</v>
      </c>
      <c r="GP35">
        <f>SUM(GM35:GO35)</f>
        <v>206.82523267838678</v>
      </c>
      <c r="GW35" s="3" t="s">
        <v>65</v>
      </c>
      <c r="GX35" t="s">
        <v>99</v>
      </c>
      <c r="GY35">
        <v>260</v>
      </c>
      <c r="GZ35">
        <v>20</v>
      </c>
      <c r="HA35">
        <f>GY35*0.1</f>
        <v>26</v>
      </c>
      <c r="HB35">
        <f t="shared" si="195"/>
        <v>306</v>
      </c>
      <c r="HI35" s="3" t="s">
        <v>65</v>
      </c>
      <c r="HJ35" t="s">
        <v>99</v>
      </c>
      <c r="HK35">
        <v>260</v>
      </c>
      <c r="HL35">
        <v>20</v>
      </c>
      <c r="HM35">
        <f>HK35*0.1</f>
        <v>26</v>
      </c>
      <c r="HU35" s="3" t="s">
        <v>65</v>
      </c>
      <c r="HV35" t="s">
        <v>99</v>
      </c>
      <c r="HW35">
        <v>260</v>
      </c>
      <c r="HX35">
        <v>20</v>
      </c>
      <c r="HY35">
        <f>HW35*0.1</f>
        <v>26</v>
      </c>
      <c r="HZ35">
        <f t="shared" si="199"/>
        <v>306</v>
      </c>
      <c r="IG35" s="3" t="s">
        <v>65</v>
      </c>
      <c r="IH35" t="s">
        <v>99</v>
      </c>
      <c r="II35">
        <v>260</v>
      </c>
      <c r="IJ35">
        <v>20</v>
      </c>
      <c r="IK35">
        <f>II35*0.1</f>
        <v>26</v>
      </c>
      <c r="IL35">
        <f t="shared" si="201"/>
        <v>306</v>
      </c>
      <c r="IS35" s="3" t="s">
        <v>65</v>
      </c>
      <c r="IT35" t="s">
        <v>115</v>
      </c>
      <c r="IU35">
        <v>260</v>
      </c>
      <c r="IV35">
        <v>20</v>
      </c>
      <c r="IW35">
        <f>IU35*0.1</f>
        <v>26</v>
      </c>
      <c r="IX35">
        <f t="shared" si="203"/>
        <v>306</v>
      </c>
    </row>
    <row r="36" spans="2:258">
      <c r="B36" t="s">
        <v>62</v>
      </c>
      <c r="C36">
        <v>240</v>
      </c>
      <c r="D36">
        <v>20</v>
      </c>
      <c r="E36">
        <f t="shared" si="127"/>
        <v>24</v>
      </c>
      <c r="F36">
        <f>SUM(C36:E36)-60</f>
        <v>224</v>
      </c>
      <c r="N36" t="s">
        <v>62</v>
      </c>
      <c r="O36">
        <v>240</v>
      </c>
      <c r="P36">
        <v>20</v>
      </c>
      <c r="Q36">
        <f t="shared" si="160"/>
        <v>24</v>
      </c>
      <c r="R36">
        <f>SUM(O36:Q36)-60</f>
        <v>224</v>
      </c>
      <c r="Z36" t="s">
        <v>62</v>
      </c>
      <c r="AA36">
        <v>240</v>
      </c>
      <c r="AB36">
        <v>20</v>
      </c>
      <c r="AC36">
        <f t="shared" si="161"/>
        <v>24</v>
      </c>
      <c r="AD36">
        <f>SUM(AA36:AC36)-60</f>
        <v>224</v>
      </c>
      <c r="AL36" t="s">
        <v>60</v>
      </c>
      <c r="AM36">
        <v>240</v>
      </c>
      <c r="AP36">
        <f>SUM(AM36:AO36)</f>
        <v>240</v>
      </c>
      <c r="AX36" t="s">
        <v>62</v>
      </c>
      <c r="AY36">
        <v>240</v>
      </c>
      <c r="AZ36">
        <v>20</v>
      </c>
      <c r="BA36">
        <f t="shared" si="163"/>
        <v>24</v>
      </c>
      <c r="BB36">
        <f>SUM(AY36:BA36)-60</f>
        <v>224</v>
      </c>
      <c r="BJ36" t="s">
        <v>60</v>
      </c>
      <c r="BK36">
        <v>250</v>
      </c>
      <c r="BL36">
        <v>20</v>
      </c>
      <c r="BM36">
        <f t="shared" si="204"/>
        <v>25</v>
      </c>
      <c r="BN36">
        <f>SUM(BK36:BM36)-60</f>
        <v>235</v>
      </c>
      <c r="BV36" t="s">
        <v>60</v>
      </c>
      <c r="BW36">
        <v>250</v>
      </c>
      <c r="BX36">
        <v>20</v>
      </c>
      <c r="BY36">
        <f t="shared" si="183"/>
        <v>25</v>
      </c>
      <c r="BZ36">
        <f>SUM(BW36:BY36)-60</f>
        <v>235</v>
      </c>
      <c r="CH36" t="s">
        <v>60</v>
      </c>
      <c r="CI36">
        <v>250</v>
      </c>
      <c r="CJ36">
        <v>20</v>
      </c>
      <c r="CK36">
        <f t="shared" si="184"/>
        <v>25</v>
      </c>
      <c r="CL36">
        <f>SUM(CI36:CK36)-60</f>
        <v>235</v>
      </c>
      <c r="CT36" t="s">
        <v>60</v>
      </c>
      <c r="CU36">
        <v>250</v>
      </c>
      <c r="CV36">
        <v>20</v>
      </c>
      <c r="CW36">
        <f t="shared" si="185"/>
        <v>25</v>
      </c>
      <c r="CX36">
        <f>SUM(CU36:CW36)-60</f>
        <v>235</v>
      </c>
      <c r="DF36" t="s">
        <v>95</v>
      </c>
      <c r="DG36">
        <v>200</v>
      </c>
      <c r="DH36">
        <v>20</v>
      </c>
      <c r="DI36">
        <f t="shared" ref="DI36:DI41" si="208">DG36*0.1</f>
        <v>20</v>
      </c>
      <c r="DJ36">
        <f>SUM(DG36:DI36)-60</f>
        <v>180</v>
      </c>
      <c r="DQ36" s="1" t="s">
        <v>34</v>
      </c>
      <c r="DR36" t="s">
        <v>62</v>
      </c>
      <c r="DS36">
        <v>260</v>
      </c>
      <c r="DT36">
        <v>20</v>
      </c>
      <c r="DU36">
        <f t="shared" si="207"/>
        <v>26</v>
      </c>
      <c r="DV36">
        <f>SUM(DS36:DU36)</f>
        <v>306</v>
      </c>
      <c r="EC36" s="1" t="s">
        <v>35</v>
      </c>
      <c r="ED36" t="s">
        <v>98</v>
      </c>
      <c r="EE36">
        <v>200</v>
      </c>
      <c r="EF36">
        <v>20</v>
      </c>
      <c r="EG36">
        <f t="shared" si="191"/>
        <v>20</v>
      </c>
      <c r="EH36">
        <f>SUM(EE36:EG36)-60</f>
        <v>180</v>
      </c>
      <c r="EO36" s="1" t="s">
        <v>35</v>
      </c>
      <c r="EP36" t="s">
        <v>98</v>
      </c>
      <c r="EQ36">
        <v>200</v>
      </c>
      <c r="ER36">
        <v>20</v>
      </c>
      <c r="ES36">
        <f t="shared" si="188"/>
        <v>20</v>
      </c>
      <c r="ET36">
        <f>SUM(EQ36:ES36)-60</f>
        <v>180</v>
      </c>
      <c r="FA36" s="1" t="s">
        <v>34</v>
      </c>
      <c r="FB36" t="s">
        <v>62</v>
      </c>
      <c r="FC36">
        <v>260</v>
      </c>
      <c r="FD36">
        <v>20</v>
      </c>
      <c r="FE36">
        <f t="shared" ref="FE36:FE38" si="209">FC36*0.1</f>
        <v>26</v>
      </c>
      <c r="FF36">
        <f>SUM(FC36:FE36)</f>
        <v>306</v>
      </c>
      <c r="FM36" s="1" t="s">
        <v>34</v>
      </c>
      <c r="FN36" t="s">
        <v>62</v>
      </c>
      <c r="FO36">
        <v>260</v>
      </c>
      <c r="FP36">
        <v>20</v>
      </c>
      <c r="FQ36">
        <f t="shared" ref="FQ36:FQ38" si="210">FO36*0.1</f>
        <v>26</v>
      </c>
      <c r="FR36">
        <f>SUM(FO36:FQ36)</f>
        <v>306</v>
      </c>
      <c r="FY36" s="1" t="s">
        <v>35</v>
      </c>
      <c r="FZ36" t="s">
        <v>44</v>
      </c>
      <c r="GA36">
        <v>280</v>
      </c>
      <c r="GB36">
        <v>80</v>
      </c>
      <c r="GC36">
        <f t="shared" ref="GC36" si="211">GA36*0.1</f>
        <v>28</v>
      </c>
      <c r="GD36">
        <f t="shared" ref="GD36:GD38" si="212">SUM(GA36:GC36)</f>
        <v>388</v>
      </c>
      <c r="GK36" s="1" t="s">
        <v>34</v>
      </c>
      <c r="GL36" t="s">
        <v>62</v>
      </c>
      <c r="GM36">
        <v>260</v>
      </c>
      <c r="GN36">
        <v>20</v>
      </c>
      <c r="GO36">
        <f t="shared" ref="GO36:GO38" si="213">GM36*0.1</f>
        <v>26</v>
      </c>
      <c r="GP36">
        <f>SUM(GM36:GO36)</f>
        <v>306</v>
      </c>
      <c r="GW36" s="3" t="s">
        <v>36</v>
      </c>
      <c r="GX36" t="s">
        <v>107</v>
      </c>
      <c r="GY36">
        <v>270</v>
      </c>
      <c r="GZ36">
        <v>20</v>
      </c>
      <c r="HA36">
        <f>GY36*0.1</f>
        <v>27</v>
      </c>
      <c r="HB36">
        <f t="shared" si="195"/>
        <v>317</v>
      </c>
      <c r="HI36" s="3" t="s">
        <v>36</v>
      </c>
      <c r="HJ36" t="s">
        <v>107</v>
      </c>
      <c r="HK36">
        <v>270</v>
      </c>
      <c r="HL36">
        <v>20</v>
      </c>
      <c r="HM36">
        <f>HK36*0.1</f>
        <v>27</v>
      </c>
      <c r="HN36">
        <f t="shared" si="197"/>
        <v>317</v>
      </c>
      <c r="HU36" s="3" t="s">
        <v>36</v>
      </c>
      <c r="HV36" t="s">
        <v>107</v>
      </c>
      <c r="HW36">
        <v>270</v>
      </c>
      <c r="HX36">
        <v>20</v>
      </c>
      <c r="HY36">
        <f>HW36*0.1</f>
        <v>27</v>
      </c>
      <c r="HZ36">
        <f t="shared" si="199"/>
        <v>317</v>
      </c>
      <c r="IG36" s="3" t="s">
        <v>36</v>
      </c>
      <c r="IH36" t="s">
        <v>107</v>
      </c>
      <c r="II36">
        <v>270</v>
      </c>
      <c r="IJ36">
        <v>20</v>
      </c>
      <c r="IK36">
        <f>II36*0.1</f>
        <v>27</v>
      </c>
      <c r="IL36">
        <f t="shared" si="201"/>
        <v>317</v>
      </c>
      <c r="IS36" s="3" t="s">
        <v>36</v>
      </c>
      <c r="IT36" t="s">
        <v>107</v>
      </c>
      <c r="IU36">
        <v>270</v>
      </c>
      <c r="IV36">
        <v>20</v>
      </c>
      <c r="IW36">
        <f>IU36*0.1</f>
        <v>27</v>
      </c>
      <c r="IX36">
        <f t="shared" si="203"/>
        <v>317</v>
      </c>
    </row>
    <row r="37" spans="2:258">
      <c r="B37" t="s">
        <v>60</v>
      </c>
      <c r="C37">
        <v>240</v>
      </c>
      <c r="F37">
        <f t="shared" ref="F37:F49" si="214">SUM(C37:E37)</f>
        <v>240</v>
      </c>
      <c r="N37" t="s">
        <v>60</v>
      </c>
      <c r="O37">
        <v>240</v>
      </c>
      <c r="R37">
        <f>SUM(O37:Q37)</f>
        <v>240</v>
      </c>
      <c r="Z37" t="s">
        <v>60</v>
      </c>
      <c r="AA37">
        <v>240</v>
      </c>
      <c r="AD37">
        <f>SUM(AA37:AC37)</f>
        <v>240</v>
      </c>
      <c r="AL37" t="s">
        <v>69</v>
      </c>
      <c r="AM37">
        <v>210</v>
      </c>
      <c r="AN37">
        <v>20</v>
      </c>
      <c r="AO37">
        <f t="shared" ref="AO37" si="215">AM37*0.1</f>
        <v>21</v>
      </c>
      <c r="AP37">
        <f>SUM(AM37:AO37)-60</f>
        <v>191</v>
      </c>
      <c r="AX37" t="s">
        <v>60</v>
      </c>
      <c r="AY37">
        <v>240</v>
      </c>
      <c r="BB37">
        <f>SUM(AY37:BA37)</f>
        <v>240</v>
      </c>
      <c r="BJ37" t="s">
        <v>69</v>
      </c>
      <c r="BK37">
        <v>210</v>
      </c>
      <c r="BL37">
        <v>20</v>
      </c>
      <c r="BM37">
        <f t="shared" si="204"/>
        <v>21</v>
      </c>
      <c r="BN37">
        <f>SUM(BK37:BM37)-60</f>
        <v>191</v>
      </c>
      <c r="BV37" t="s">
        <v>78</v>
      </c>
      <c r="BW37">
        <v>200</v>
      </c>
      <c r="BX37">
        <v>20</v>
      </c>
      <c r="BY37">
        <f t="shared" si="183"/>
        <v>20</v>
      </c>
      <c r="BZ37">
        <f>SUM(BW37:BY37)-60</f>
        <v>180</v>
      </c>
      <c r="CH37" t="s">
        <v>78</v>
      </c>
      <c r="CI37">
        <v>200</v>
      </c>
      <c r="CJ37">
        <v>20</v>
      </c>
      <c r="CK37">
        <f t="shared" si="184"/>
        <v>20</v>
      </c>
      <c r="CL37">
        <f>SUM(CI37:CK37)-60</f>
        <v>180</v>
      </c>
      <c r="CT37" t="s">
        <v>78</v>
      </c>
      <c r="CU37">
        <v>200</v>
      </c>
      <c r="CV37">
        <v>20</v>
      </c>
      <c r="CW37">
        <f t="shared" si="185"/>
        <v>20</v>
      </c>
      <c r="CX37">
        <f>SUM(CU37:CW37)-60</f>
        <v>180</v>
      </c>
      <c r="DF37" t="s">
        <v>61</v>
      </c>
      <c r="DG37">
        <v>210</v>
      </c>
      <c r="DH37">
        <v>20</v>
      </c>
      <c r="DI37">
        <f t="shared" si="208"/>
        <v>21</v>
      </c>
      <c r="DJ37">
        <f>SUM(DG37:DI37)</f>
        <v>251</v>
      </c>
      <c r="DQ37" s="1" t="s">
        <v>65</v>
      </c>
      <c r="DR37" t="s">
        <v>100</v>
      </c>
      <c r="DS37">
        <v>230</v>
      </c>
      <c r="DT37">
        <v>20</v>
      </c>
      <c r="DU37">
        <f t="shared" si="207"/>
        <v>23</v>
      </c>
      <c r="DV37">
        <f>SUM(DS37:DU37)-60</f>
        <v>213</v>
      </c>
      <c r="EC37" s="1" t="s">
        <v>34</v>
      </c>
      <c r="ED37" t="s">
        <v>62</v>
      </c>
      <c r="EE37">
        <v>260</v>
      </c>
      <c r="EF37">
        <v>20</v>
      </c>
      <c r="EG37">
        <f t="shared" si="191"/>
        <v>26</v>
      </c>
      <c r="EH37">
        <f>SUM(EE37:EG37)</f>
        <v>306</v>
      </c>
      <c r="EO37" s="1" t="s">
        <v>34</v>
      </c>
      <c r="EP37" t="s">
        <v>62</v>
      </c>
      <c r="EQ37">
        <v>260</v>
      </c>
      <c r="ER37">
        <v>20</v>
      </c>
      <c r="ES37">
        <f t="shared" si="188"/>
        <v>26</v>
      </c>
      <c r="ET37">
        <f>SUM(EQ37:ES37)</f>
        <v>306</v>
      </c>
      <c r="FA37" s="1" t="s">
        <v>65</v>
      </c>
      <c r="FB37" t="s">
        <v>100</v>
      </c>
      <c r="FC37">
        <v>230</v>
      </c>
      <c r="FD37">
        <v>20</v>
      </c>
      <c r="FE37">
        <f t="shared" si="209"/>
        <v>23</v>
      </c>
      <c r="FF37">
        <f>SUM(FC37:FE37)-60</f>
        <v>213</v>
      </c>
      <c r="FM37" s="1" t="s">
        <v>65</v>
      </c>
      <c r="FN37" t="s">
        <v>100</v>
      </c>
      <c r="FO37">
        <v>230</v>
      </c>
      <c r="FP37">
        <v>20</v>
      </c>
      <c r="FQ37">
        <f t="shared" si="210"/>
        <v>23</v>
      </c>
      <c r="FR37">
        <f>SUM(FO37:FQ37)-60</f>
        <v>213</v>
      </c>
      <c r="FY37" s="3" t="s">
        <v>65</v>
      </c>
      <c r="FZ37" t="s">
        <v>99</v>
      </c>
      <c r="GA37">
        <v>260</v>
      </c>
      <c r="GB37">
        <v>20</v>
      </c>
      <c r="GC37">
        <f>GA37*0.1</f>
        <v>26</v>
      </c>
      <c r="GD37">
        <f t="shared" si="212"/>
        <v>306</v>
      </c>
      <c r="GK37" s="1" t="s">
        <v>65</v>
      </c>
      <c r="GL37" t="s">
        <v>100</v>
      </c>
      <c r="GM37">
        <v>230</v>
      </c>
      <c r="GN37">
        <v>20</v>
      </c>
      <c r="GO37">
        <f t="shared" si="213"/>
        <v>23</v>
      </c>
      <c r="GP37">
        <f>SUM(GM37:GO37)-60</f>
        <v>213</v>
      </c>
      <c r="GW37" s="1" t="s">
        <v>35</v>
      </c>
      <c r="GX37" t="s">
        <v>114</v>
      </c>
      <c r="GY37">
        <f>200/0.967</f>
        <v>206.82523267838678</v>
      </c>
      <c r="HB37">
        <f>SUM(GY37:HA37)</f>
        <v>206.82523267838678</v>
      </c>
      <c r="HI37" s="1" t="s">
        <v>35</v>
      </c>
      <c r="HJ37" t="s">
        <v>114</v>
      </c>
      <c r="HK37">
        <f>200/0.967</f>
        <v>206.82523267838678</v>
      </c>
      <c r="HN37">
        <f>SUM(HK37:HM37)</f>
        <v>206.82523267838678</v>
      </c>
      <c r="HU37" s="1" t="s">
        <v>35</v>
      </c>
      <c r="HV37" t="s">
        <v>114</v>
      </c>
      <c r="HW37">
        <f>200/0.967</f>
        <v>206.82523267838678</v>
      </c>
      <c r="HZ37">
        <f>SUM(HW37:HY37)</f>
        <v>206.82523267838678</v>
      </c>
      <c r="IG37" s="1" t="s">
        <v>35</v>
      </c>
      <c r="IH37" t="s">
        <v>185</v>
      </c>
      <c r="II37">
        <f>200/0.967</f>
        <v>206.82523267838678</v>
      </c>
      <c r="IL37">
        <f>SUM(II37:IK37)</f>
        <v>206.82523267838678</v>
      </c>
      <c r="IS37" s="1" t="s">
        <v>35</v>
      </c>
      <c r="IT37" t="s">
        <v>114</v>
      </c>
      <c r="IX37">
        <f>SUM(IU37:IW37)</f>
        <v>0</v>
      </c>
    </row>
    <row r="38" spans="2:258">
      <c r="B38" t="s">
        <v>53</v>
      </c>
      <c r="C38">
        <f>9860*4*21.725/10000</f>
        <v>85.683400000000006</v>
      </c>
      <c r="F38">
        <f t="shared" si="214"/>
        <v>85.683400000000006</v>
      </c>
      <c r="N38" t="s">
        <v>53</v>
      </c>
      <c r="O38">
        <f>9860*209/2/10000</f>
        <v>103.03700000000001</v>
      </c>
      <c r="R38">
        <f>SUM(O38:Q38)</f>
        <v>103.03700000000001</v>
      </c>
      <c r="Z38" t="s">
        <v>69</v>
      </c>
      <c r="AA38">
        <v>210</v>
      </c>
      <c r="AB38">
        <v>20</v>
      </c>
      <c r="AC38">
        <f t="shared" si="161"/>
        <v>21</v>
      </c>
      <c r="AD38">
        <f>SUM(AA38:AC38)-60</f>
        <v>191</v>
      </c>
      <c r="AL38" t="s">
        <v>70</v>
      </c>
      <c r="AM38">
        <f>9860*209/2/10000</f>
        <v>103.03700000000001</v>
      </c>
      <c r="AP38">
        <f>SUM(AM38:AO38)</f>
        <v>103.03700000000001</v>
      </c>
      <c r="AX38" t="s">
        <v>69</v>
      </c>
      <c r="AY38">
        <v>210</v>
      </c>
      <c r="AZ38">
        <v>20</v>
      </c>
      <c r="BA38">
        <f t="shared" ref="BA38" si="216">AY38*0.1</f>
        <v>21</v>
      </c>
      <c r="BB38">
        <f>SUM(AY38:BA38)-60</f>
        <v>191</v>
      </c>
      <c r="BJ38" t="s">
        <v>47</v>
      </c>
      <c r="BK38">
        <v>210</v>
      </c>
      <c r="BL38">
        <v>20</v>
      </c>
      <c r="BM38">
        <f t="shared" ref="BM38" si="217">BK38*0.1</f>
        <v>21</v>
      </c>
      <c r="BN38">
        <f>SUM(BK38:BM38)</f>
        <v>251</v>
      </c>
      <c r="BV38" t="s">
        <v>69</v>
      </c>
      <c r="BW38">
        <v>210</v>
      </c>
      <c r="BX38">
        <v>20</v>
      </c>
      <c r="BY38">
        <f t="shared" si="183"/>
        <v>21</v>
      </c>
      <c r="BZ38">
        <f>SUM(BW38:BY38)-60</f>
        <v>191</v>
      </c>
      <c r="CH38" t="s">
        <v>69</v>
      </c>
      <c r="CI38">
        <v>210</v>
      </c>
      <c r="CJ38">
        <v>20</v>
      </c>
      <c r="CK38">
        <f t="shared" si="184"/>
        <v>21</v>
      </c>
      <c r="CL38">
        <f>SUM(CI38:CK38)-60</f>
        <v>191</v>
      </c>
      <c r="CT38" t="s">
        <v>69</v>
      </c>
      <c r="CU38">
        <v>210</v>
      </c>
      <c r="CV38">
        <v>20</v>
      </c>
      <c r="CW38">
        <f t="shared" si="185"/>
        <v>21</v>
      </c>
      <c r="CX38">
        <f>SUM(CU38:CW38)-60</f>
        <v>191</v>
      </c>
      <c r="DF38" t="s">
        <v>62</v>
      </c>
      <c r="DG38">
        <v>260</v>
      </c>
      <c r="DH38">
        <v>20</v>
      </c>
      <c r="DI38">
        <f t="shared" si="208"/>
        <v>26</v>
      </c>
      <c r="DJ38">
        <f>SUM(DG38:DI38)</f>
        <v>306</v>
      </c>
      <c r="DQ38" s="1" t="s">
        <v>38</v>
      </c>
      <c r="DR38" t="s">
        <v>78</v>
      </c>
      <c r="DS38">
        <v>200</v>
      </c>
      <c r="DT38">
        <v>20</v>
      </c>
      <c r="DU38">
        <f t="shared" si="207"/>
        <v>20</v>
      </c>
      <c r="DV38">
        <f>SUM(DS38:DU38)-60</f>
        <v>180</v>
      </c>
      <c r="EC38" s="1" t="s">
        <v>65</v>
      </c>
      <c r="ED38" t="s">
        <v>100</v>
      </c>
      <c r="EE38">
        <v>230</v>
      </c>
      <c r="EF38">
        <v>20</v>
      </c>
      <c r="EG38">
        <f t="shared" si="191"/>
        <v>23</v>
      </c>
      <c r="EH38">
        <f>SUM(EE38:EG38)-60</f>
        <v>213</v>
      </c>
      <c r="EO38" s="1" t="s">
        <v>65</v>
      </c>
      <c r="EP38" t="s">
        <v>100</v>
      </c>
      <c r="EQ38">
        <v>230</v>
      </c>
      <c r="ER38">
        <v>20</v>
      </c>
      <c r="ES38">
        <f t="shared" si="188"/>
        <v>23</v>
      </c>
      <c r="ET38">
        <f>SUM(EQ38:ES38)-60</f>
        <v>213</v>
      </c>
      <c r="FA38" s="1" t="s">
        <v>38</v>
      </c>
      <c r="FB38" t="s">
        <v>115</v>
      </c>
      <c r="FC38">
        <v>200</v>
      </c>
      <c r="FD38">
        <v>20</v>
      </c>
      <c r="FE38">
        <f t="shared" si="209"/>
        <v>20</v>
      </c>
      <c r="FF38">
        <f>SUM(FC38:FE38)-60</f>
        <v>180</v>
      </c>
      <c r="FM38" s="1" t="s">
        <v>38</v>
      </c>
      <c r="FN38" t="s">
        <v>115</v>
      </c>
      <c r="FO38">
        <v>200</v>
      </c>
      <c r="FP38">
        <v>20</v>
      </c>
      <c r="FQ38">
        <f t="shared" si="210"/>
        <v>20</v>
      </c>
      <c r="FR38">
        <f>SUM(FO38:FQ38)-60</f>
        <v>180</v>
      </c>
      <c r="FY38" s="3" t="s">
        <v>36</v>
      </c>
      <c r="FZ38" t="s">
        <v>107</v>
      </c>
      <c r="GA38">
        <v>270</v>
      </c>
      <c r="GB38">
        <v>20</v>
      </c>
      <c r="GC38">
        <f>GA38*0.1</f>
        <v>27</v>
      </c>
      <c r="GD38">
        <f t="shared" si="212"/>
        <v>317</v>
      </c>
      <c r="GK38" s="1" t="s">
        <v>38</v>
      </c>
      <c r="GL38" t="s">
        <v>115</v>
      </c>
      <c r="GM38">
        <v>200</v>
      </c>
      <c r="GN38">
        <v>20</v>
      </c>
      <c r="GO38">
        <f t="shared" si="213"/>
        <v>20</v>
      </c>
      <c r="GP38">
        <f>SUM(GM38:GO38)-60</f>
        <v>180</v>
      </c>
      <c r="GW38" s="1" t="s">
        <v>34</v>
      </c>
      <c r="GX38" t="s">
        <v>62</v>
      </c>
      <c r="GY38">
        <v>260</v>
      </c>
      <c r="GZ38">
        <v>20</v>
      </c>
      <c r="HA38">
        <f t="shared" ref="HA38:HA40" si="218">GY38*0.1</f>
        <v>26</v>
      </c>
      <c r="HB38">
        <f>SUM(GY38:HA38)</f>
        <v>306</v>
      </c>
      <c r="HI38" s="1" t="s">
        <v>34</v>
      </c>
      <c r="HJ38" t="s">
        <v>62</v>
      </c>
      <c r="HK38">
        <v>260</v>
      </c>
      <c r="HL38">
        <v>20</v>
      </c>
      <c r="HM38">
        <f t="shared" ref="HM38:HM40" si="219">HK38*0.1</f>
        <v>26</v>
      </c>
      <c r="HN38">
        <f>SUM(HK38:HM38)</f>
        <v>306</v>
      </c>
      <c r="HU38" s="1" t="s">
        <v>34</v>
      </c>
      <c r="HV38" t="s">
        <v>62</v>
      </c>
      <c r="HW38">
        <v>260</v>
      </c>
      <c r="HX38">
        <v>20</v>
      </c>
      <c r="HY38">
        <f t="shared" ref="HY38:HY40" si="220">HW38*0.1</f>
        <v>26</v>
      </c>
      <c r="HZ38">
        <f>SUM(HW38:HY38)</f>
        <v>306</v>
      </c>
      <c r="IG38" s="1" t="s">
        <v>34</v>
      </c>
      <c r="IH38" t="s">
        <v>62</v>
      </c>
      <c r="II38">
        <v>260</v>
      </c>
      <c r="IJ38">
        <v>20</v>
      </c>
      <c r="IK38">
        <f t="shared" ref="IK38:IK39" si="221">II38*0.1</f>
        <v>26</v>
      </c>
      <c r="IL38">
        <f>SUM(II38:IK38)</f>
        <v>306</v>
      </c>
      <c r="IS38" s="1" t="s">
        <v>34</v>
      </c>
      <c r="IT38" t="s">
        <v>62</v>
      </c>
      <c r="IU38">
        <v>260</v>
      </c>
      <c r="IV38">
        <v>20</v>
      </c>
      <c r="IW38">
        <f t="shared" ref="IW38:IW40" si="222">IU38*0.1</f>
        <v>26</v>
      </c>
      <c r="IX38">
        <f>SUM(IU38:IW38)</f>
        <v>306</v>
      </c>
    </row>
    <row r="39" spans="2:258">
      <c r="B39" t="s">
        <v>47</v>
      </c>
      <c r="C39">
        <v>210</v>
      </c>
      <c r="D39">
        <v>20</v>
      </c>
      <c r="E39">
        <f>C39*0.1</f>
        <v>21</v>
      </c>
      <c r="F39">
        <f t="shared" si="214"/>
        <v>251</v>
      </c>
      <c r="N39" t="s">
        <v>47</v>
      </c>
      <c r="O39">
        <v>210</v>
      </c>
      <c r="P39">
        <v>20</v>
      </c>
      <c r="Q39">
        <f t="shared" ref="Q39" si="223">O39*0.1</f>
        <v>21</v>
      </c>
      <c r="R39">
        <f>SUM(O39:Q39)</f>
        <v>251</v>
      </c>
      <c r="Z39" t="s">
        <v>70</v>
      </c>
      <c r="AA39">
        <f>9860*209/2/10000</f>
        <v>103.03700000000001</v>
      </c>
      <c r="AD39">
        <f>SUM(AA39:AC39)</f>
        <v>103.03700000000001</v>
      </c>
      <c r="AL39" t="s">
        <v>47</v>
      </c>
      <c r="AM39">
        <v>210</v>
      </c>
      <c r="AN39">
        <v>20</v>
      </c>
      <c r="AO39">
        <f t="shared" ref="AO39" si="224">AM39*0.1</f>
        <v>21</v>
      </c>
      <c r="AP39">
        <f>SUM(AM39:AO39)</f>
        <v>251</v>
      </c>
      <c r="AX39" t="s">
        <v>70</v>
      </c>
      <c r="AY39">
        <f>9860*209/2/10000</f>
        <v>103.03700000000001</v>
      </c>
      <c r="BB39">
        <f>SUM(AY39:BA39)</f>
        <v>103.03700000000001</v>
      </c>
      <c r="BJ39" t="s">
        <v>18</v>
      </c>
      <c r="BK39">
        <f>130+130+130</f>
        <v>390</v>
      </c>
      <c r="BN39">
        <f>SUM(BK39:BM39)-40</f>
        <v>350</v>
      </c>
      <c r="BV39" t="s">
        <v>77</v>
      </c>
      <c r="BW39">
        <v>220</v>
      </c>
      <c r="BZ39">
        <f>SUM(BW39:BY39)</f>
        <v>220</v>
      </c>
      <c r="CH39" t="s">
        <v>77</v>
      </c>
      <c r="CI39">
        <v>220</v>
      </c>
      <c r="CL39">
        <f>SUM(CI39:CK39)</f>
        <v>220</v>
      </c>
      <c r="CT39" t="s">
        <v>47</v>
      </c>
      <c r="CU39">
        <v>210</v>
      </c>
      <c r="CV39">
        <v>20</v>
      </c>
      <c r="CW39">
        <f t="shared" ref="CW39" si="225">CU39*0.1</f>
        <v>21</v>
      </c>
      <c r="CX39">
        <f>SUM(CU39:CW39)</f>
        <v>251</v>
      </c>
      <c r="DF39" t="s">
        <v>60</v>
      </c>
      <c r="DG39">
        <v>210</v>
      </c>
      <c r="DH39">
        <v>20</v>
      </c>
      <c r="DI39">
        <f t="shared" si="208"/>
        <v>21</v>
      </c>
      <c r="DJ39">
        <f>SUM(DG39:DI39)-60</f>
        <v>191</v>
      </c>
      <c r="DQ39" s="1" t="s">
        <v>38</v>
      </c>
      <c r="DR39" t="s">
        <v>96</v>
      </c>
      <c r="DS39">
        <v>220</v>
      </c>
      <c r="DV39">
        <f>SUM(DS39:DU39)</f>
        <v>220</v>
      </c>
      <c r="EC39" s="1" t="s">
        <v>38</v>
      </c>
      <c r="ED39" t="s">
        <v>78</v>
      </c>
      <c r="EE39">
        <v>200</v>
      </c>
      <c r="EF39">
        <v>20</v>
      </c>
      <c r="EG39">
        <f t="shared" si="191"/>
        <v>20</v>
      </c>
      <c r="EH39">
        <f>SUM(EE39:EG39)-60</f>
        <v>180</v>
      </c>
      <c r="EO39" s="1" t="s">
        <v>38</v>
      </c>
      <c r="EP39" t="s">
        <v>78</v>
      </c>
      <c r="EQ39">
        <v>200</v>
      </c>
      <c r="ER39">
        <v>20</v>
      </c>
      <c r="ES39">
        <f t="shared" si="188"/>
        <v>20</v>
      </c>
      <c r="ET39">
        <f>SUM(EQ39:ES39)-60</f>
        <v>180</v>
      </c>
      <c r="FA39" s="1" t="s">
        <v>36</v>
      </c>
      <c r="FB39" t="s">
        <v>108</v>
      </c>
      <c r="FC39">
        <v>230</v>
      </c>
      <c r="FF39">
        <f>SUM(FC39:FE39)</f>
        <v>230</v>
      </c>
      <c r="FM39" s="1" t="s">
        <v>36</v>
      </c>
      <c r="FN39" t="s">
        <v>108</v>
      </c>
      <c r="FO39">
        <v>230</v>
      </c>
      <c r="FR39">
        <v>0</v>
      </c>
      <c r="FY39" s="1" t="s">
        <v>35</v>
      </c>
      <c r="FZ39" t="s">
        <v>114</v>
      </c>
      <c r="GA39">
        <f>200/0.967</f>
        <v>206.82523267838678</v>
      </c>
      <c r="GD39">
        <f>SUM(GA39:GC39)</f>
        <v>206.82523267838678</v>
      </c>
      <c r="GK39" s="1" t="s">
        <v>36</v>
      </c>
      <c r="GL39" t="s">
        <v>108</v>
      </c>
      <c r="GM39">
        <v>230</v>
      </c>
      <c r="GP39">
        <f>SUM(GM39:GO39)</f>
        <v>230</v>
      </c>
      <c r="GW39" s="1" t="s">
        <v>65</v>
      </c>
      <c r="GX39" t="s">
        <v>100</v>
      </c>
      <c r="GY39">
        <v>230</v>
      </c>
      <c r="GZ39">
        <v>20</v>
      </c>
      <c r="HA39">
        <f t="shared" si="218"/>
        <v>23</v>
      </c>
      <c r="HB39">
        <f>SUM(GY39:HA39)-60</f>
        <v>213</v>
      </c>
      <c r="HI39" s="1" t="s">
        <v>65</v>
      </c>
      <c r="HJ39" t="s">
        <v>100</v>
      </c>
      <c r="HK39">
        <v>230</v>
      </c>
      <c r="HL39">
        <v>20</v>
      </c>
      <c r="HM39">
        <f t="shared" si="219"/>
        <v>23</v>
      </c>
      <c r="HN39">
        <f>SUM(HK39:HM39)-60</f>
        <v>213</v>
      </c>
      <c r="HU39" s="1" t="s">
        <v>65</v>
      </c>
      <c r="HV39" t="s">
        <v>100</v>
      </c>
      <c r="HW39">
        <v>230</v>
      </c>
      <c r="HX39">
        <v>20</v>
      </c>
      <c r="HY39">
        <f t="shared" si="220"/>
        <v>23</v>
      </c>
      <c r="HZ39">
        <f>SUM(HW39:HY39)-60</f>
        <v>213</v>
      </c>
      <c r="IG39" s="1" t="s">
        <v>65</v>
      </c>
      <c r="IH39" t="s">
        <v>100</v>
      </c>
      <c r="II39">
        <v>230</v>
      </c>
      <c r="IJ39">
        <v>20</v>
      </c>
      <c r="IK39">
        <f t="shared" si="221"/>
        <v>23</v>
      </c>
      <c r="IL39">
        <f>SUM(II39:IK39)-60</f>
        <v>213</v>
      </c>
      <c r="IS39" s="1" t="s">
        <v>65</v>
      </c>
      <c r="IT39" t="s">
        <v>100</v>
      </c>
      <c r="IU39">
        <v>235</v>
      </c>
      <c r="IV39">
        <v>20</v>
      </c>
      <c r="IW39">
        <f t="shared" si="222"/>
        <v>23.5</v>
      </c>
      <c r="IX39">
        <f>SUM(IU39:IW39)-60</f>
        <v>218.5</v>
      </c>
    </row>
    <row r="40" spans="2:258">
      <c r="B40" t="s">
        <v>18</v>
      </c>
      <c r="C40">
        <f>150+120+100</f>
        <v>370</v>
      </c>
      <c r="F40">
        <f t="shared" si="214"/>
        <v>370</v>
      </c>
      <c r="N40" t="s">
        <v>18</v>
      </c>
      <c r="O40">
        <f>150+120+130</f>
        <v>400</v>
      </c>
      <c r="R40">
        <f t="shared" ref="R40:R49" si="226">SUM(O40:Q40)</f>
        <v>400</v>
      </c>
      <c r="Z40" t="s">
        <v>47</v>
      </c>
      <c r="AA40">
        <v>210</v>
      </c>
      <c r="AB40">
        <v>20</v>
      </c>
      <c r="AC40">
        <f t="shared" ref="AC40" si="227">AA40*0.1</f>
        <v>21</v>
      </c>
      <c r="AD40">
        <f>SUM(AA40:AC40)</f>
        <v>251</v>
      </c>
      <c r="AL40" t="s">
        <v>18</v>
      </c>
      <c r="AM40">
        <f>150+120+130</f>
        <v>400</v>
      </c>
      <c r="AP40">
        <f>SUM(AM40:AO40)-40</f>
        <v>360</v>
      </c>
      <c r="AX40" t="s">
        <v>47</v>
      </c>
      <c r="AY40">
        <v>210</v>
      </c>
      <c r="AZ40">
        <v>20</v>
      </c>
      <c r="BA40">
        <f t="shared" ref="BA40" si="228">AY40*0.1</f>
        <v>21</v>
      </c>
      <c r="BB40">
        <f>SUM(AY40:BA40)</f>
        <v>251</v>
      </c>
      <c r="BJ40" t="s">
        <v>19</v>
      </c>
      <c r="BK40">
        <f>320+270+250</f>
        <v>840</v>
      </c>
      <c r="BN40">
        <f t="shared" ref="BN40:BN48" si="229">SUM(BK40:BM40)</f>
        <v>840</v>
      </c>
      <c r="BV40" t="s">
        <v>47</v>
      </c>
      <c r="BW40">
        <v>210</v>
      </c>
      <c r="BX40">
        <v>20</v>
      </c>
      <c r="BY40">
        <f t="shared" ref="BY40" si="230">BW40*0.1</f>
        <v>21</v>
      </c>
      <c r="BZ40">
        <f>SUM(BW40:BY40)</f>
        <v>251</v>
      </c>
      <c r="CH40" t="s">
        <v>47</v>
      </c>
      <c r="CI40">
        <v>210</v>
      </c>
      <c r="CJ40">
        <v>20</v>
      </c>
      <c r="CK40">
        <f t="shared" ref="CK40" si="231">CI40*0.1</f>
        <v>21</v>
      </c>
      <c r="CL40">
        <f>SUM(CI40:CK40)</f>
        <v>251</v>
      </c>
      <c r="CT40" t="s">
        <v>18</v>
      </c>
      <c r="CU40">
        <f>130+130+130</f>
        <v>390</v>
      </c>
      <c r="CX40">
        <f>SUM(CU40:CW40)-40</f>
        <v>350</v>
      </c>
      <c r="DF40" t="s">
        <v>78</v>
      </c>
      <c r="DG40">
        <v>200</v>
      </c>
      <c r="DH40">
        <v>20</v>
      </c>
      <c r="DI40">
        <f t="shared" si="208"/>
        <v>20</v>
      </c>
      <c r="DJ40">
        <f>SUM(DG40:DI40)-60</f>
        <v>180</v>
      </c>
      <c r="DQ40" s="1" t="s">
        <v>39</v>
      </c>
      <c r="DR40" t="s">
        <v>101</v>
      </c>
      <c r="DS40">
        <v>210</v>
      </c>
      <c r="DT40">
        <v>20</v>
      </c>
      <c r="DU40">
        <f t="shared" si="207"/>
        <v>21</v>
      </c>
      <c r="DV40">
        <f>SUM(DS40:DU40)</f>
        <v>251</v>
      </c>
      <c r="EC40" s="1" t="s">
        <v>82</v>
      </c>
      <c r="ED40" t="s">
        <v>96</v>
      </c>
      <c r="EE40">
        <v>220</v>
      </c>
      <c r="EH40">
        <f>SUM(EE40:EG40)</f>
        <v>220</v>
      </c>
      <c r="EO40" s="1" t="s">
        <v>36</v>
      </c>
      <c r="EP40" t="s">
        <v>108</v>
      </c>
      <c r="EQ40">
        <v>230</v>
      </c>
      <c r="ET40">
        <f>SUM(EQ40:ES40)</f>
        <v>230</v>
      </c>
      <c r="FA40" s="1" t="s">
        <v>82</v>
      </c>
      <c r="FB40" t="s">
        <v>96</v>
      </c>
      <c r="FC40">
        <v>220</v>
      </c>
      <c r="FF40">
        <f>SUM(FC40:FE40)</f>
        <v>220</v>
      </c>
      <c r="FM40" s="1" t="s">
        <v>82</v>
      </c>
      <c r="FN40" t="s">
        <v>96</v>
      </c>
      <c r="FO40">
        <v>220</v>
      </c>
      <c r="FR40">
        <f>SUM(FO40:FQ40)</f>
        <v>220</v>
      </c>
      <c r="FY40" s="1" t="s">
        <v>34</v>
      </c>
      <c r="FZ40" t="s">
        <v>62</v>
      </c>
      <c r="GA40">
        <v>260</v>
      </c>
      <c r="GB40">
        <v>20</v>
      </c>
      <c r="GC40">
        <f t="shared" ref="GC40:GC42" si="232">GA40*0.1</f>
        <v>26</v>
      </c>
      <c r="GD40">
        <f>SUM(GA40:GC40)</f>
        <v>306</v>
      </c>
      <c r="GK40" s="1" t="s">
        <v>82</v>
      </c>
      <c r="GL40" t="s">
        <v>96</v>
      </c>
      <c r="GM40">
        <v>220</v>
      </c>
      <c r="GP40">
        <f>SUM(GM40:GO40)</f>
        <v>220</v>
      </c>
      <c r="GW40" s="1" t="s">
        <v>38</v>
      </c>
      <c r="GX40" t="s">
        <v>115</v>
      </c>
      <c r="GY40">
        <v>200</v>
      </c>
      <c r="GZ40">
        <v>20</v>
      </c>
      <c r="HA40">
        <f t="shared" si="218"/>
        <v>20</v>
      </c>
      <c r="HB40">
        <f>SUM(GY40:HA40)-60</f>
        <v>180</v>
      </c>
      <c r="HI40" s="1" t="s">
        <v>38</v>
      </c>
      <c r="HJ40" t="s">
        <v>115</v>
      </c>
      <c r="HK40">
        <v>200</v>
      </c>
      <c r="HL40">
        <v>20</v>
      </c>
      <c r="HM40">
        <f t="shared" si="219"/>
        <v>20</v>
      </c>
      <c r="HN40">
        <f>SUM(HK40:HM40)-60</f>
        <v>180</v>
      </c>
      <c r="HU40" s="1" t="s">
        <v>38</v>
      </c>
      <c r="HV40" t="s">
        <v>115</v>
      </c>
      <c r="HW40">
        <v>200</v>
      </c>
      <c r="HX40">
        <v>20</v>
      </c>
      <c r="HY40">
        <f t="shared" si="220"/>
        <v>20</v>
      </c>
      <c r="HZ40">
        <f>SUM(HW40:HY40)-60</f>
        <v>180</v>
      </c>
      <c r="IG40" s="1" t="s">
        <v>38</v>
      </c>
      <c r="IH40" t="s">
        <v>182</v>
      </c>
      <c r="II40">
        <v>230</v>
      </c>
      <c r="IL40">
        <f>SUM(II40:IK40)</f>
        <v>230</v>
      </c>
      <c r="IS40" s="1" t="s">
        <v>38</v>
      </c>
      <c r="IT40" t="s">
        <v>115</v>
      </c>
      <c r="IU40">
        <v>210</v>
      </c>
      <c r="IV40">
        <v>20</v>
      </c>
      <c r="IW40">
        <f t="shared" si="222"/>
        <v>21</v>
      </c>
      <c r="IX40">
        <f>SUM(IU40:IW40)-60</f>
        <v>191</v>
      </c>
    </row>
    <row r="41" spans="2:258">
      <c r="B41" t="s">
        <v>19</v>
      </c>
      <c r="C41">
        <f>330+250+250</f>
        <v>830</v>
      </c>
      <c r="F41">
        <f t="shared" si="214"/>
        <v>830</v>
      </c>
      <c r="N41" t="s">
        <v>19</v>
      </c>
      <c r="O41">
        <f>330+250+250</f>
        <v>830</v>
      </c>
      <c r="R41">
        <f t="shared" si="226"/>
        <v>830</v>
      </c>
      <c r="Z41" t="s">
        <v>18</v>
      </c>
      <c r="AA41">
        <f>150+120+130</f>
        <v>400</v>
      </c>
      <c r="AC41">
        <v>9</v>
      </c>
      <c r="AD41">
        <f>SUM(AA41:AC41)-40</f>
        <v>369</v>
      </c>
      <c r="AL41" t="s">
        <v>19</v>
      </c>
      <c r="AM41">
        <f>330+250+250</f>
        <v>830</v>
      </c>
      <c r="AP41">
        <f t="shared" ref="AP41:AP49" si="233">SUM(AM41:AO41)</f>
        <v>830</v>
      </c>
      <c r="AX41" t="s">
        <v>18</v>
      </c>
      <c r="AY41">
        <f>150+120+130</f>
        <v>400</v>
      </c>
      <c r="BB41">
        <f>SUM(AY41:BA41)-40</f>
        <v>360</v>
      </c>
      <c r="BJ41" t="s">
        <v>7</v>
      </c>
      <c r="BK41">
        <f>12*SUM(BL2:BL7)+8*COUNTA(BJ25:BJ38)</f>
        <v>628</v>
      </c>
      <c r="BN41">
        <f t="shared" si="229"/>
        <v>628</v>
      </c>
      <c r="BV41" t="s">
        <v>18</v>
      </c>
      <c r="BW41">
        <f>130+130</f>
        <v>260</v>
      </c>
      <c r="BZ41">
        <f>SUM(BW41:BY41)-40</f>
        <v>220</v>
      </c>
      <c r="CH41" t="s">
        <v>18</v>
      </c>
      <c r="CI41">
        <f>130+130</f>
        <v>260</v>
      </c>
      <c r="CL41">
        <f>SUM(CI41:CK41)-40</f>
        <v>220</v>
      </c>
      <c r="CT41" t="s">
        <v>76</v>
      </c>
      <c r="CU41">
        <f>0.986*21*2.5</f>
        <v>51.765000000000001</v>
      </c>
      <c r="CX41">
        <f t="shared" ref="CX41:CX52" si="234">SUM(CU41:CW41)</f>
        <v>51.765000000000001</v>
      </c>
      <c r="DF41" t="s">
        <v>94</v>
      </c>
      <c r="DG41">
        <v>200</v>
      </c>
      <c r="DH41">
        <v>20</v>
      </c>
      <c r="DI41">
        <f t="shared" si="208"/>
        <v>20</v>
      </c>
      <c r="DJ41">
        <f>SUM(DG41:DI41)-60</f>
        <v>180</v>
      </c>
      <c r="DR41" t="s">
        <v>47</v>
      </c>
      <c r="DS41">
        <v>210</v>
      </c>
      <c r="DT41">
        <v>20</v>
      </c>
      <c r="DU41">
        <f t="shared" ref="DU41" si="235">DS41*0.1</f>
        <v>21</v>
      </c>
      <c r="DV41">
        <f>SUM(DS41:DU41)</f>
        <v>251</v>
      </c>
      <c r="EC41" s="1" t="s">
        <v>39</v>
      </c>
      <c r="ED41" t="s">
        <v>101</v>
      </c>
      <c r="EE41">
        <v>210</v>
      </c>
      <c r="EF41">
        <v>20</v>
      </c>
      <c r="EG41">
        <f t="shared" ref="EG41:EG43" si="236">EE41*0.1</f>
        <v>21</v>
      </c>
      <c r="EH41">
        <f>SUM(EE41:EG41)</f>
        <v>251</v>
      </c>
      <c r="EO41" s="1" t="s">
        <v>82</v>
      </c>
      <c r="EP41" t="s">
        <v>96</v>
      </c>
      <c r="EQ41">
        <v>220</v>
      </c>
      <c r="ET41">
        <f>SUM(EQ41:ES41)</f>
        <v>220</v>
      </c>
      <c r="FA41" s="1" t="s">
        <v>39</v>
      </c>
      <c r="FB41" t="s">
        <v>101</v>
      </c>
      <c r="FC41">
        <v>210</v>
      </c>
      <c r="FD41">
        <v>20</v>
      </c>
      <c r="FE41">
        <f t="shared" ref="FE41:FE42" si="237">FC41*0.1</f>
        <v>21</v>
      </c>
      <c r="FF41">
        <f>SUM(FC41:FE41)</f>
        <v>251</v>
      </c>
      <c r="FM41" s="1" t="s">
        <v>39</v>
      </c>
      <c r="FN41" t="s">
        <v>101</v>
      </c>
      <c r="FO41">
        <v>210</v>
      </c>
      <c r="FP41">
        <v>20</v>
      </c>
      <c r="FQ41">
        <f t="shared" ref="FQ41:FQ42" si="238">FO41*0.1</f>
        <v>21</v>
      </c>
      <c r="FR41">
        <f>SUM(FO41:FQ41)</f>
        <v>251</v>
      </c>
      <c r="FY41" s="1" t="s">
        <v>65</v>
      </c>
      <c r="FZ41" t="s">
        <v>100</v>
      </c>
      <c r="GA41">
        <v>230</v>
      </c>
      <c r="GB41">
        <v>20</v>
      </c>
      <c r="GC41">
        <f t="shared" si="232"/>
        <v>23</v>
      </c>
      <c r="GD41">
        <f>SUM(GA41:GC41)-60</f>
        <v>213</v>
      </c>
      <c r="GK41" s="1" t="s">
        <v>39</v>
      </c>
      <c r="GL41" t="s">
        <v>101</v>
      </c>
      <c r="GM41">
        <v>210</v>
      </c>
      <c r="GN41">
        <v>20</v>
      </c>
      <c r="GO41">
        <f t="shared" ref="GO41:GO42" si="239">GM41*0.1</f>
        <v>21</v>
      </c>
      <c r="GP41">
        <f>SUM(GM41:GO41)</f>
        <v>251</v>
      </c>
      <c r="GW41" s="1" t="s">
        <v>36</v>
      </c>
      <c r="GX41" t="s">
        <v>108</v>
      </c>
      <c r="GY41">
        <v>230</v>
      </c>
      <c r="HI41" s="1" t="s">
        <v>36</v>
      </c>
      <c r="HJ41" t="s">
        <v>108</v>
      </c>
      <c r="HK41">
        <v>230</v>
      </c>
      <c r="HU41" s="1" t="s">
        <v>36</v>
      </c>
      <c r="HV41" t="s">
        <v>108</v>
      </c>
      <c r="HW41">
        <v>230</v>
      </c>
      <c r="HZ41">
        <f>SUM(HW41:HY41)</f>
        <v>230</v>
      </c>
      <c r="IG41" s="1" t="s">
        <v>36</v>
      </c>
      <c r="IH41" t="s">
        <v>108</v>
      </c>
      <c r="II41">
        <v>230</v>
      </c>
      <c r="IL41">
        <f>SUM(II41:IK41)</f>
        <v>230</v>
      </c>
      <c r="IS41" s="1" t="s">
        <v>36</v>
      </c>
      <c r="IT41" t="s">
        <v>108</v>
      </c>
      <c r="IX41">
        <f>SUM(IU41:IW41)</f>
        <v>0</v>
      </c>
    </row>
    <row r="42" spans="2:258">
      <c r="B42" t="s">
        <v>7</v>
      </c>
      <c r="C42">
        <f>12*SUM(D2:D7)+8*COUNTA(B25:B39)</f>
        <v>612</v>
      </c>
      <c r="F42">
        <f t="shared" si="214"/>
        <v>612</v>
      </c>
      <c r="N42" t="s">
        <v>7</v>
      </c>
      <c r="O42">
        <f>12*SUM(P2:P7)+8*COUNTA(N25:N39)</f>
        <v>600</v>
      </c>
      <c r="R42">
        <f t="shared" si="226"/>
        <v>600</v>
      </c>
      <c r="Z42" t="s">
        <v>19</v>
      </c>
      <c r="AA42">
        <f>330+250+250</f>
        <v>830</v>
      </c>
      <c r="AD42">
        <f t="shared" ref="AD42:AD50" si="240">SUM(AA42:AC42)</f>
        <v>830</v>
      </c>
      <c r="AL42" t="s">
        <v>7</v>
      </c>
      <c r="AM42">
        <f>12*SUM(AN2:AN7)+8*COUNTA(AL24:AL39)</f>
        <v>632</v>
      </c>
      <c r="AP42">
        <f t="shared" si="233"/>
        <v>632</v>
      </c>
      <c r="AX42" t="s">
        <v>19</v>
      </c>
      <c r="AY42">
        <f>330+250+250</f>
        <v>830</v>
      </c>
      <c r="BB42">
        <f t="shared" ref="BB42:BB50" si="241">SUM(AY42:BA42)</f>
        <v>830</v>
      </c>
      <c r="BJ42" t="s">
        <v>20</v>
      </c>
      <c r="BK42">
        <v>15</v>
      </c>
      <c r="BN42">
        <f t="shared" si="229"/>
        <v>15</v>
      </c>
      <c r="BV42" t="s">
        <v>76</v>
      </c>
      <c r="BW42">
        <f>0.986*21*2.5</f>
        <v>51.765000000000001</v>
      </c>
      <c r="BZ42">
        <f t="shared" ref="BZ42:BZ53" si="242">SUM(BW42:BY42)</f>
        <v>51.765000000000001</v>
      </c>
      <c r="CH42" t="s">
        <v>76</v>
      </c>
      <c r="CI42">
        <f>0.986*21*2.5</f>
        <v>51.765000000000001</v>
      </c>
      <c r="CL42">
        <f t="shared" ref="CL42:CL53" si="243">SUM(CI42:CK42)</f>
        <v>51.765000000000001</v>
      </c>
      <c r="CT42" t="s">
        <v>19</v>
      </c>
      <c r="CU42">
        <f>320+270+250</f>
        <v>840</v>
      </c>
      <c r="CX42">
        <f t="shared" si="234"/>
        <v>840</v>
      </c>
      <c r="DF42" t="s">
        <v>47</v>
      </c>
      <c r="DG42">
        <v>220</v>
      </c>
      <c r="DH42">
        <v>20</v>
      </c>
      <c r="DI42">
        <f t="shared" ref="DI42" si="244">DG42*0.1</f>
        <v>22</v>
      </c>
      <c r="DJ42">
        <f>SUM(DG42:DI42)</f>
        <v>262</v>
      </c>
      <c r="DR42" t="s">
        <v>18</v>
      </c>
      <c r="DS42">
        <f>140+140+95+35</f>
        <v>410</v>
      </c>
      <c r="DV42">
        <f>SUM(DS42:DU42)</f>
        <v>410</v>
      </c>
      <c r="EC42" s="1" t="s">
        <v>36</v>
      </c>
      <c r="ED42" t="s">
        <v>88</v>
      </c>
      <c r="EE42">
        <v>230</v>
      </c>
      <c r="EH42">
        <f>SUM(EE42:EG42)</f>
        <v>230</v>
      </c>
      <c r="EO42" s="1" t="s">
        <v>39</v>
      </c>
      <c r="EP42" t="s">
        <v>101</v>
      </c>
      <c r="EQ42">
        <v>210</v>
      </c>
      <c r="ER42">
        <v>20</v>
      </c>
      <c r="ES42">
        <f t="shared" ref="ES42:ES43" si="245">EQ42*0.1</f>
        <v>21</v>
      </c>
      <c r="ET42">
        <f>SUM(EQ42:ES42)</f>
        <v>251</v>
      </c>
      <c r="FB42" t="s">
        <v>116</v>
      </c>
      <c r="FC42">
        <v>200</v>
      </c>
      <c r="FD42">
        <v>20</v>
      </c>
      <c r="FE42">
        <f t="shared" si="237"/>
        <v>20</v>
      </c>
      <c r="FF42">
        <f>SUM(FC42:FE42)</f>
        <v>240</v>
      </c>
      <c r="FN42" t="s">
        <v>116</v>
      </c>
      <c r="FO42">
        <v>200</v>
      </c>
      <c r="FP42">
        <v>20</v>
      </c>
      <c r="FQ42">
        <f t="shared" si="238"/>
        <v>20</v>
      </c>
      <c r="FR42">
        <f>SUM(FO42:FQ42)</f>
        <v>240</v>
      </c>
      <c r="FY42" s="1" t="s">
        <v>38</v>
      </c>
      <c r="FZ42" t="s">
        <v>115</v>
      </c>
      <c r="GA42">
        <v>200</v>
      </c>
      <c r="GB42">
        <v>20</v>
      </c>
      <c r="GC42">
        <f t="shared" si="232"/>
        <v>20</v>
      </c>
      <c r="GD42">
        <f>SUM(GA42:GC42)-60</f>
        <v>180</v>
      </c>
      <c r="GL42" t="s">
        <v>116</v>
      </c>
      <c r="GM42">
        <v>200</v>
      </c>
      <c r="GN42">
        <v>20</v>
      </c>
      <c r="GO42">
        <f t="shared" si="239"/>
        <v>20</v>
      </c>
      <c r="GP42">
        <f>SUM(GM42:GO42)</f>
        <v>240</v>
      </c>
      <c r="GW42" s="1" t="s">
        <v>82</v>
      </c>
      <c r="GX42" t="s">
        <v>96</v>
      </c>
      <c r="GY42">
        <v>220</v>
      </c>
      <c r="HB42">
        <f>SUM(GY42:HA42)</f>
        <v>220</v>
      </c>
      <c r="HI42" s="1" t="s">
        <v>82</v>
      </c>
      <c r="HJ42" t="s">
        <v>96</v>
      </c>
      <c r="HK42">
        <v>220</v>
      </c>
      <c r="HN42">
        <f>SUM(HK42:HM42)</f>
        <v>220</v>
      </c>
      <c r="HU42" s="1" t="s">
        <v>82</v>
      </c>
      <c r="HV42" t="s">
        <v>96</v>
      </c>
      <c r="HW42">
        <v>220</v>
      </c>
      <c r="HZ42">
        <f>SUM(HW42:HY42)</f>
        <v>220</v>
      </c>
      <c r="IG42" s="1" t="s">
        <v>82</v>
      </c>
      <c r="IH42" t="s">
        <v>184</v>
      </c>
      <c r="II42">
        <v>220</v>
      </c>
      <c r="IL42">
        <f>SUM(II42:IK42)</f>
        <v>220</v>
      </c>
      <c r="IS42" s="1" t="s">
        <v>82</v>
      </c>
      <c r="IT42" t="s">
        <v>96</v>
      </c>
      <c r="IU42">
        <v>230</v>
      </c>
      <c r="IX42">
        <f>SUM(IU42:IW42)</f>
        <v>230</v>
      </c>
    </row>
    <row r="43" spans="2:258">
      <c r="B43" t="s">
        <v>20</v>
      </c>
      <c r="C43">
        <v>15</v>
      </c>
      <c r="F43">
        <f t="shared" si="214"/>
        <v>15</v>
      </c>
      <c r="N43" t="s">
        <v>20</v>
      </c>
      <c r="O43">
        <v>15</v>
      </c>
      <c r="R43">
        <f t="shared" si="226"/>
        <v>15</v>
      </c>
      <c r="Z43" t="s">
        <v>7</v>
      </c>
      <c r="AA43">
        <f>12*SUM(AB2:AB7)+8*COUNTA(Z25:Z40)</f>
        <v>608</v>
      </c>
      <c r="AD43">
        <f t="shared" si="240"/>
        <v>608</v>
      </c>
      <c r="AL43" t="s">
        <v>20</v>
      </c>
      <c r="AM43">
        <v>15</v>
      </c>
      <c r="AP43">
        <f t="shared" si="233"/>
        <v>15</v>
      </c>
      <c r="AX43" t="s">
        <v>7</v>
      </c>
      <c r="AY43">
        <f>12*SUM(AZ2:AZ7)+8*COUNTA(AX25:AX40)</f>
        <v>632</v>
      </c>
      <c r="BB43">
        <f t="shared" si="241"/>
        <v>632</v>
      </c>
      <c r="BJ43" t="s">
        <v>40</v>
      </c>
      <c r="BK43">
        <v>35</v>
      </c>
      <c r="BN43">
        <f t="shared" si="229"/>
        <v>35</v>
      </c>
      <c r="BV43" t="s">
        <v>19</v>
      </c>
      <c r="BW43">
        <f>320+270+250</f>
        <v>840</v>
      </c>
      <c r="BZ43">
        <f t="shared" si="242"/>
        <v>840</v>
      </c>
      <c r="CH43" t="s">
        <v>19</v>
      </c>
      <c r="CI43">
        <f>320+270+250</f>
        <v>840</v>
      </c>
      <c r="CL43">
        <f t="shared" si="243"/>
        <v>840</v>
      </c>
      <c r="CT43" t="s">
        <v>7</v>
      </c>
      <c r="CU43">
        <f>(0.6*SUM(CV2:CV7)+0.4*COUNTA(CT26:CT39))*21</f>
        <v>583.80000000000007</v>
      </c>
      <c r="CX43">
        <f t="shared" si="234"/>
        <v>583.80000000000007</v>
      </c>
      <c r="DF43" t="s">
        <v>18</v>
      </c>
      <c r="DG43">
        <f>140+140+140+140</f>
        <v>560</v>
      </c>
      <c r="DJ43">
        <f>SUM(DG43:DI43)</f>
        <v>560</v>
      </c>
      <c r="DR43" t="s">
        <v>76</v>
      </c>
      <c r="DS43">
        <f>0.986*21*2.5</f>
        <v>51.765000000000001</v>
      </c>
      <c r="ED43" t="s">
        <v>47</v>
      </c>
      <c r="EE43">
        <v>210</v>
      </c>
      <c r="EF43">
        <v>20</v>
      </c>
      <c r="EG43">
        <f t="shared" si="236"/>
        <v>21</v>
      </c>
      <c r="EH43">
        <f>SUM(EE43:EG43)</f>
        <v>251</v>
      </c>
      <c r="EP43" t="s">
        <v>112</v>
      </c>
      <c r="EQ43">
        <v>190</v>
      </c>
      <c r="ER43">
        <v>20</v>
      </c>
      <c r="ES43">
        <f t="shared" si="245"/>
        <v>19</v>
      </c>
      <c r="ET43">
        <f>SUM(EQ43:ES43)-60</f>
        <v>169</v>
      </c>
      <c r="FB43" t="s">
        <v>18</v>
      </c>
      <c r="FC43">
        <f>135-40+130+130+2*22</f>
        <v>399</v>
      </c>
      <c r="FF43">
        <f>SUM(FC43:FE43)-30</f>
        <v>369</v>
      </c>
      <c r="FN43" t="s">
        <v>18</v>
      </c>
      <c r="FO43">
        <f>135-40+130+130+2*22</f>
        <v>399</v>
      </c>
      <c r="FR43">
        <f>SUM(FO43:FQ43)-30</f>
        <v>369</v>
      </c>
      <c r="FY43" s="1" t="s">
        <v>36</v>
      </c>
      <c r="FZ43" t="s">
        <v>108</v>
      </c>
      <c r="GA43">
        <v>230</v>
      </c>
      <c r="GD43">
        <f>SUM(GA43:GC43)</f>
        <v>230</v>
      </c>
      <c r="GL43" t="s">
        <v>18</v>
      </c>
      <c r="GM43">
        <f>135-40+130+130+2*22</f>
        <v>399</v>
      </c>
      <c r="GP43">
        <f>SUM(GM43:GO43)-30</f>
        <v>369</v>
      </c>
      <c r="GW43" s="1" t="s">
        <v>39</v>
      </c>
      <c r="GX43" t="s">
        <v>101</v>
      </c>
      <c r="GY43">
        <v>210</v>
      </c>
      <c r="GZ43">
        <v>20</v>
      </c>
      <c r="HA43">
        <f t="shared" ref="HA43:HA44" si="246">GY43*0.1</f>
        <v>21</v>
      </c>
      <c r="HB43">
        <f>SUM(GY43:HA43)</f>
        <v>251</v>
      </c>
      <c r="HI43" s="1" t="s">
        <v>39</v>
      </c>
      <c r="HJ43" t="s">
        <v>101</v>
      </c>
      <c r="HK43">
        <v>210</v>
      </c>
      <c r="HL43">
        <v>20</v>
      </c>
      <c r="HM43">
        <f t="shared" ref="HM43:HM44" si="247">HK43*0.1</f>
        <v>21</v>
      </c>
      <c r="HU43" s="1" t="s">
        <v>39</v>
      </c>
      <c r="HV43" t="s">
        <v>101</v>
      </c>
      <c r="HW43">
        <v>210</v>
      </c>
      <c r="HX43">
        <v>20</v>
      </c>
      <c r="HY43">
        <f t="shared" ref="HY43:HY44" si="248">HW43*0.1</f>
        <v>21</v>
      </c>
      <c r="HZ43">
        <f>SUM(HW43:HY43)</f>
        <v>251</v>
      </c>
      <c r="IG43" s="1" t="s">
        <v>39</v>
      </c>
      <c r="IH43" t="s">
        <v>183</v>
      </c>
      <c r="II43">
        <v>220</v>
      </c>
      <c r="IL43">
        <f>SUM(II43:IK43)</f>
        <v>220</v>
      </c>
      <c r="IS43" s="1" t="s">
        <v>39</v>
      </c>
      <c r="IT43" t="s">
        <v>101</v>
      </c>
      <c r="IU43">
        <v>220</v>
      </c>
      <c r="IV43">
        <v>20</v>
      </c>
      <c r="IW43">
        <f t="shared" ref="IW43:IW44" si="249">IU43*0.1</f>
        <v>22</v>
      </c>
      <c r="IX43">
        <f>SUM(IU43:IW43)</f>
        <v>262</v>
      </c>
    </row>
    <row r="44" spans="2:258">
      <c r="B44" t="s">
        <v>40</v>
      </c>
      <c r="C44">
        <f>21.725/5*3*3</f>
        <v>39.105000000000004</v>
      </c>
      <c r="F44">
        <f t="shared" si="214"/>
        <v>39.105000000000004</v>
      </c>
      <c r="N44" t="s">
        <v>40</v>
      </c>
      <c r="O44">
        <v>30</v>
      </c>
      <c r="R44">
        <f t="shared" si="226"/>
        <v>30</v>
      </c>
      <c r="Z44" t="s">
        <v>20</v>
      </c>
      <c r="AA44">
        <v>15</v>
      </c>
      <c r="AD44">
        <f t="shared" si="240"/>
        <v>15</v>
      </c>
      <c r="AL44" t="s">
        <v>40</v>
      </c>
      <c r="AM44">
        <v>30</v>
      </c>
      <c r="AP44">
        <f t="shared" si="233"/>
        <v>30</v>
      </c>
      <c r="AX44" t="s">
        <v>20</v>
      </c>
      <c r="AY44">
        <v>15</v>
      </c>
      <c r="BB44">
        <f t="shared" si="241"/>
        <v>15</v>
      </c>
      <c r="BJ44" t="s">
        <v>21</v>
      </c>
      <c r="BK44">
        <v>10</v>
      </c>
      <c r="BN44">
        <f t="shared" si="229"/>
        <v>10</v>
      </c>
      <c r="BV44" t="s">
        <v>7</v>
      </c>
      <c r="BW44">
        <f>(0.6*SUM(BX2:BX7)+0.4*COUNTA(BV26:BV40))*21</f>
        <v>579.59999999999991</v>
      </c>
      <c r="BZ44">
        <f t="shared" si="242"/>
        <v>579.59999999999991</v>
      </c>
      <c r="CH44" t="s">
        <v>7</v>
      </c>
      <c r="CI44">
        <f>(0.6*SUM(CJ2:CJ7)+0.4*COUNTA(CH26:CH40))*21</f>
        <v>592.19999999999993</v>
      </c>
      <c r="CL44">
        <f t="shared" si="243"/>
        <v>592.19999999999993</v>
      </c>
      <c r="CT44" t="s">
        <v>20</v>
      </c>
      <c r="CU44">
        <v>15</v>
      </c>
      <c r="CX44">
        <f t="shared" si="234"/>
        <v>15</v>
      </c>
      <c r="DF44" t="s">
        <v>76</v>
      </c>
      <c r="DG44">
        <f>0.986*21*2.5</f>
        <v>51.765000000000001</v>
      </c>
      <c r="DJ44">
        <f t="shared" ref="DJ44:DJ55" si="250">SUM(DG44:DI44)</f>
        <v>51.765000000000001</v>
      </c>
      <c r="DR44" t="s">
        <v>19</v>
      </c>
      <c r="DS44">
        <f>270+250+250+150+15</f>
        <v>935</v>
      </c>
      <c r="DV44">
        <f t="shared" ref="DV44:DV55" si="251">SUM(DS44:DU44)</f>
        <v>935</v>
      </c>
      <c r="ED44" t="s">
        <v>18</v>
      </c>
      <c r="EE44">
        <f>140+140+140+140</f>
        <v>560</v>
      </c>
      <c r="EH44">
        <f>SUM(EE44:EG44)</f>
        <v>560</v>
      </c>
      <c r="EP44" t="s">
        <v>18</v>
      </c>
      <c r="EQ44">
        <f>135+100+130+3*22+10</f>
        <v>441</v>
      </c>
      <c r="ET44">
        <f>SUM(EQ44:ES44)-30</f>
        <v>411</v>
      </c>
      <c r="FB44" t="s">
        <v>109</v>
      </c>
      <c r="FC44">
        <f>1.003*209/8*5.5</f>
        <v>144.1185625</v>
      </c>
      <c r="FF44">
        <f>SUM(FC44:FE44)</f>
        <v>144.1185625</v>
      </c>
      <c r="FN44" t="s">
        <v>109</v>
      </c>
      <c r="FO44">
        <f>1.003*209/8*5.5</f>
        <v>144.1185625</v>
      </c>
      <c r="FR44">
        <f>SUM(FO44:FQ44)</f>
        <v>144.1185625</v>
      </c>
      <c r="FY44" s="1" t="s">
        <v>82</v>
      </c>
      <c r="FZ44" t="s">
        <v>96</v>
      </c>
      <c r="GA44">
        <v>220</v>
      </c>
      <c r="GD44">
        <f>SUM(GA44:GC44)</f>
        <v>220</v>
      </c>
      <c r="GL44" t="s">
        <v>109</v>
      </c>
      <c r="GM44">
        <f>1.003*209/8*5.5</f>
        <v>144.1185625</v>
      </c>
      <c r="GP44">
        <f>SUM(GM44:GO44)</f>
        <v>144.1185625</v>
      </c>
      <c r="GX44" t="s">
        <v>116</v>
      </c>
      <c r="GY44">
        <v>200</v>
      </c>
      <c r="GZ44">
        <v>20</v>
      </c>
      <c r="HA44">
        <f t="shared" si="246"/>
        <v>20</v>
      </c>
      <c r="HB44">
        <f>SUM(GY44:HA44)</f>
        <v>240</v>
      </c>
      <c r="HJ44" t="s">
        <v>116</v>
      </c>
      <c r="HK44">
        <v>200</v>
      </c>
      <c r="HL44">
        <v>20</v>
      </c>
      <c r="HM44">
        <f t="shared" si="247"/>
        <v>20</v>
      </c>
      <c r="HN44">
        <f>SUM(HK44:HM44)</f>
        <v>240</v>
      </c>
      <c r="HV44" t="s">
        <v>116</v>
      </c>
      <c r="HW44">
        <v>200</v>
      </c>
      <c r="HX44">
        <v>20</v>
      </c>
      <c r="HY44">
        <f t="shared" si="248"/>
        <v>20</v>
      </c>
      <c r="HZ44">
        <f>SUM(HW44:HY44)</f>
        <v>240</v>
      </c>
      <c r="IH44" t="s">
        <v>116</v>
      </c>
      <c r="II44">
        <v>200</v>
      </c>
      <c r="IJ44">
        <v>20</v>
      </c>
      <c r="IK44">
        <f t="shared" ref="IK44" si="252">II44*0.1</f>
        <v>20</v>
      </c>
      <c r="IT44" t="s">
        <v>116</v>
      </c>
      <c r="IU44">
        <v>200</v>
      </c>
      <c r="IV44">
        <v>20</v>
      </c>
      <c r="IW44">
        <f t="shared" si="249"/>
        <v>20</v>
      </c>
    </row>
    <row r="45" spans="2:258">
      <c r="B45" t="s">
        <v>21</v>
      </c>
      <c r="C45">
        <v>10</v>
      </c>
      <c r="F45">
        <f t="shared" si="214"/>
        <v>10</v>
      </c>
      <c r="N45" t="s">
        <v>21</v>
      </c>
      <c r="O45">
        <v>10</v>
      </c>
      <c r="R45">
        <f t="shared" si="226"/>
        <v>10</v>
      </c>
      <c r="Z45" t="s">
        <v>40</v>
      </c>
      <c r="AA45">
        <v>30</v>
      </c>
      <c r="AD45">
        <f t="shared" si="240"/>
        <v>30</v>
      </c>
      <c r="AL45" t="s">
        <v>21</v>
      </c>
      <c r="AM45">
        <v>10</v>
      </c>
      <c r="AP45">
        <f t="shared" si="233"/>
        <v>10</v>
      </c>
      <c r="AX45" t="s">
        <v>40</v>
      </c>
      <c r="AY45">
        <v>30</v>
      </c>
      <c r="BB45">
        <f t="shared" si="241"/>
        <v>30</v>
      </c>
      <c r="BJ45" t="s">
        <v>22</v>
      </c>
      <c r="BK45">
        <v>200</v>
      </c>
      <c r="BN45">
        <f t="shared" si="229"/>
        <v>200</v>
      </c>
      <c r="BV45" t="s">
        <v>20</v>
      </c>
      <c r="BW45">
        <v>15</v>
      </c>
      <c r="BZ45">
        <f t="shared" si="242"/>
        <v>15</v>
      </c>
      <c r="CH45" t="s">
        <v>20</v>
      </c>
      <c r="CI45">
        <v>15</v>
      </c>
      <c r="CL45">
        <f t="shared" si="243"/>
        <v>15</v>
      </c>
      <c r="CT45" t="s">
        <v>40</v>
      </c>
      <c r="CU45">
        <v>31.5</v>
      </c>
      <c r="CX45">
        <f t="shared" si="234"/>
        <v>31.5</v>
      </c>
      <c r="DF45" t="s">
        <v>19</v>
      </c>
      <c r="DG45">
        <f>320+250+250+250</f>
        <v>1070</v>
      </c>
      <c r="DJ45">
        <f t="shared" si="250"/>
        <v>1070</v>
      </c>
      <c r="DR45" t="s">
        <v>7</v>
      </c>
      <c r="DS45">
        <f>(0.63*SUM(DT2:DT8)+0.43*COUNTA(DR29:DR41))*21*1.1</f>
        <v>711.24900000000014</v>
      </c>
      <c r="DV45">
        <f t="shared" si="251"/>
        <v>711.24900000000014</v>
      </c>
      <c r="ED45" t="s">
        <v>76</v>
      </c>
      <c r="EE45">
        <f>0.986*21*2.5</f>
        <v>51.765000000000001</v>
      </c>
      <c r="EH45">
        <f t="shared" ref="EH45:EH56" si="253">SUM(EE45:EG45)</f>
        <v>51.765000000000001</v>
      </c>
      <c r="EP45" t="s">
        <v>109</v>
      </c>
      <c r="EQ45">
        <f>1.003*209/8*5.5</f>
        <v>144.1185625</v>
      </c>
      <c r="ET45">
        <f>SUM(EQ45:ES45)</f>
        <v>144.1185625</v>
      </c>
      <c r="FB45" t="s">
        <v>19</v>
      </c>
      <c r="FC45">
        <f>270+250+250+105+60</f>
        <v>935</v>
      </c>
      <c r="FF45">
        <f t="shared" ref="FF45:FF57" si="254">SUM(FC45:FE45)</f>
        <v>935</v>
      </c>
      <c r="FN45" t="s">
        <v>19</v>
      </c>
      <c r="FO45">
        <f>270+250+250+105+60</f>
        <v>935</v>
      </c>
      <c r="FR45">
        <f t="shared" ref="FR45:FR57" si="255">SUM(FO45:FQ45)</f>
        <v>935</v>
      </c>
      <c r="FY45" s="1" t="s">
        <v>39</v>
      </c>
      <c r="FZ45" t="s">
        <v>101</v>
      </c>
      <c r="GA45">
        <v>210</v>
      </c>
      <c r="GB45">
        <v>20</v>
      </c>
      <c r="GC45">
        <f t="shared" ref="GC45:GC46" si="256">GA45*0.1</f>
        <v>21</v>
      </c>
      <c r="GD45">
        <f>SUM(GA45:GC45)</f>
        <v>251</v>
      </c>
      <c r="GL45" t="s">
        <v>19</v>
      </c>
      <c r="GM45">
        <f>270+250+250+105+60</f>
        <v>935</v>
      </c>
      <c r="GP45">
        <f t="shared" ref="GP45:GP57" si="257">SUM(GM45:GO45)</f>
        <v>935</v>
      </c>
      <c r="GX45" t="s">
        <v>18</v>
      </c>
      <c r="GY45">
        <f>135-40+130+130+2*22</f>
        <v>399</v>
      </c>
      <c r="HB45">
        <f>SUM(GY45:HA45)-30</f>
        <v>369</v>
      </c>
      <c r="HJ45" t="s">
        <v>18</v>
      </c>
      <c r="HK45">
        <f>135-40+130+130+2*22</f>
        <v>399</v>
      </c>
      <c r="HN45">
        <f>SUM(HK45:HM45)-30</f>
        <v>369</v>
      </c>
      <c r="HV45" t="s">
        <v>18</v>
      </c>
      <c r="HW45">
        <f>135-40+130+130+2*22</f>
        <v>399</v>
      </c>
      <c r="HZ45">
        <f>SUM(HW45:HY45)-30</f>
        <v>369</v>
      </c>
      <c r="IH45" t="s">
        <v>18</v>
      </c>
      <c r="II45">
        <f>135-40+130+130+2*22</f>
        <v>399</v>
      </c>
      <c r="IL45">
        <f>SUM(II45:IK45)-30</f>
        <v>369</v>
      </c>
      <c r="IT45" t="s">
        <v>18</v>
      </c>
      <c r="IU45">
        <f>135-40+130+130+2*22</f>
        <v>399</v>
      </c>
      <c r="IX45">
        <f>SUM(IU45:IW45)-30</f>
        <v>369</v>
      </c>
    </row>
    <row r="46" spans="2:258">
      <c r="B46" t="s">
        <v>22</v>
      </c>
      <c r="C46">
        <v>200</v>
      </c>
      <c r="F46">
        <f t="shared" si="214"/>
        <v>200</v>
      </c>
      <c r="N46" t="s">
        <v>22</v>
      </c>
      <c r="O46">
        <v>200</v>
      </c>
      <c r="R46">
        <f t="shared" si="226"/>
        <v>200</v>
      </c>
      <c r="Z46" t="s">
        <v>21</v>
      </c>
      <c r="AA46">
        <v>10</v>
      </c>
      <c r="AD46">
        <f t="shared" si="240"/>
        <v>10</v>
      </c>
      <c r="AL46" t="s">
        <v>22</v>
      </c>
      <c r="AM46">
        <v>200</v>
      </c>
      <c r="AP46">
        <f t="shared" si="233"/>
        <v>200</v>
      </c>
      <c r="AX46" t="s">
        <v>21</v>
      </c>
      <c r="AY46">
        <v>10</v>
      </c>
      <c r="BB46">
        <f t="shared" si="241"/>
        <v>10</v>
      </c>
      <c r="BJ46" t="s">
        <v>23</v>
      </c>
      <c r="BK46">
        <v>55</v>
      </c>
      <c r="BN46">
        <f t="shared" si="229"/>
        <v>55</v>
      </c>
      <c r="BV46" t="s">
        <v>40</v>
      </c>
      <c r="BW46">
        <v>31.5</v>
      </c>
      <c r="BZ46">
        <f t="shared" si="242"/>
        <v>31.5</v>
      </c>
      <c r="CH46" t="s">
        <v>40</v>
      </c>
      <c r="CI46">
        <v>31.5</v>
      </c>
      <c r="CL46">
        <f t="shared" si="243"/>
        <v>31.5</v>
      </c>
      <c r="CT46" t="s">
        <v>21</v>
      </c>
      <c r="CU46">
        <v>10</v>
      </c>
      <c r="CX46">
        <f t="shared" si="234"/>
        <v>10</v>
      </c>
      <c r="DF46" t="s">
        <v>7</v>
      </c>
      <c r="DG46">
        <f>(0.6*SUM(DH2:DH8)+0.4*COUNTA(DF30:DF42))*21</f>
        <v>575.4</v>
      </c>
      <c r="DJ46">
        <f t="shared" si="250"/>
        <v>575.4</v>
      </c>
      <c r="DR46" t="s">
        <v>20</v>
      </c>
      <c r="DS46">
        <v>15</v>
      </c>
      <c r="DV46">
        <f t="shared" si="251"/>
        <v>15</v>
      </c>
      <c r="ED46" t="s">
        <v>19</v>
      </c>
      <c r="EE46">
        <f>320+250+250+250</f>
        <v>1070</v>
      </c>
      <c r="EH46">
        <f t="shared" si="253"/>
        <v>1070</v>
      </c>
      <c r="EP46" t="s">
        <v>19</v>
      </c>
      <c r="EQ46">
        <f>270+250+250+105+60+60</f>
        <v>995</v>
      </c>
      <c r="ET46">
        <f t="shared" ref="ET46:ET58" si="258">SUM(EQ46:ES46)</f>
        <v>995</v>
      </c>
      <c r="FB46" t="s">
        <v>7</v>
      </c>
      <c r="FC46">
        <f>(0.63*SUM(FD2:FD8)+0.43*COUNTA(FB28:FB42))*21*1.1</f>
        <v>687.45600000000002</v>
      </c>
      <c r="FF46">
        <f t="shared" si="254"/>
        <v>687.45600000000002</v>
      </c>
      <c r="FN46" t="s">
        <v>7</v>
      </c>
      <c r="FO46">
        <f>(0.63*SUM(FP2:FP8)+0.43*COUNTA(FN28:FN42))*21*1.1</f>
        <v>658.35</v>
      </c>
      <c r="FR46">
        <f t="shared" si="255"/>
        <v>658.35</v>
      </c>
      <c r="FZ46" t="s">
        <v>116</v>
      </c>
      <c r="GA46">
        <v>200</v>
      </c>
      <c r="GB46">
        <v>20</v>
      </c>
      <c r="GC46">
        <f t="shared" si="256"/>
        <v>20</v>
      </c>
      <c r="GD46">
        <f>SUM(GA46:GC46)</f>
        <v>240</v>
      </c>
      <c r="GL46" t="s">
        <v>7</v>
      </c>
      <c r="GM46">
        <f>(0.63*SUM(GN2:GN8)+0.43*COUNTA(GL28:GL42))*21*1.1</f>
        <v>658.35</v>
      </c>
      <c r="GP46">
        <f t="shared" si="257"/>
        <v>658.35</v>
      </c>
      <c r="GX46" t="s">
        <v>109</v>
      </c>
      <c r="GY46">
        <f>1.003*209/8*5.5</f>
        <v>144.1185625</v>
      </c>
      <c r="HJ46" t="s">
        <v>109</v>
      </c>
      <c r="HK46">
        <f>1.003*209/8*5.5</f>
        <v>144.1185625</v>
      </c>
      <c r="HV46" t="s">
        <v>109</v>
      </c>
      <c r="HW46">
        <f>1.003*209/8*5.5</f>
        <v>144.1185625</v>
      </c>
      <c r="IH46" t="s">
        <v>109</v>
      </c>
      <c r="II46">
        <f>1.003*209/8*5.5</f>
        <v>144.1185625</v>
      </c>
      <c r="IT46" t="s">
        <v>109</v>
      </c>
      <c r="IU46">
        <f>1.003*209/8*5.5</f>
        <v>144.1185625</v>
      </c>
    </row>
    <row r="47" spans="2:258">
      <c r="B47" t="s">
        <v>23</v>
      </c>
      <c r="C47">
        <v>55</v>
      </c>
      <c r="F47">
        <f t="shared" si="214"/>
        <v>55</v>
      </c>
      <c r="N47" t="s">
        <v>23</v>
      </c>
      <c r="O47">
        <v>55</v>
      </c>
      <c r="R47">
        <f t="shared" si="226"/>
        <v>55</v>
      </c>
      <c r="Z47" t="s">
        <v>22</v>
      </c>
      <c r="AA47">
        <v>200</v>
      </c>
      <c r="AD47">
        <f t="shared" si="240"/>
        <v>200</v>
      </c>
      <c r="AL47" t="s">
        <v>23</v>
      </c>
      <c r="AM47">
        <v>55</v>
      </c>
      <c r="AP47">
        <f t="shared" si="233"/>
        <v>55</v>
      </c>
      <c r="AX47" t="s">
        <v>22</v>
      </c>
      <c r="AY47">
        <v>200</v>
      </c>
      <c r="BB47">
        <f t="shared" si="241"/>
        <v>200</v>
      </c>
      <c r="BJ47" t="s">
        <v>24</v>
      </c>
      <c r="BK47">
        <v>1080</v>
      </c>
      <c r="BN47">
        <f t="shared" si="229"/>
        <v>1080</v>
      </c>
      <c r="BV47" t="s">
        <v>21</v>
      </c>
      <c r="BW47">
        <v>10</v>
      </c>
      <c r="BZ47">
        <f t="shared" si="242"/>
        <v>10</v>
      </c>
      <c r="CH47" t="s">
        <v>21</v>
      </c>
      <c r="CI47">
        <v>10</v>
      </c>
      <c r="CL47">
        <f t="shared" si="243"/>
        <v>10</v>
      </c>
      <c r="CT47" t="s">
        <v>22</v>
      </c>
      <c r="CU47">
        <v>200</v>
      </c>
      <c r="CX47">
        <f t="shared" si="234"/>
        <v>200</v>
      </c>
      <c r="DF47" t="s">
        <v>20</v>
      </c>
      <c r="DG47">
        <v>15</v>
      </c>
      <c r="DJ47">
        <f t="shared" si="250"/>
        <v>15</v>
      </c>
      <c r="DR47" t="s">
        <v>40</v>
      </c>
      <c r="DS47">
        <v>31.5</v>
      </c>
      <c r="DV47">
        <f t="shared" si="251"/>
        <v>31.5</v>
      </c>
      <c r="ED47" t="s">
        <v>7</v>
      </c>
      <c r="EE47">
        <f>(0.6*SUM(EF2:EF8)+0.4*COUNTA(ED29:ED43))*21</f>
        <v>617.4</v>
      </c>
      <c r="EH47">
        <f t="shared" si="253"/>
        <v>617.4</v>
      </c>
      <c r="EP47" t="s">
        <v>7</v>
      </c>
      <c r="EQ47">
        <f>(0.63*SUM(ER2:ER8)+0.43*COUNTA(EP29:EP43))*21*1.1</f>
        <v>716.56200000000001</v>
      </c>
      <c r="ET47">
        <f t="shared" si="258"/>
        <v>716.56200000000001</v>
      </c>
      <c r="FB47" t="s">
        <v>20</v>
      </c>
      <c r="FC47">
        <v>15</v>
      </c>
      <c r="FF47">
        <f t="shared" si="254"/>
        <v>15</v>
      </c>
      <c r="FN47" t="s">
        <v>20</v>
      </c>
      <c r="FO47">
        <v>15</v>
      </c>
      <c r="FR47">
        <f t="shared" si="255"/>
        <v>15</v>
      </c>
      <c r="FZ47" t="s">
        <v>18</v>
      </c>
      <c r="GA47">
        <f>135-40+130+130+2*22</f>
        <v>399</v>
      </c>
      <c r="GD47">
        <f>SUM(GA47:GC47)-30</f>
        <v>369</v>
      </c>
      <c r="GL47" t="s">
        <v>20</v>
      </c>
      <c r="GM47">
        <v>15</v>
      </c>
      <c r="GP47">
        <f t="shared" si="257"/>
        <v>15</v>
      </c>
      <c r="GX47" t="s">
        <v>19</v>
      </c>
      <c r="GY47">
        <f>270+250+250+105+60</f>
        <v>935</v>
      </c>
      <c r="HB47">
        <f t="shared" ref="HB47:HB59" si="259">SUM(GY47:HA47)</f>
        <v>935</v>
      </c>
      <c r="HJ47" t="s">
        <v>19</v>
      </c>
      <c r="HK47">
        <f>270+250+250+105+60</f>
        <v>935</v>
      </c>
      <c r="HN47">
        <f t="shared" ref="HN47:HN59" si="260">SUM(HK47:HM47)</f>
        <v>935</v>
      </c>
      <c r="HV47" t="s">
        <v>19</v>
      </c>
      <c r="HW47">
        <f>270+250+250+105+60</f>
        <v>935</v>
      </c>
      <c r="HZ47">
        <f t="shared" ref="HZ47:HZ59" si="261">SUM(HW47:HY47)</f>
        <v>935</v>
      </c>
      <c r="IH47" t="s">
        <v>19</v>
      </c>
      <c r="II47">
        <f>270+250+250+105+60</f>
        <v>935</v>
      </c>
      <c r="IL47">
        <f t="shared" ref="IL47:IL59" si="262">SUM(II47:IK47)</f>
        <v>935</v>
      </c>
      <c r="IT47" t="s">
        <v>19</v>
      </c>
      <c r="IU47">
        <f>270+250+250+105+60</f>
        <v>935</v>
      </c>
      <c r="IX47">
        <f t="shared" ref="IX47:IX59" si="263">SUM(IU47:IW47)</f>
        <v>935</v>
      </c>
    </row>
    <row r="48" spans="2:258">
      <c r="B48" t="s">
        <v>24</v>
      </c>
      <c r="C48">
        <v>1080</v>
      </c>
      <c r="F48">
        <f t="shared" si="214"/>
        <v>1080</v>
      </c>
      <c r="N48" t="s">
        <v>24</v>
      </c>
      <c r="O48">
        <v>1080</v>
      </c>
      <c r="R48">
        <f t="shared" si="226"/>
        <v>1080</v>
      </c>
      <c r="Z48" t="s">
        <v>23</v>
      </c>
      <c r="AA48">
        <v>55</v>
      </c>
      <c r="AD48">
        <f t="shared" si="240"/>
        <v>55</v>
      </c>
      <c r="AL48" t="s">
        <v>24</v>
      </c>
      <c r="AM48">
        <v>1080</v>
      </c>
      <c r="AP48">
        <f t="shared" si="233"/>
        <v>1080</v>
      </c>
      <c r="AX48" t="s">
        <v>23</v>
      </c>
      <c r="AY48">
        <v>55</v>
      </c>
      <c r="BB48">
        <f t="shared" si="241"/>
        <v>55</v>
      </c>
      <c r="BJ48" t="s">
        <v>28</v>
      </c>
      <c r="BK48">
        <v>70</v>
      </c>
      <c r="BN48">
        <f t="shared" si="229"/>
        <v>70</v>
      </c>
      <c r="BV48" t="s">
        <v>22</v>
      </c>
      <c r="BW48">
        <v>200</v>
      </c>
      <c r="BZ48">
        <f t="shared" si="242"/>
        <v>200</v>
      </c>
      <c r="CH48" t="s">
        <v>22</v>
      </c>
      <c r="CI48">
        <v>200</v>
      </c>
      <c r="CL48">
        <f t="shared" si="243"/>
        <v>200</v>
      </c>
      <c r="CT48" t="s">
        <v>23</v>
      </c>
      <c r="CU48">
        <v>55</v>
      </c>
      <c r="CX48">
        <f t="shared" si="234"/>
        <v>55</v>
      </c>
      <c r="DF48" t="s">
        <v>40</v>
      </c>
      <c r="DG48">
        <v>31.5</v>
      </c>
      <c r="DJ48">
        <f t="shared" si="250"/>
        <v>31.5</v>
      </c>
      <c r="DR48" t="s">
        <v>21</v>
      </c>
      <c r="DS48">
        <v>10</v>
      </c>
      <c r="DV48">
        <f t="shared" si="251"/>
        <v>10</v>
      </c>
      <c r="ED48" t="s">
        <v>20</v>
      </c>
      <c r="EE48">
        <v>15</v>
      </c>
      <c r="EH48">
        <f t="shared" si="253"/>
        <v>15</v>
      </c>
      <c r="EP48" t="s">
        <v>20</v>
      </c>
      <c r="EQ48">
        <v>15</v>
      </c>
      <c r="ET48">
        <f t="shared" si="258"/>
        <v>15</v>
      </c>
      <c r="FB48" t="s">
        <v>40</v>
      </c>
      <c r="FC48">
        <v>31.5</v>
      </c>
      <c r="FF48">
        <f t="shared" si="254"/>
        <v>31.5</v>
      </c>
      <c r="FN48" t="s">
        <v>40</v>
      </c>
      <c r="FO48">
        <v>31.5</v>
      </c>
      <c r="FR48">
        <f t="shared" si="255"/>
        <v>31.5</v>
      </c>
      <c r="FZ48" t="s">
        <v>109</v>
      </c>
      <c r="GA48">
        <f>1.003*209/8*5.5</f>
        <v>144.1185625</v>
      </c>
      <c r="GD48">
        <f>SUM(GA48:GC48)</f>
        <v>144.1185625</v>
      </c>
      <c r="GL48" t="s">
        <v>40</v>
      </c>
      <c r="GM48">
        <v>31.5</v>
      </c>
      <c r="GP48">
        <f t="shared" si="257"/>
        <v>31.5</v>
      </c>
      <c r="GX48" t="s">
        <v>7</v>
      </c>
      <c r="GY48">
        <f>(0.63*SUM(GZ2:GZ8)+0.43*COUNTA(GX30:GX44))*21*1.1</f>
        <v>629.24400000000003</v>
      </c>
      <c r="HB48">
        <f t="shared" si="259"/>
        <v>629.24400000000003</v>
      </c>
      <c r="HJ48" t="s">
        <v>7</v>
      </c>
      <c r="HK48">
        <f>(0.63*SUM(HL2:HL8)+0.43*COUNTA(HJ30:HJ44))*21*1.1</f>
        <v>600.13800000000015</v>
      </c>
      <c r="HN48">
        <f t="shared" si="260"/>
        <v>600.13800000000015</v>
      </c>
      <c r="HV48" t="s">
        <v>7</v>
      </c>
      <c r="HW48">
        <f>(0.63*SUM(HX2:HX8)+0.43*COUNTA(HV30:HV44))*21*1.1</f>
        <v>658.35</v>
      </c>
      <c r="HZ48">
        <f t="shared" si="261"/>
        <v>658.35</v>
      </c>
      <c r="IH48" t="s">
        <v>7</v>
      </c>
      <c r="II48">
        <f>(0.63*SUM(IJ2:IJ8)+0.43*COUNTA(IH30:IH44))*21*1.1</f>
        <v>643.79700000000003</v>
      </c>
      <c r="IL48">
        <f t="shared" si="262"/>
        <v>643.79700000000003</v>
      </c>
      <c r="IT48" t="s">
        <v>7</v>
      </c>
      <c r="IU48">
        <f>(0.63*SUM(IV2:IV8)+0.43*COUNTA(IT30:IT44))*21*1.1</f>
        <v>905.75100000000009</v>
      </c>
      <c r="IX48">
        <f t="shared" si="263"/>
        <v>905.75100000000009</v>
      </c>
    </row>
    <row r="49" spans="2:263">
      <c r="B49" t="s">
        <v>28</v>
      </c>
      <c r="C49">
        <v>70</v>
      </c>
      <c r="F49">
        <f t="shared" si="214"/>
        <v>70</v>
      </c>
      <c r="N49" t="s">
        <v>28</v>
      </c>
      <c r="O49">
        <v>70</v>
      </c>
      <c r="R49">
        <f t="shared" si="226"/>
        <v>70</v>
      </c>
      <c r="Z49" t="s">
        <v>24</v>
      </c>
      <c r="AA49">
        <v>1080</v>
      </c>
      <c r="AD49">
        <f t="shared" si="240"/>
        <v>1080</v>
      </c>
      <c r="AL49" t="s">
        <v>28</v>
      </c>
      <c r="AM49">
        <v>70</v>
      </c>
      <c r="AP49">
        <f t="shared" si="233"/>
        <v>70</v>
      </c>
      <c r="AX49" t="s">
        <v>24</v>
      </c>
      <c r="AY49">
        <v>1080</v>
      </c>
      <c r="BB49">
        <f t="shared" si="241"/>
        <v>1080</v>
      </c>
      <c r="BJ49" t="s">
        <v>32</v>
      </c>
      <c r="BK49">
        <f>16*4</f>
        <v>64</v>
      </c>
      <c r="BN49">
        <v>60</v>
      </c>
      <c r="BV49" t="s">
        <v>23</v>
      </c>
      <c r="BW49">
        <v>55</v>
      </c>
      <c r="BZ49">
        <f t="shared" si="242"/>
        <v>55</v>
      </c>
      <c r="CH49" t="s">
        <v>23</v>
      </c>
      <c r="CI49">
        <v>55</v>
      </c>
      <c r="CL49">
        <f t="shared" si="243"/>
        <v>55</v>
      </c>
      <c r="CT49" t="s">
        <v>24</v>
      </c>
      <c r="CU49">
        <v>1080</v>
      </c>
      <c r="CX49">
        <f t="shared" si="234"/>
        <v>1080</v>
      </c>
      <c r="DF49" t="s">
        <v>21</v>
      </c>
      <c r="DG49">
        <v>10</v>
      </c>
      <c r="DJ49">
        <f t="shared" si="250"/>
        <v>10</v>
      </c>
      <c r="DR49" t="s">
        <v>22</v>
      </c>
      <c r="DS49">
        <v>200</v>
      </c>
      <c r="DV49">
        <f t="shared" si="251"/>
        <v>200</v>
      </c>
      <c r="ED49" t="s">
        <v>40</v>
      </c>
      <c r="EE49">
        <v>31.5</v>
      </c>
      <c r="EH49">
        <f t="shared" si="253"/>
        <v>31.5</v>
      </c>
      <c r="EP49" t="s">
        <v>40</v>
      </c>
      <c r="EQ49">
        <v>31.5</v>
      </c>
      <c r="ET49">
        <f t="shared" si="258"/>
        <v>31.5</v>
      </c>
      <c r="FB49" t="s">
        <v>21</v>
      </c>
      <c r="FC49">
        <v>10</v>
      </c>
      <c r="FF49">
        <f t="shared" si="254"/>
        <v>10</v>
      </c>
      <c r="FN49" t="s">
        <v>21</v>
      </c>
      <c r="FO49">
        <v>10</v>
      </c>
      <c r="FR49">
        <f t="shared" si="255"/>
        <v>10</v>
      </c>
      <c r="FZ49" t="s">
        <v>19</v>
      </c>
      <c r="GA49">
        <f>270+250+250+105+60</f>
        <v>935</v>
      </c>
      <c r="GD49">
        <f t="shared" ref="GD49:GD61" si="264">SUM(GA49:GC49)</f>
        <v>935</v>
      </c>
      <c r="GL49" t="s">
        <v>21</v>
      </c>
      <c r="GM49">
        <v>10</v>
      </c>
      <c r="GP49">
        <f t="shared" si="257"/>
        <v>10</v>
      </c>
      <c r="GX49" t="s">
        <v>20</v>
      </c>
      <c r="GY49">
        <v>15</v>
      </c>
      <c r="HB49">
        <f t="shared" si="259"/>
        <v>15</v>
      </c>
      <c r="HJ49" t="s">
        <v>20</v>
      </c>
      <c r="HK49">
        <v>15</v>
      </c>
      <c r="HN49">
        <f t="shared" si="260"/>
        <v>15</v>
      </c>
      <c r="HV49" t="s">
        <v>20</v>
      </c>
      <c r="HW49">
        <v>15</v>
      </c>
      <c r="HZ49">
        <f t="shared" si="261"/>
        <v>15</v>
      </c>
      <c r="IH49" t="s">
        <v>20</v>
      </c>
      <c r="II49">
        <v>15</v>
      </c>
      <c r="IL49">
        <f t="shared" si="262"/>
        <v>15</v>
      </c>
      <c r="IT49" t="s">
        <v>20</v>
      </c>
      <c r="IU49">
        <v>15</v>
      </c>
      <c r="IX49">
        <f t="shared" si="263"/>
        <v>15</v>
      </c>
    </row>
    <row r="50" spans="2:263">
      <c r="B50" t="s">
        <v>32</v>
      </c>
      <c r="C50">
        <f>16*4</f>
        <v>64</v>
      </c>
      <c r="F50">
        <v>60</v>
      </c>
      <c r="N50" t="s">
        <v>32</v>
      </c>
      <c r="O50">
        <f>16*4</f>
        <v>64</v>
      </c>
      <c r="R50">
        <v>60</v>
      </c>
      <c r="Z50" t="s">
        <v>28</v>
      </c>
      <c r="AA50">
        <v>70</v>
      </c>
      <c r="AD50">
        <f t="shared" si="240"/>
        <v>70</v>
      </c>
      <c r="AL50" t="s">
        <v>32</v>
      </c>
      <c r="AM50">
        <f>16*4</f>
        <v>64</v>
      </c>
      <c r="AP50">
        <v>60</v>
      </c>
      <c r="AX50" t="s">
        <v>28</v>
      </c>
      <c r="AY50">
        <v>70</v>
      </c>
      <c r="BB50">
        <f t="shared" si="241"/>
        <v>70</v>
      </c>
      <c r="BJ50" t="s">
        <v>29</v>
      </c>
      <c r="BK50">
        <v>50</v>
      </c>
      <c r="BN50">
        <f t="shared" ref="BN50" si="265">SUM(BK50:BM50)</f>
        <v>50</v>
      </c>
      <c r="BV50" t="s">
        <v>24</v>
      </c>
      <c r="BW50">
        <v>1080</v>
      </c>
      <c r="BZ50">
        <f t="shared" si="242"/>
        <v>1080</v>
      </c>
      <c r="CH50" t="s">
        <v>24</v>
      </c>
      <c r="CI50">
        <v>1080</v>
      </c>
      <c r="CL50">
        <f t="shared" si="243"/>
        <v>1080</v>
      </c>
      <c r="CT50" t="s">
        <v>75</v>
      </c>
      <c r="CU50">
        <v>40</v>
      </c>
      <c r="CX50">
        <f t="shared" si="234"/>
        <v>40</v>
      </c>
      <c r="DF50" t="s">
        <v>22</v>
      </c>
      <c r="DG50">
        <v>200</v>
      </c>
      <c r="DJ50">
        <f t="shared" si="250"/>
        <v>200</v>
      </c>
      <c r="DR50" t="s">
        <v>23</v>
      </c>
      <c r="DS50">
        <v>55</v>
      </c>
      <c r="DV50">
        <f t="shared" si="251"/>
        <v>55</v>
      </c>
      <c r="ED50" t="s">
        <v>21</v>
      </c>
      <c r="EE50">
        <v>10</v>
      </c>
      <c r="EH50">
        <f t="shared" si="253"/>
        <v>10</v>
      </c>
      <c r="EP50" t="s">
        <v>21</v>
      </c>
      <c r="EQ50">
        <v>10</v>
      </c>
      <c r="ET50">
        <f t="shared" si="258"/>
        <v>10</v>
      </c>
      <c r="FB50" t="s">
        <v>22</v>
      </c>
      <c r="FC50">
        <v>200</v>
      </c>
      <c r="FF50">
        <f t="shared" si="254"/>
        <v>200</v>
      </c>
      <c r="FN50" t="s">
        <v>22</v>
      </c>
      <c r="FO50">
        <v>200</v>
      </c>
      <c r="FR50">
        <f t="shared" si="255"/>
        <v>200</v>
      </c>
      <c r="FZ50" t="s">
        <v>7</v>
      </c>
      <c r="GA50">
        <f>(0.63*SUM(GB2:GB8)+0.43*COUNTA(FZ32:FZ46))*21*1.1</f>
        <v>702.00900000000013</v>
      </c>
      <c r="GD50">
        <f t="shared" si="264"/>
        <v>702.00900000000013</v>
      </c>
      <c r="GL50" t="s">
        <v>22</v>
      </c>
      <c r="GM50">
        <v>200</v>
      </c>
      <c r="GP50">
        <f t="shared" si="257"/>
        <v>200</v>
      </c>
      <c r="GX50" t="s">
        <v>40</v>
      </c>
      <c r="GY50">
        <v>31.5</v>
      </c>
      <c r="HB50">
        <f t="shared" si="259"/>
        <v>31.5</v>
      </c>
      <c r="HJ50" t="s">
        <v>40</v>
      </c>
      <c r="HK50">
        <v>31.5</v>
      </c>
      <c r="HN50">
        <f t="shared" si="260"/>
        <v>31.5</v>
      </c>
      <c r="HV50" t="s">
        <v>40</v>
      </c>
      <c r="HW50">
        <v>31.5</v>
      </c>
      <c r="HZ50">
        <f t="shared" si="261"/>
        <v>31.5</v>
      </c>
      <c r="IH50" t="s">
        <v>40</v>
      </c>
      <c r="II50">
        <v>31.5</v>
      </c>
      <c r="IL50">
        <f t="shared" si="262"/>
        <v>31.5</v>
      </c>
      <c r="IT50" t="s">
        <v>40</v>
      </c>
      <c r="IU50">
        <v>31.5</v>
      </c>
      <c r="IX50">
        <f t="shared" si="263"/>
        <v>31.5</v>
      </c>
    </row>
    <row r="51" spans="2:263">
      <c r="B51" t="s">
        <v>29</v>
      </c>
      <c r="C51">
        <v>50</v>
      </c>
      <c r="F51">
        <f>SUM(C51:E51)</f>
        <v>50</v>
      </c>
      <c r="N51" t="s">
        <v>29</v>
      </c>
      <c r="O51">
        <v>50</v>
      </c>
      <c r="R51">
        <f t="shared" ref="R51" si="266">SUM(O51:Q51)</f>
        <v>50</v>
      </c>
      <c r="Z51" t="s">
        <v>32</v>
      </c>
      <c r="AA51">
        <f>16*4</f>
        <v>64</v>
      </c>
      <c r="AD51">
        <v>60</v>
      </c>
      <c r="AL51" t="s">
        <v>29</v>
      </c>
      <c r="AM51">
        <v>50</v>
      </c>
      <c r="AP51">
        <f t="shared" ref="AP51" si="267">SUM(AM51:AO51)</f>
        <v>50</v>
      </c>
      <c r="AX51" t="s">
        <v>32</v>
      </c>
      <c r="AY51">
        <f>16*4</f>
        <v>64</v>
      </c>
      <c r="BB51">
        <v>60</v>
      </c>
      <c r="BJ51" t="s">
        <v>30</v>
      </c>
      <c r="BN51">
        <v>173</v>
      </c>
      <c r="BV51" t="s">
        <v>75</v>
      </c>
      <c r="BW51">
        <v>40</v>
      </c>
      <c r="BZ51">
        <f t="shared" si="242"/>
        <v>40</v>
      </c>
      <c r="CH51" t="s">
        <v>75</v>
      </c>
      <c r="CI51">
        <v>40</v>
      </c>
      <c r="CL51">
        <f t="shared" si="243"/>
        <v>40</v>
      </c>
      <c r="CT51" t="s">
        <v>74</v>
      </c>
      <c r="CU51">
        <v>20</v>
      </c>
      <c r="CX51">
        <f t="shared" si="234"/>
        <v>20</v>
      </c>
      <c r="DF51" t="s">
        <v>23</v>
      </c>
      <c r="DG51">
        <v>55</v>
      </c>
      <c r="DJ51">
        <f t="shared" si="250"/>
        <v>55</v>
      </c>
      <c r="DR51" t="s">
        <v>24</v>
      </c>
      <c r="DS51">
        <v>1080</v>
      </c>
      <c r="DV51">
        <f t="shared" si="251"/>
        <v>1080</v>
      </c>
      <c r="ED51" t="s">
        <v>22</v>
      </c>
      <c r="EE51">
        <v>200</v>
      </c>
      <c r="EH51">
        <f t="shared" si="253"/>
        <v>200</v>
      </c>
      <c r="EP51" t="s">
        <v>22</v>
      </c>
      <c r="EQ51">
        <v>200</v>
      </c>
      <c r="ET51">
        <f t="shared" si="258"/>
        <v>200</v>
      </c>
      <c r="FB51" t="s">
        <v>23</v>
      </c>
      <c r="FC51">
        <v>55</v>
      </c>
      <c r="FF51">
        <f t="shared" si="254"/>
        <v>55</v>
      </c>
      <c r="FN51" t="s">
        <v>23</v>
      </c>
      <c r="FO51">
        <v>55</v>
      </c>
      <c r="FR51">
        <f t="shared" si="255"/>
        <v>55</v>
      </c>
      <c r="FZ51" t="s">
        <v>20</v>
      </c>
      <c r="GA51">
        <v>15</v>
      </c>
      <c r="GD51">
        <f t="shared" si="264"/>
        <v>15</v>
      </c>
      <c r="GL51" t="s">
        <v>23</v>
      </c>
      <c r="GM51">
        <v>55</v>
      </c>
      <c r="GP51">
        <f t="shared" si="257"/>
        <v>55</v>
      </c>
      <c r="GX51" t="s">
        <v>21</v>
      </c>
      <c r="GY51">
        <v>10</v>
      </c>
      <c r="HB51">
        <f t="shared" si="259"/>
        <v>10</v>
      </c>
      <c r="HJ51" t="s">
        <v>21</v>
      </c>
      <c r="HK51">
        <v>10</v>
      </c>
      <c r="HN51">
        <f t="shared" si="260"/>
        <v>10</v>
      </c>
      <c r="HV51" t="s">
        <v>21</v>
      </c>
      <c r="HW51">
        <v>10</v>
      </c>
      <c r="HZ51">
        <f t="shared" si="261"/>
        <v>10</v>
      </c>
      <c r="IH51" t="s">
        <v>21</v>
      </c>
      <c r="II51">
        <v>10</v>
      </c>
      <c r="IL51">
        <f t="shared" si="262"/>
        <v>10</v>
      </c>
      <c r="IT51" t="s">
        <v>21</v>
      </c>
      <c r="IU51">
        <v>10</v>
      </c>
      <c r="IX51">
        <f t="shared" si="263"/>
        <v>10</v>
      </c>
    </row>
    <row r="52" spans="2:263">
      <c r="B52" t="s">
        <v>30</v>
      </c>
      <c r="F52">
        <v>390</v>
      </c>
      <c r="N52" t="s">
        <v>30</v>
      </c>
      <c r="R52">
        <v>239</v>
      </c>
      <c r="Z52" t="s">
        <v>29</v>
      </c>
      <c r="AA52">
        <v>50</v>
      </c>
      <c r="AD52">
        <f t="shared" ref="AD52" si="268">SUM(AA52:AC52)</f>
        <v>50</v>
      </c>
      <c r="AL52" t="s">
        <v>30</v>
      </c>
      <c r="AP52">
        <v>185</v>
      </c>
      <c r="AX52" t="s">
        <v>29</v>
      </c>
      <c r="AY52">
        <v>50</v>
      </c>
      <c r="BB52">
        <f t="shared" ref="BB52" si="269">SUM(AY52:BA52)</f>
        <v>50</v>
      </c>
      <c r="BJ52" t="s">
        <v>63</v>
      </c>
      <c r="BN52">
        <f t="shared" ref="BN52:BN53" si="270">SUM(BK52:BM52)</f>
        <v>0</v>
      </c>
      <c r="BV52" t="s">
        <v>74</v>
      </c>
      <c r="BW52">
        <v>20</v>
      </c>
      <c r="BZ52">
        <f t="shared" si="242"/>
        <v>20</v>
      </c>
      <c r="CH52" t="s">
        <v>74</v>
      </c>
      <c r="CI52">
        <v>20</v>
      </c>
      <c r="CL52">
        <f t="shared" si="243"/>
        <v>20</v>
      </c>
      <c r="CT52" t="s">
        <v>28</v>
      </c>
      <c r="CU52">
        <v>70</v>
      </c>
      <c r="CX52">
        <f t="shared" si="234"/>
        <v>70</v>
      </c>
      <c r="DF52" t="s">
        <v>24</v>
      </c>
      <c r="DG52">
        <v>1080</v>
      </c>
      <c r="DJ52">
        <f t="shared" si="250"/>
        <v>1080</v>
      </c>
      <c r="DR52" t="s">
        <v>75</v>
      </c>
      <c r="DS52">
        <v>40</v>
      </c>
      <c r="DV52">
        <f t="shared" si="251"/>
        <v>40</v>
      </c>
      <c r="ED52" t="s">
        <v>23</v>
      </c>
      <c r="EE52">
        <v>55</v>
      </c>
      <c r="EH52">
        <f t="shared" si="253"/>
        <v>55</v>
      </c>
      <c r="EP52" t="s">
        <v>23</v>
      </c>
      <c r="EQ52">
        <v>55</v>
      </c>
      <c r="ET52">
        <f t="shared" si="258"/>
        <v>55</v>
      </c>
      <c r="FB52" t="s">
        <v>24</v>
      </c>
      <c r="FC52">
        <v>1080</v>
      </c>
      <c r="FF52">
        <f t="shared" si="254"/>
        <v>1080</v>
      </c>
      <c r="FN52" t="s">
        <v>24</v>
      </c>
      <c r="FO52">
        <v>1080</v>
      </c>
      <c r="FR52">
        <f t="shared" si="255"/>
        <v>1080</v>
      </c>
      <c r="FZ52" t="s">
        <v>40</v>
      </c>
      <c r="GA52">
        <v>31.5</v>
      </c>
      <c r="GD52">
        <f t="shared" si="264"/>
        <v>31.5</v>
      </c>
      <c r="GL52" t="s">
        <v>24</v>
      </c>
      <c r="GM52">
        <v>1080</v>
      </c>
      <c r="GP52">
        <f t="shared" si="257"/>
        <v>1080</v>
      </c>
      <c r="GX52" t="s">
        <v>22</v>
      </c>
      <c r="GY52">
        <v>200</v>
      </c>
      <c r="HB52">
        <f t="shared" si="259"/>
        <v>200</v>
      </c>
      <c r="HJ52" t="s">
        <v>22</v>
      </c>
      <c r="HK52">
        <v>200</v>
      </c>
      <c r="HN52">
        <f t="shared" si="260"/>
        <v>200</v>
      </c>
      <c r="HV52" t="s">
        <v>22</v>
      </c>
      <c r="HW52">
        <v>300</v>
      </c>
      <c r="HZ52">
        <f t="shared" si="261"/>
        <v>300</v>
      </c>
      <c r="IH52" t="s">
        <v>22</v>
      </c>
      <c r="II52">
        <v>300</v>
      </c>
      <c r="IL52">
        <f t="shared" si="262"/>
        <v>300</v>
      </c>
      <c r="IT52" t="s">
        <v>22</v>
      </c>
      <c r="IU52">
        <v>300</v>
      </c>
      <c r="IX52">
        <f t="shared" si="263"/>
        <v>300</v>
      </c>
    </row>
    <row r="53" spans="2:263">
      <c r="B53" t="s">
        <v>63</v>
      </c>
      <c r="C53">
        <v>1.1000000000000001</v>
      </c>
      <c r="F53">
        <f>SUM(C53:E53)</f>
        <v>1.1000000000000001</v>
      </c>
      <c r="N53" t="s">
        <v>63</v>
      </c>
      <c r="O53">
        <v>1.1000000000000001</v>
      </c>
      <c r="R53">
        <f t="shared" ref="R53:R54" si="271">SUM(O53:Q53)</f>
        <v>1.1000000000000001</v>
      </c>
      <c r="Z53" t="s">
        <v>30</v>
      </c>
      <c r="AD53">
        <v>215</v>
      </c>
      <c r="AL53" t="s">
        <v>63</v>
      </c>
      <c r="AP53">
        <f t="shared" ref="AP53:AP54" si="272">SUM(AM53:AO53)</f>
        <v>0</v>
      </c>
      <c r="AX53" t="s">
        <v>30</v>
      </c>
      <c r="BB53">
        <v>135</v>
      </c>
      <c r="BJ53" t="s">
        <v>64</v>
      </c>
      <c r="BK53">
        <v>38.5</v>
      </c>
      <c r="BN53">
        <f t="shared" si="270"/>
        <v>38.5</v>
      </c>
      <c r="BV53" t="s">
        <v>28</v>
      </c>
      <c r="BW53">
        <v>70</v>
      </c>
      <c r="BZ53">
        <f t="shared" si="242"/>
        <v>70</v>
      </c>
      <c r="CH53" t="s">
        <v>28</v>
      </c>
      <c r="CI53">
        <v>70</v>
      </c>
      <c r="CL53">
        <f t="shared" si="243"/>
        <v>70</v>
      </c>
      <c r="CT53" t="s">
        <v>32</v>
      </c>
      <c r="CU53">
        <f>16*4</f>
        <v>64</v>
      </c>
      <c r="CX53">
        <v>60</v>
      </c>
      <c r="DF53" t="s">
        <v>75</v>
      </c>
      <c r="DG53">
        <v>40</v>
      </c>
      <c r="DJ53">
        <f t="shared" si="250"/>
        <v>40</v>
      </c>
      <c r="DR53" t="s">
        <v>74</v>
      </c>
      <c r="DS53">
        <v>20</v>
      </c>
      <c r="DV53">
        <f t="shared" si="251"/>
        <v>20</v>
      </c>
      <c r="ED53" t="s">
        <v>24</v>
      </c>
      <c r="EE53">
        <v>1080</v>
      </c>
      <c r="EH53">
        <f t="shared" si="253"/>
        <v>1080</v>
      </c>
      <c r="EP53" t="s">
        <v>24</v>
      </c>
      <c r="EQ53">
        <v>1080</v>
      </c>
      <c r="ET53">
        <f t="shared" si="258"/>
        <v>1080</v>
      </c>
      <c r="FB53" t="s">
        <v>75</v>
      </c>
      <c r="FF53">
        <f t="shared" si="254"/>
        <v>0</v>
      </c>
      <c r="FN53" t="s">
        <v>75</v>
      </c>
      <c r="FR53">
        <f t="shared" si="255"/>
        <v>0</v>
      </c>
      <c r="FZ53" t="s">
        <v>21</v>
      </c>
      <c r="GA53">
        <v>10</v>
      </c>
      <c r="GD53">
        <f t="shared" si="264"/>
        <v>10</v>
      </c>
      <c r="GL53" t="s">
        <v>75</v>
      </c>
      <c r="GP53">
        <f t="shared" si="257"/>
        <v>0</v>
      </c>
      <c r="GX53" t="s">
        <v>23</v>
      </c>
      <c r="GY53">
        <v>55</v>
      </c>
      <c r="HB53">
        <f t="shared" si="259"/>
        <v>55</v>
      </c>
      <c r="HJ53" t="s">
        <v>23</v>
      </c>
      <c r="HK53">
        <v>55</v>
      </c>
      <c r="HN53">
        <f t="shared" si="260"/>
        <v>55</v>
      </c>
      <c r="HV53" t="s">
        <v>23</v>
      </c>
      <c r="HW53">
        <v>55</v>
      </c>
      <c r="HZ53">
        <f t="shared" si="261"/>
        <v>55</v>
      </c>
      <c r="IH53" t="s">
        <v>23</v>
      </c>
      <c r="II53">
        <v>55</v>
      </c>
      <c r="IL53">
        <f t="shared" si="262"/>
        <v>55</v>
      </c>
      <c r="IT53" t="s">
        <v>23</v>
      </c>
      <c r="IU53">
        <v>55</v>
      </c>
      <c r="IX53">
        <f t="shared" si="263"/>
        <v>55</v>
      </c>
    </row>
    <row r="54" spans="2:263">
      <c r="B54" t="s">
        <v>64</v>
      </c>
      <c r="C54">
        <v>38.5</v>
      </c>
      <c r="F54">
        <f>SUM(C54:E54)</f>
        <v>38.5</v>
      </c>
      <c r="N54" t="s">
        <v>64</v>
      </c>
      <c r="O54">
        <v>38.5</v>
      </c>
      <c r="R54">
        <f t="shared" si="271"/>
        <v>38.5</v>
      </c>
      <c r="Z54" t="s">
        <v>63</v>
      </c>
      <c r="AA54">
        <v>1.1000000000000001</v>
      </c>
      <c r="AD54">
        <f t="shared" ref="AD54:AD55" si="273">SUM(AA54:AC54)</f>
        <v>1.1000000000000001</v>
      </c>
      <c r="AL54" t="s">
        <v>64</v>
      </c>
      <c r="AM54">
        <v>38.5</v>
      </c>
      <c r="AP54">
        <f t="shared" si="272"/>
        <v>38.5</v>
      </c>
      <c r="AX54" t="s">
        <v>63</v>
      </c>
      <c r="BB54">
        <f t="shared" ref="BB54:BB55" si="274">SUM(AY54:BA54)</f>
        <v>0</v>
      </c>
      <c r="BV54" t="s">
        <v>32</v>
      </c>
      <c r="BW54">
        <f>16*4</f>
        <v>64</v>
      </c>
      <c r="BZ54">
        <v>60</v>
      </c>
      <c r="CH54" t="s">
        <v>32</v>
      </c>
      <c r="CI54">
        <f>16*4</f>
        <v>64</v>
      </c>
      <c r="CL54">
        <v>60</v>
      </c>
      <c r="CT54" t="s">
        <v>29</v>
      </c>
      <c r="CU54">
        <v>50</v>
      </c>
      <c r="CX54">
        <f t="shared" ref="CX54" si="275">SUM(CU54:CW54)</f>
        <v>50</v>
      </c>
      <c r="DF54" t="s">
        <v>74</v>
      </c>
      <c r="DG54">
        <v>20</v>
      </c>
      <c r="DJ54">
        <f t="shared" si="250"/>
        <v>20</v>
      </c>
      <c r="DR54" t="s">
        <v>28</v>
      </c>
      <c r="DS54">
        <v>70</v>
      </c>
      <c r="DV54">
        <f t="shared" si="251"/>
        <v>70</v>
      </c>
      <c r="ED54" t="s">
        <v>75</v>
      </c>
      <c r="EE54">
        <v>40</v>
      </c>
      <c r="EH54">
        <f t="shared" si="253"/>
        <v>40</v>
      </c>
      <c r="EP54" t="s">
        <v>75</v>
      </c>
      <c r="EQ54">
        <v>22</v>
      </c>
      <c r="ET54">
        <f t="shared" si="258"/>
        <v>22</v>
      </c>
      <c r="FB54" t="s">
        <v>74</v>
      </c>
      <c r="FC54">
        <v>40</v>
      </c>
      <c r="FF54">
        <f t="shared" si="254"/>
        <v>40</v>
      </c>
      <c r="FN54" t="s">
        <v>74</v>
      </c>
      <c r="FO54">
        <v>40</v>
      </c>
      <c r="FR54">
        <f t="shared" si="255"/>
        <v>40</v>
      </c>
      <c r="FZ54" t="s">
        <v>22</v>
      </c>
      <c r="GA54">
        <v>200</v>
      </c>
      <c r="GD54">
        <f t="shared" si="264"/>
        <v>200</v>
      </c>
      <c r="GL54" t="s">
        <v>74</v>
      </c>
      <c r="GM54">
        <v>40</v>
      </c>
      <c r="GP54">
        <f t="shared" si="257"/>
        <v>40</v>
      </c>
      <c r="GX54" t="s">
        <v>24</v>
      </c>
      <c r="GY54">
        <v>1080</v>
      </c>
      <c r="HB54">
        <f t="shared" si="259"/>
        <v>1080</v>
      </c>
      <c r="HJ54" t="s">
        <v>24</v>
      </c>
      <c r="HK54">
        <v>1080</v>
      </c>
      <c r="HN54">
        <f t="shared" si="260"/>
        <v>1080</v>
      </c>
      <c r="HV54" t="s">
        <v>24</v>
      </c>
      <c r="HW54">
        <v>1080</v>
      </c>
      <c r="HZ54">
        <f t="shared" si="261"/>
        <v>1080</v>
      </c>
      <c r="IH54" t="s">
        <v>24</v>
      </c>
      <c r="II54">
        <v>1080</v>
      </c>
      <c r="IL54">
        <f t="shared" si="262"/>
        <v>1080</v>
      </c>
      <c r="IT54" t="s">
        <v>24</v>
      </c>
      <c r="IU54">
        <v>1080</v>
      </c>
      <c r="IX54">
        <f t="shared" si="263"/>
        <v>1080</v>
      </c>
    </row>
    <row r="55" spans="2:263">
      <c r="Z55" t="s">
        <v>64</v>
      </c>
      <c r="AA55">
        <v>38.5</v>
      </c>
      <c r="AD55">
        <f t="shared" si="273"/>
        <v>38.5</v>
      </c>
      <c r="AX55" t="s">
        <v>64</v>
      </c>
      <c r="AY55">
        <v>38.5</v>
      </c>
      <c r="BB55">
        <f t="shared" si="274"/>
        <v>38.5</v>
      </c>
      <c r="BJ55" t="s">
        <v>12</v>
      </c>
      <c r="BN55">
        <f>SUM(BN25:BN53)</f>
        <v>7772</v>
      </c>
      <c r="BV55" t="s">
        <v>29</v>
      </c>
      <c r="BW55">
        <v>50</v>
      </c>
      <c r="BZ55">
        <f t="shared" ref="BZ55" si="276">SUM(BW55:BY55)</f>
        <v>50</v>
      </c>
      <c r="CH55" t="s">
        <v>29</v>
      </c>
      <c r="CI55">
        <v>50</v>
      </c>
      <c r="CL55">
        <f t="shared" ref="CL55" si="277">SUM(CI55:CK55)</f>
        <v>50</v>
      </c>
      <c r="CT55" t="s">
        <v>30</v>
      </c>
      <c r="CX55">
        <v>250</v>
      </c>
      <c r="DF55" t="s">
        <v>28</v>
      </c>
      <c r="DG55">
        <v>70</v>
      </c>
      <c r="DJ55">
        <f t="shared" si="250"/>
        <v>70</v>
      </c>
      <c r="DR55" t="s">
        <v>32</v>
      </c>
      <c r="DS55">
        <f>16*4</f>
        <v>64</v>
      </c>
      <c r="DV55">
        <f t="shared" si="251"/>
        <v>64</v>
      </c>
      <c r="ED55" t="s">
        <v>74</v>
      </c>
      <c r="EE55">
        <v>20</v>
      </c>
      <c r="EH55">
        <f t="shared" si="253"/>
        <v>20</v>
      </c>
      <c r="EP55" t="s">
        <v>74</v>
      </c>
      <c r="EQ55">
        <v>40</v>
      </c>
      <c r="ET55">
        <f t="shared" si="258"/>
        <v>40</v>
      </c>
      <c r="FB55" t="s">
        <v>28</v>
      </c>
      <c r="FC55">
        <v>66</v>
      </c>
      <c r="FF55">
        <f t="shared" si="254"/>
        <v>66</v>
      </c>
      <c r="FN55" t="s">
        <v>28</v>
      </c>
      <c r="FO55">
        <v>66</v>
      </c>
      <c r="FR55">
        <f t="shared" si="255"/>
        <v>66</v>
      </c>
      <c r="FZ55" t="s">
        <v>23</v>
      </c>
      <c r="GA55">
        <v>55</v>
      </c>
      <c r="GD55">
        <f t="shared" si="264"/>
        <v>55</v>
      </c>
      <c r="GL55" t="s">
        <v>28</v>
      </c>
      <c r="GM55">
        <v>66</v>
      </c>
      <c r="GP55">
        <f t="shared" si="257"/>
        <v>66</v>
      </c>
      <c r="GX55" t="s">
        <v>75</v>
      </c>
      <c r="HB55">
        <f t="shared" si="259"/>
        <v>0</v>
      </c>
      <c r="HJ55" t="s">
        <v>75</v>
      </c>
      <c r="HN55">
        <f t="shared" si="260"/>
        <v>0</v>
      </c>
      <c r="HV55" t="s">
        <v>75</v>
      </c>
      <c r="HZ55">
        <f t="shared" si="261"/>
        <v>0</v>
      </c>
      <c r="IH55" t="s">
        <v>75</v>
      </c>
      <c r="IL55">
        <f t="shared" si="262"/>
        <v>0</v>
      </c>
      <c r="IT55" t="s">
        <v>75</v>
      </c>
      <c r="IX55">
        <f t="shared" si="263"/>
        <v>0</v>
      </c>
    </row>
    <row r="56" spans="2:263">
      <c r="B56" t="s">
        <v>12</v>
      </c>
      <c r="F56">
        <f>SUM(F25:F54)</f>
        <v>8184.8883999999998</v>
      </c>
      <c r="N56" t="s">
        <v>12</v>
      </c>
      <c r="R56">
        <f>SUM(R25:R54)</f>
        <v>8022.1370000000006</v>
      </c>
      <c r="AL56" t="s">
        <v>12</v>
      </c>
      <c r="AP56">
        <f>SUM(AP24:AP54)</f>
        <v>8089.0370000000003</v>
      </c>
      <c r="BS56">
        <f>BS22-BN55</f>
        <v>116.67166666666799</v>
      </c>
      <c r="BV56" t="s">
        <v>30</v>
      </c>
      <c r="BZ56">
        <v>223</v>
      </c>
      <c r="CH56" t="s">
        <v>30</v>
      </c>
      <c r="CL56">
        <v>250</v>
      </c>
      <c r="CT56" t="s">
        <v>64</v>
      </c>
      <c r="CU56">
        <v>38.5</v>
      </c>
      <c r="CX56">
        <f t="shared" ref="CX56" si="278">SUM(CU56:CW56)</f>
        <v>38.5</v>
      </c>
      <c r="DF56" t="s">
        <v>32</v>
      </c>
      <c r="DG56">
        <f>16*4</f>
        <v>64</v>
      </c>
      <c r="DJ56">
        <v>60</v>
      </c>
      <c r="DR56" t="s">
        <v>29</v>
      </c>
      <c r="DS56">
        <v>50</v>
      </c>
      <c r="DV56">
        <f t="shared" ref="DV56" si="279">SUM(DS56:DU56)</f>
        <v>50</v>
      </c>
      <c r="ED56" t="s">
        <v>28</v>
      </c>
      <c r="EE56">
        <v>60</v>
      </c>
      <c r="EH56">
        <f t="shared" si="253"/>
        <v>60</v>
      </c>
      <c r="EP56" t="s">
        <v>28</v>
      </c>
      <c r="EQ56">
        <v>77</v>
      </c>
      <c r="ET56">
        <f t="shared" si="258"/>
        <v>77</v>
      </c>
      <c r="FB56" t="s">
        <v>32</v>
      </c>
      <c r="FC56">
        <f>16*4</f>
        <v>64</v>
      </c>
      <c r="FF56">
        <f t="shared" si="254"/>
        <v>64</v>
      </c>
      <c r="FN56" t="s">
        <v>32</v>
      </c>
      <c r="FO56">
        <f>16*4</f>
        <v>64</v>
      </c>
      <c r="FR56">
        <f t="shared" si="255"/>
        <v>64</v>
      </c>
      <c r="FZ56" t="s">
        <v>24</v>
      </c>
      <c r="GA56">
        <v>1080</v>
      </c>
      <c r="GD56">
        <f t="shared" si="264"/>
        <v>1080</v>
      </c>
      <c r="GL56" t="s">
        <v>32</v>
      </c>
      <c r="GM56">
        <f>16*4</f>
        <v>64</v>
      </c>
      <c r="GP56">
        <f t="shared" si="257"/>
        <v>64</v>
      </c>
      <c r="GX56" t="s">
        <v>74</v>
      </c>
      <c r="GY56">
        <v>40</v>
      </c>
      <c r="HB56">
        <f t="shared" si="259"/>
        <v>40</v>
      </c>
      <c r="HJ56" t="s">
        <v>74</v>
      </c>
      <c r="HK56">
        <v>40</v>
      </c>
      <c r="HN56">
        <f t="shared" si="260"/>
        <v>40</v>
      </c>
      <c r="HV56" t="s">
        <v>74</v>
      </c>
      <c r="HW56">
        <v>40</v>
      </c>
      <c r="HZ56">
        <f t="shared" si="261"/>
        <v>40</v>
      </c>
      <c r="IH56" t="s">
        <v>74</v>
      </c>
      <c r="II56">
        <v>36.299999999999997</v>
      </c>
      <c r="IL56">
        <f t="shared" si="262"/>
        <v>36.299999999999997</v>
      </c>
      <c r="IT56" t="s">
        <v>74</v>
      </c>
      <c r="IU56">
        <v>40</v>
      </c>
      <c r="IX56">
        <f t="shared" si="263"/>
        <v>40</v>
      </c>
    </row>
    <row r="57" spans="2:263">
      <c r="K57">
        <f>K22-F56</f>
        <v>366.57266481481383</v>
      </c>
      <c r="W57">
        <f>W22-R56</f>
        <v>198.01050000000032</v>
      </c>
      <c r="Z57" t="s">
        <v>12</v>
      </c>
      <c r="AD57">
        <f>SUM(AD25:AD55)</f>
        <v>8105.1370000000006</v>
      </c>
      <c r="AU57">
        <f>AU21-AP56</f>
        <v>80.017398148147549</v>
      </c>
      <c r="AX57" t="s">
        <v>12</v>
      </c>
      <c r="BB57">
        <f>SUM(BB25:BB55)</f>
        <v>8039.0370000000003</v>
      </c>
      <c r="BV57" t="s">
        <v>64</v>
      </c>
      <c r="BW57">
        <v>38.5</v>
      </c>
      <c r="BZ57">
        <f t="shared" ref="BZ57" si="280">SUM(BW57:BY57)</f>
        <v>38.5</v>
      </c>
      <c r="CH57" t="s">
        <v>64</v>
      </c>
      <c r="CI57">
        <v>38.5</v>
      </c>
      <c r="CL57">
        <f t="shared" ref="CL57" si="281">SUM(CI57:CK57)</f>
        <v>38.5</v>
      </c>
      <c r="DF57" t="s">
        <v>29</v>
      </c>
      <c r="DG57">
        <v>50</v>
      </c>
      <c r="DJ57">
        <f t="shared" ref="DJ57" si="282">SUM(DG57:DI57)</f>
        <v>50</v>
      </c>
      <c r="DR57" t="s">
        <v>30</v>
      </c>
      <c r="DV57">
        <v>250</v>
      </c>
      <c r="ED57" t="s">
        <v>32</v>
      </c>
      <c r="EE57">
        <f>16*4</f>
        <v>64</v>
      </c>
      <c r="EH57">
        <v>60</v>
      </c>
      <c r="EP57" t="s">
        <v>32</v>
      </c>
      <c r="EQ57">
        <f>16*4</f>
        <v>64</v>
      </c>
      <c r="ET57">
        <f t="shared" si="258"/>
        <v>64</v>
      </c>
      <c r="FB57" t="s">
        <v>29</v>
      </c>
      <c r="FC57">
        <v>50</v>
      </c>
      <c r="FF57">
        <f t="shared" si="254"/>
        <v>50</v>
      </c>
      <c r="FN57" t="s">
        <v>29</v>
      </c>
      <c r="FO57">
        <v>50</v>
      </c>
      <c r="FR57">
        <f t="shared" si="255"/>
        <v>50</v>
      </c>
      <c r="FZ57" t="s">
        <v>75</v>
      </c>
      <c r="GD57">
        <f t="shared" si="264"/>
        <v>0</v>
      </c>
      <c r="GL57" t="s">
        <v>29</v>
      </c>
      <c r="GM57">
        <v>50</v>
      </c>
      <c r="GP57">
        <f t="shared" si="257"/>
        <v>50</v>
      </c>
      <c r="GX57" t="s">
        <v>28</v>
      </c>
      <c r="GY57">
        <v>66</v>
      </c>
      <c r="HB57">
        <f t="shared" si="259"/>
        <v>66</v>
      </c>
      <c r="HJ57" t="s">
        <v>28</v>
      </c>
      <c r="HK57">
        <v>66</v>
      </c>
      <c r="HN57">
        <f t="shared" si="260"/>
        <v>66</v>
      </c>
      <c r="HV57" t="s">
        <v>28</v>
      </c>
      <c r="HW57">
        <v>66</v>
      </c>
      <c r="HZ57">
        <f t="shared" si="261"/>
        <v>66</v>
      </c>
      <c r="IH57" t="s">
        <v>28</v>
      </c>
      <c r="II57">
        <v>66</v>
      </c>
      <c r="IL57">
        <f t="shared" si="262"/>
        <v>66</v>
      </c>
      <c r="IT57" t="s">
        <v>28</v>
      </c>
      <c r="IU57">
        <v>66</v>
      </c>
      <c r="IX57">
        <f t="shared" si="263"/>
        <v>66</v>
      </c>
    </row>
    <row r="58" spans="2:263">
      <c r="AI58">
        <f>AI22-AD57</f>
        <v>-273.52806481481639</v>
      </c>
      <c r="BG58">
        <f>BG22-BB57</f>
        <v>42.569898148147331</v>
      </c>
      <c r="CT58" t="s">
        <v>12</v>
      </c>
      <c r="CX58">
        <f>SUM(CX26:CX56)</f>
        <v>7680.8150000000005</v>
      </c>
      <c r="DC58">
        <f>DC23-CX58</f>
        <v>-324.7269907407408</v>
      </c>
      <c r="DF58" t="s">
        <v>30</v>
      </c>
      <c r="DJ58">
        <v>250</v>
      </c>
      <c r="DR58" t="s">
        <v>64</v>
      </c>
      <c r="DS58">
        <v>38.5</v>
      </c>
      <c r="DV58">
        <f t="shared" ref="DV58" si="283">SUM(DS58:DU58)</f>
        <v>38.5</v>
      </c>
      <c r="ED58" t="s">
        <v>29</v>
      </c>
      <c r="EE58">
        <v>50</v>
      </c>
      <c r="EH58">
        <f t="shared" ref="EH58" si="284">SUM(EE58:EG58)</f>
        <v>50</v>
      </c>
      <c r="EP58" t="s">
        <v>29</v>
      </c>
      <c r="EQ58">
        <v>50</v>
      </c>
      <c r="ET58">
        <f t="shared" si="258"/>
        <v>50</v>
      </c>
      <c r="FB58" t="s">
        <v>30</v>
      </c>
      <c r="FF58">
        <v>250</v>
      </c>
      <c r="FN58" t="s">
        <v>30</v>
      </c>
      <c r="FR58">
        <v>250</v>
      </c>
      <c r="FZ58" t="s">
        <v>74</v>
      </c>
      <c r="GA58">
        <v>40</v>
      </c>
      <c r="GD58">
        <f t="shared" si="264"/>
        <v>40</v>
      </c>
      <c r="GL58" t="s">
        <v>30</v>
      </c>
      <c r="GP58">
        <v>250</v>
      </c>
      <c r="GX58" t="s">
        <v>32</v>
      </c>
      <c r="GY58">
        <f>16*4</f>
        <v>64</v>
      </c>
      <c r="HB58">
        <f t="shared" si="259"/>
        <v>64</v>
      </c>
      <c r="HJ58" t="s">
        <v>32</v>
      </c>
      <c r="HK58">
        <f>16*4</f>
        <v>64</v>
      </c>
      <c r="HN58">
        <f t="shared" si="260"/>
        <v>64</v>
      </c>
      <c r="HV58" t="s">
        <v>32</v>
      </c>
      <c r="HW58">
        <f>16*4</f>
        <v>64</v>
      </c>
      <c r="HZ58">
        <f t="shared" si="261"/>
        <v>64</v>
      </c>
      <c r="IH58" t="s">
        <v>32</v>
      </c>
      <c r="II58">
        <f>16*4</f>
        <v>64</v>
      </c>
      <c r="IL58">
        <f t="shared" si="262"/>
        <v>64</v>
      </c>
      <c r="IT58" t="s">
        <v>32</v>
      </c>
      <c r="IU58">
        <f>16*4</f>
        <v>64</v>
      </c>
      <c r="IX58">
        <f t="shared" si="263"/>
        <v>64</v>
      </c>
    </row>
    <row r="59" spans="2:263">
      <c r="BV59" t="s">
        <v>12</v>
      </c>
      <c r="BZ59">
        <f>SUM(BZ26:BZ57)</f>
        <v>7759.6149999999998</v>
      </c>
      <c r="CE59">
        <f>CE23-BZ59</f>
        <v>-651.35032407407289</v>
      </c>
      <c r="CH59" t="s">
        <v>12</v>
      </c>
      <c r="CL59">
        <f>SUM(CL26:CL57)</f>
        <v>7799.2150000000001</v>
      </c>
      <c r="CQ59">
        <f>CQ23-CL59</f>
        <v>-410.90699074074109</v>
      </c>
      <c r="DF59" t="s">
        <v>64</v>
      </c>
      <c r="DG59">
        <v>38.5</v>
      </c>
      <c r="DJ59">
        <f t="shared" ref="DJ59" si="285">SUM(DG59:DI59)</f>
        <v>38.5</v>
      </c>
      <c r="ED59" t="s">
        <v>30</v>
      </c>
      <c r="EH59">
        <v>250</v>
      </c>
      <c r="EP59" t="s">
        <v>30</v>
      </c>
      <c r="ET59">
        <v>250</v>
      </c>
      <c r="FB59" t="s">
        <v>64</v>
      </c>
      <c r="FC59">
        <v>38.5</v>
      </c>
      <c r="FF59">
        <f t="shared" ref="FF59" si="286">SUM(FC59:FE59)</f>
        <v>38.5</v>
      </c>
      <c r="FN59" t="s">
        <v>64</v>
      </c>
      <c r="FO59">
        <v>38.5</v>
      </c>
      <c r="FR59">
        <f t="shared" ref="FR59" si="287">SUM(FO59:FQ59)</f>
        <v>38.5</v>
      </c>
      <c r="FZ59" t="s">
        <v>28</v>
      </c>
      <c r="GA59">
        <v>66</v>
      </c>
      <c r="GD59">
        <f t="shared" si="264"/>
        <v>66</v>
      </c>
      <c r="GL59" t="s">
        <v>64</v>
      </c>
      <c r="GM59">
        <v>38.5</v>
      </c>
      <c r="GP59">
        <f t="shared" ref="GP59" si="288">SUM(GM59:GO59)</f>
        <v>38.5</v>
      </c>
      <c r="GX59" t="s">
        <v>29</v>
      </c>
      <c r="GY59">
        <v>50</v>
      </c>
      <c r="HB59">
        <f t="shared" si="259"/>
        <v>50</v>
      </c>
      <c r="HJ59" t="s">
        <v>29</v>
      </c>
      <c r="HK59">
        <v>50</v>
      </c>
      <c r="HN59">
        <f t="shared" si="260"/>
        <v>50</v>
      </c>
      <c r="HV59" t="s">
        <v>29</v>
      </c>
      <c r="HW59">
        <v>50</v>
      </c>
      <c r="HZ59">
        <f t="shared" si="261"/>
        <v>50</v>
      </c>
      <c r="IH59" t="s">
        <v>29</v>
      </c>
      <c r="II59">
        <v>50</v>
      </c>
      <c r="IL59">
        <f t="shared" si="262"/>
        <v>50</v>
      </c>
      <c r="IT59" t="s">
        <v>29</v>
      </c>
      <c r="IU59">
        <v>50</v>
      </c>
      <c r="IX59">
        <f t="shared" si="263"/>
        <v>50</v>
      </c>
    </row>
    <row r="60" spans="2:263">
      <c r="DR60" t="s">
        <v>12</v>
      </c>
      <c r="DV60">
        <f>SUM(DV29:DV58)</f>
        <v>7555.9989999999998</v>
      </c>
      <c r="EA60">
        <f>EA26-DV60</f>
        <v>1433.2757962962969</v>
      </c>
      <c r="ED60" t="s">
        <v>64</v>
      </c>
      <c r="EE60">
        <v>38.5</v>
      </c>
      <c r="EH60">
        <f t="shared" ref="EH60" si="289">SUM(EE60:EG60)</f>
        <v>38.5</v>
      </c>
      <c r="EP60" t="s">
        <v>64</v>
      </c>
      <c r="EQ60">
        <v>38.5</v>
      </c>
      <c r="ET60">
        <f t="shared" ref="ET60" si="290">SUM(EQ60:ES60)</f>
        <v>38.5</v>
      </c>
      <c r="FZ60" t="s">
        <v>32</v>
      </c>
      <c r="GA60">
        <f>16*4</f>
        <v>64</v>
      </c>
      <c r="GD60">
        <f t="shared" si="264"/>
        <v>64</v>
      </c>
      <c r="GX60" t="s">
        <v>30</v>
      </c>
      <c r="HB60">
        <v>250</v>
      </c>
      <c r="HJ60" t="s">
        <v>30</v>
      </c>
      <c r="HN60">
        <v>250</v>
      </c>
      <c r="HV60" t="s">
        <v>30</v>
      </c>
      <c r="HZ60">
        <v>250</v>
      </c>
      <c r="IH60" t="s">
        <v>30</v>
      </c>
      <c r="IL60">
        <v>250</v>
      </c>
      <c r="IT60" t="s">
        <v>30</v>
      </c>
      <c r="IX60">
        <v>250</v>
      </c>
    </row>
    <row r="61" spans="2:263">
      <c r="DF61" t="s">
        <v>12</v>
      </c>
      <c r="DJ61">
        <f>SUM(DJ30:DJ59)</f>
        <v>7736.415</v>
      </c>
      <c r="DO61">
        <f>DO27-DJ61</f>
        <v>598.76375000000098</v>
      </c>
      <c r="FB61" t="s">
        <v>12</v>
      </c>
      <c r="FF61">
        <f>SUM(FF28:FF59)</f>
        <v>8165.6497951783867</v>
      </c>
      <c r="FK61">
        <f>FK25-FF61</f>
        <v>-248.54950258579356</v>
      </c>
      <c r="FN61" t="s">
        <v>12</v>
      </c>
      <c r="FR61">
        <f>SUM(FR28:FR59)</f>
        <v>7589.543795178387</v>
      </c>
      <c r="FW61">
        <f>FW25-FR61</f>
        <v>57.132356673466347</v>
      </c>
      <c r="FZ61" t="s">
        <v>29</v>
      </c>
      <c r="GA61">
        <v>50</v>
      </c>
      <c r="GD61">
        <f t="shared" si="264"/>
        <v>50</v>
      </c>
      <c r="GL61" t="s">
        <v>12</v>
      </c>
      <c r="GP61">
        <f>SUM(GP28:GP59)</f>
        <v>8136.543795178387</v>
      </c>
      <c r="GU61">
        <f>GU25-GP61</f>
        <v>-523.38037295616414</v>
      </c>
      <c r="GX61" t="s">
        <v>64</v>
      </c>
      <c r="GY61">
        <v>38.5</v>
      </c>
      <c r="HB61">
        <f t="shared" ref="HB61" si="291">SUM(GY61:HA61)</f>
        <v>38.5</v>
      </c>
      <c r="HJ61" t="s">
        <v>64</v>
      </c>
      <c r="HK61">
        <v>38.5</v>
      </c>
      <c r="HN61">
        <f t="shared" ref="HN61" si="292">SUM(HK61:HM61)</f>
        <v>38.5</v>
      </c>
      <c r="HV61" t="s">
        <v>64</v>
      </c>
      <c r="HW61">
        <v>38.5</v>
      </c>
      <c r="HZ61">
        <f t="shared" ref="HZ61" si="293">SUM(HW61:HY61)</f>
        <v>38.5</v>
      </c>
      <c r="IH61" t="s">
        <v>64</v>
      </c>
      <c r="II61">
        <v>38.5</v>
      </c>
      <c r="IL61">
        <f t="shared" ref="IL61" si="294">SUM(II61:IK61)</f>
        <v>38.5</v>
      </c>
      <c r="IT61" t="s">
        <v>64</v>
      </c>
      <c r="IU61">
        <v>38.5</v>
      </c>
      <c r="IX61">
        <f t="shared" ref="IX61" si="295">SUM(IU61:IW61)</f>
        <v>38.5</v>
      </c>
    </row>
    <row r="62" spans="2:263">
      <c r="ED62" t="s">
        <v>12</v>
      </c>
      <c r="EH62">
        <f>SUM(EH29:EH60)</f>
        <v>8331.9150000000009</v>
      </c>
      <c r="EM62">
        <f>EM26-EH62</f>
        <v>1009.4206018518507</v>
      </c>
      <c r="EP62" t="s">
        <v>12</v>
      </c>
      <c r="ET62">
        <f>SUM(ET29:ET60)</f>
        <v>8215.9305624999997</v>
      </c>
      <c r="EY62">
        <f>EY26-ET62</f>
        <v>287.9006782407414</v>
      </c>
      <c r="FZ62" t="s">
        <v>30</v>
      </c>
      <c r="GD62">
        <v>250</v>
      </c>
    </row>
    <row r="63" spans="2:263">
      <c r="FZ63" t="s">
        <v>64</v>
      </c>
      <c r="GA63">
        <v>38.5</v>
      </c>
      <c r="GD63">
        <f t="shared" ref="GD63" si="296">SUM(GA63:GC63)</f>
        <v>38.5</v>
      </c>
      <c r="GX63" t="s">
        <v>12</v>
      </c>
      <c r="HB63">
        <f>SUM(HB30:HB61)</f>
        <v>7493.3192326783865</v>
      </c>
      <c r="HG63">
        <f>HG27-HB63</f>
        <v>-190.5799511969044</v>
      </c>
      <c r="HJ63" t="s">
        <v>12</v>
      </c>
      <c r="HN63">
        <f>SUM(HN30:HN61)</f>
        <v>6907.2132326783867</v>
      </c>
      <c r="HS63">
        <f>HS27-HN63</f>
        <v>53.844308062353775</v>
      </c>
      <c r="HV63" t="s">
        <v>12</v>
      </c>
      <c r="HZ63">
        <f>SUM(HZ30:HZ61)</f>
        <v>8092.4252326783871</v>
      </c>
      <c r="IE63">
        <f>IE27-HZ63</f>
        <v>-415.96162897468275</v>
      </c>
      <c r="IH63" t="s">
        <v>12</v>
      </c>
      <c r="IL63">
        <f>SUM(IL30:IL61)</f>
        <v>7908.1722326783865</v>
      </c>
      <c r="IQ63">
        <f>IQ27-IL63</f>
        <v>-348.62662897468181</v>
      </c>
      <c r="IT63" t="s">
        <v>12</v>
      </c>
      <c r="IX63">
        <f>SUM(IX30:IX61)</f>
        <v>7482.0010000000002</v>
      </c>
      <c r="JC63">
        <f>JC27-IX63</f>
        <v>2617.6390370370373</v>
      </c>
    </row>
    <row r="65" spans="182:191">
      <c r="FZ65" t="s">
        <v>12</v>
      </c>
      <c r="GD65">
        <f>SUM(GD32:GD63)</f>
        <v>8180.2027951783866</v>
      </c>
      <c r="GI65">
        <f>GI29-GD65</f>
        <v>201.02623445124391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월별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안병규</dc:creator>
  <cp:lastModifiedBy>6319</cp:lastModifiedBy>
  <dcterms:created xsi:type="dcterms:W3CDTF">2023-02-08T11:54:09Z</dcterms:created>
  <dcterms:modified xsi:type="dcterms:W3CDTF">2025-09-25T06:19:30Z</dcterms:modified>
</cp:coreProperties>
</file>