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fbsguest/Dropbox/BCA/"/>
    </mc:Choice>
  </mc:AlternateContent>
  <xr:revisionPtr revIDLastSave="0" documentId="10_ncr:8100000_{5D8D3D2B-9B7D-4341-B286-8FE4D6F17B44}" xr6:coauthVersionLast="34" xr6:coauthVersionMax="34" xr10:uidLastSave="{00000000-0000-0000-0000-000000000000}"/>
  <bookViews>
    <workbookView xWindow="0" yWindow="0" windowWidth="33600" windowHeight="21000" tabRatio="500" xr2:uid="{00000000-000D-0000-FFFF-FFFF00000000}"/>
  </bookViews>
  <sheets>
    <sheet name="Read Me First" sheetId="11" r:id="rId1"/>
    <sheet name="Punchline" sheetId="9" r:id="rId2"/>
    <sheet name="Assumptions" sheetId="1" r:id="rId3"/>
    <sheet name="Premiums" sheetId="3" r:id="rId4"/>
    <sheet name="Work Requirements" sheetId="5" r:id="rId5"/>
    <sheet name="Co-Pays" sheetId="4" r:id="rId6"/>
    <sheet name="Healthy Behavior Incentives" sheetId="6" r:id="rId7"/>
    <sheet name="Sensitivity Analysis" sheetId="10" r:id="rId8"/>
  </sheets>
  <definedNames>
    <definedName name="_ftn1" localSheetId="6">'Healthy Behavior Incentives'!$A$12</definedName>
    <definedName name="_ftnref1" localSheetId="6">'Healthy Behavior Incentives'!$B$2</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9" l="1"/>
  <c r="B56" i="1"/>
  <c r="E4" i="9"/>
  <c r="E3" i="9"/>
  <c r="B10" i="9"/>
  <c r="B9" i="9"/>
  <c r="B8" i="9"/>
  <c r="B7" i="9"/>
  <c r="B5" i="9"/>
  <c r="B4" i="9"/>
  <c r="B3" i="9"/>
  <c r="B2" i="9"/>
  <c r="B47" i="1" l="1"/>
  <c r="B57" i="1"/>
  <c r="M24" i="3" l="1"/>
  <c r="N24" i="3"/>
  <c r="O24" i="3"/>
  <c r="P24" i="3"/>
  <c r="Q24" i="3"/>
  <c r="R24" i="3"/>
  <c r="S24" i="3"/>
  <c r="S31" i="3" s="1"/>
  <c r="T24" i="3"/>
  <c r="U24" i="3"/>
  <c r="V24" i="3"/>
  <c r="W24" i="3"/>
  <c r="X24" i="3"/>
  <c r="Y24" i="3"/>
  <c r="Z24" i="3"/>
  <c r="AA24" i="3"/>
  <c r="AA31" i="3" s="1"/>
  <c r="M25" i="3"/>
  <c r="M31" i="3" s="1"/>
  <c r="N25" i="3"/>
  <c r="O25" i="3"/>
  <c r="P25" i="3"/>
  <c r="Q25" i="3"/>
  <c r="R25" i="3"/>
  <c r="S25" i="3"/>
  <c r="T25" i="3"/>
  <c r="U25" i="3"/>
  <c r="U31" i="3" s="1"/>
  <c r="V25" i="3"/>
  <c r="W25" i="3"/>
  <c r="X25" i="3"/>
  <c r="Y25" i="3"/>
  <c r="Y31" i="3" s="1"/>
  <c r="Z25" i="3"/>
  <c r="Z31" i="3" s="1"/>
  <c r="AA25" i="3"/>
  <c r="M28" i="3"/>
  <c r="N28" i="3"/>
  <c r="N31" i="3" s="1"/>
  <c r="O28" i="3"/>
  <c r="P28" i="3"/>
  <c r="Q28" i="3"/>
  <c r="R28" i="3"/>
  <c r="S28" i="3"/>
  <c r="T28" i="3"/>
  <c r="U28" i="3"/>
  <c r="V28" i="3"/>
  <c r="V31" i="3" s="1"/>
  <c r="W28" i="3"/>
  <c r="X28" i="3"/>
  <c r="Y28" i="3"/>
  <c r="Z28" i="3"/>
  <c r="AA28" i="3"/>
  <c r="M29" i="3"/>
  <c r="N29" i="3"/>
  <c r="O29" i="3"/>
  <c r="O31" i="3" s="1"/>
  <c r="P29" i="3"/>
  <c r="Q29" i="3"/>
  <c r="R29" i="3"/>
  <c r="S29" i="3"/>
  <c r="T29" i="3"/>
  <c r="U29" i="3"/>
  <c r="V29" i="3"/>
  <c r="W29" i="3"/>
  <c r="W31" i="3" s="1"/>
  <c r="X29" i="3"/>
  <c r="Y29" i="3"/>
  <c r="Z29" i="3"/>
  <c r="AA29" i="3"/>
  <c r="P31" i="3"/>
  <c r="Q31" i="3"/>
  <c r="R31" i="3"/>
  <c r="X31" i="3"/>
  <c r="O37" i="4"/>
  <c r="O39" i="4" s="1"/>
  <c r="AB39" i="6"/>
  <c r="E25" i="6"/>
  <c r="F25" i="6"/>
  <c r="G25" i="6"/>
  <c r="H25" i="6"/>
  <c r="I25" i="6"/>
  <c r="J25" i="6"/>
  <c r="K25" i="6"/>
  <c r="L25" i="6"/>
  <c r="M25" i="6"/>
  <c r="N25" i="6"/>
  <c r="O25" i="6"/>
  <c r="P25" i="6"/>
  <c r="Q25" i="6"/>
  <c r="R25" i="6"/>
  <c r="S25" i="6"/>
  <c r="T25" i="6"/>
  <c r="U25" i="6"/>
  <c r="V25" i="6"/>
  <c r="W25" i="6"/>
  <c r="X25" i="6"/>
  <c r="Y25" i="6"/>
  <c r="Z25" i="6"/>
  <c r="AA25" i="6"/>
  <c r="D25" i="6"/>
  <c r="C25" i="6"/>
  <c r="B25" i="6"/>
  <c r="B54" i="5"/>
  <c r="B43" i="1"/>
  <c r="C29" i="3"/>
  <c r="C41" i="3"/>
  <c r="C44" i="3" s="1"/>
  <c r="S42" i="6"/>
  <c r="S44" i="6" s="1"/>
  <c r="T42" i="6"/>
  <c r="T44" i="6" s="1"/>
  <c r="U42" i="6"/>
  <c r="U44" i="6" s="1"/>
  <c r="V42" i="6"/>
  <c r="V44" i="6" s="1"/>
  <c r="W42" i="6"/>
  <c r="W44" i="6" s="1"/>
  <c r="X42" i="6"/>
  <c r="X44" i="6" s="1"/>
  <c r="Y42" i="6"/>
  <c r="Y44" i="6" s="1"/>
  <c r="Z42" i="6"/>
  <c r="Z44" i="6" s="1"/>
  <c r="AA42" i="6"/>
  <c r="AA44" i="6" s="1"/>
  <c r="E42" i="6"/>
  <c r="E44" i="6" s="1"/>
  <c r="F42" i="6"/>
  <c r="F44" i="6" s="1"/>
  <c r="G42" i="6"/>
  <c r="G44" i="6" s="1"/>
  <c r="H42" i="6"/>
  <c r="H44" i="6" s="1"/>
  <c r="I42" i="6"/>
  <c r="I44" i="6" s="1"/>
  <c r="J42" i="6"/>
  <c r="J44" i="6" s="1"/>
  <c r="K42" i="6"/>
  <c r="K44" i="6" s="1"/>
  <c r="L42" i="6"/>
  <c r="L44" i="6" s="1"/>
  <c r="M42" i="6"/>
  <c r="M44" i="6" s="1"/>
  <c r="N42" i="6"/>
  <c r="N44" i="6" s="1"/>
  <c r="O42" i="6"/>
  <c r="O44" i="6" s="1"/>
  <c r="P42" i="6"/>
  <c r="P44" i="6" s="1"/>
  <c r="Q42" i="6"/>
  <c r="Q44" i="6" s="1"/>
  <c r="R42" i="6"/>
  <c r="R44" i="6" s="1"/>
  <c r="D42" i="6"/>
  <c r="D44" i="6" s="1"/>
  <c r="C42" i="6"/>
  <c r="C44" i="6" s="1"/>
  <c r="B42" i="6"/>
  <c r="B44" i="6" s="1"/>
  <c r="W27" i="6"/>
  <c r="X27" i="6"/>
  <c r="Y27" i="6"/>
  <c r="Z27" i="6"/>
  <c r="AA27" i="6"/>
  <c r="E27" i="6"/>
  <c r="F27" i="6"/>
  <c r="G27" i="6"/>
  <c r="H27" i="6"/>
  <c r="I27" i="6"/>
  <c r="J27" i="6"/>
  <c r="K27" i="6"/>
  <c r="L27" i="6"/>
  <c r="M27" i="6"/>
  <c r="N27" i="6"/>
  <c r="O27" i="6"/>
  <c r="P27" i="6"/>
  <c r="Q27" i="6"/>
  <c r="R27" i="6"/>
  <c r="S27" i="6"/>
  <c r="T27" i="6"/>
  <c r="U27" i="6"/>
  <c r="V27" i="6"/>
  <c r="D27" i="6"/>
  <c r="C27" i="6"/>
  <c r="B27" i="6"/>
  <c r="X24" i="6"/>
  <c r="Y24" i="6"/>
  <c r="Z24" i="6"/>
  <c r="AA24" i="6"/>
  <c r="C24" i="6"/>
  <c r="D24" i="6"/>
  <c r="E24" i="6"/>
  <c r="F24" i="6"/>
  <c r="G24" i="6"/>
  <c r="H24" i="6"/>
  <c r="I24" i="6"/>
  <c r="J24" i="6"/>
  <c r="K24" i="6"/>
  <c r="L24" i="6"/>
  <c r="M24" i="6"/>
  <c r="N24" i="6"/>
  <c r="O24" i="6"/>
  <c r="P24" i="6"/>
  <c r="Q24" i="6"/>
  <c r="R24" i="6"/>
  <c r="S24" i="6"/>
  <c r="T24" i="6"/>
  <c r="U24" i="6"/>
  <c r="V24" i="6"/>
  <c r="W24" i="6"/>
  <c r="B24" i="6"/>
  <c r="Y25" i="4"/>
  <c r="Z25" i="4"/>
  <c r="AA25" i="4"/>
  <c r="C25" i="4"/>
  <c r="D25" i="4"/>
  <c r="E25" i="4"/>
  <c r="F25" i="4"/>
  <c r="G25" i="4"/>
  <c r="H25" i="4"/>
  <c r="I25" i="4"/>
  <c r="J25" i="4"/>
  <c r="K25" i="4"/>
  <c r="L25" i="4"/>
  <c r="M25" i="4"/>
  <c r="N25" i="4"/>
  <c r="O25" i="4"/>
  <c r="P25" i="4"/>
  <c r="Q25" i="4"/>
  <c r="R25" i="4"/>
  <c r="S25" i="4"/>
  <c r="T25" i="4"/>
  <c r="U25" i="4"/>
  <c r="V25" i="4"/>
  <c r="W25" i="4"/>
  <c r="X25" i="4"/>
  <c r="B25" i="4"/>
  <c r="M37" i="4"/>
  <c r="M39" i="4" s="1"/>
  <c r="N37" i="4"/>
  <c r="N39" i="4" s="1"/>
  <c r="P37" i="4"/>
  <c r="P39" i="4" s="1"/>
  <c r="Q37" i="4"/>
  <c r="Q39" i="4" s="1"/>
  <c r="R37" i="4"/>
  <c r="R39" i="4" s="1"/>
  <c r="S37" i="4"/>
  <c r="S39" i="4" s="1"/>
  <c r="T37" i="4"/>
  <c r="T39" i="4" s="1"/>
  <c r="U37" i="4"/>
  <c r="U39" i="4" s="1"/>
  <c r="V37" i="4"/>
  <c r="V39" i="4" s="1"/>
  <c r="X37" i="4"/>
  <c r="X39" i="4" s="1"/>
  <c r="Y37" i="4"/>
  <c r="Y39" i="4" s="1"/>
  <c r="Z37" i="4"/>
  <c r="Z39" i="4" s="1"/>
  <c r="AA37" i="4"/>
  <c r="AA39" i="4" s="1"/>
  <c r="C37" i="4"/>
  <c r="C39" i="4" s="1"/>
  <c r="D37" i="4"/>
  <c r="D39" i="4" s="1"/>
  <c r="E37" i="4"/>
  <c r="E39" i="4" s="1"/>
  <c r="G37" i="4"/>
  <c r="G39" i="4" s="1"/>
  <c r="H37" i="4"/>
  <c r="H39" i="4" s="1"/>
  <c r="I37" i="4"/>
  <c r="I39" i="4" s="1"/>
  <c r="J37" i="4"/>
  <c r="J39" i="4" s="1"/>
  <c r="K37" i="4"/>
  <c r="K39" i="4" s="1"/>
  <c r="L37" i="4"/>
  <c r="L39" i="4" s="1"/>
  <c r="B37" i="4"/>
  <c r="B39" i="4" s="1"/>
  <c r="N24" i="4"/>
  <c r="O24" i="4"/>
  <c r="P24" i="4"/>
  <c r="Q24" i="4"/>
  <c r="R24" i="4"/>
  <c r="S24" i="4"/>
  <c r="T24" i="4"/>
  <c r="U24" i="4"/>
  <c r="U27" i="4" s="1"/>
  <c r="V24" i="4"/>
  <c r="W24" i="4"/>
  <c r="X24" i="4"/>
  <c r="Y24" i="4"/>
  <c r="Z24" i="4"/>
  <c r="AA24" i="4"/>
  <c r="C24" i="4"/>
  <c r="D24" i="4"/>
  <c r="E24" i="4"/>
  <c r="F24" i="4"/>
  <c r="G24" i="4"/>
  <c r="H24" i="4"/>
  <c r="I24" i="4"/>
  <c r="J24" i="4"/>
  <c r="K24" i="4"/>
  <c r="L24" i="4"/>
  <c r="M24" i="4"/>
  <c r="B24" i="4"/>
  <c r="B41" i="3"/>
  <c r="B44" i="3" s="1"/>
  <c r="B29" i="3"/>
  <c r="B28" i="3"/>
  <c r="B25" i="3"/>
  <c r="B49" i="1"/>
  <c r="R41" i="3" s="1"/>
  <c r="R44" i="3" s="1"/>
  <c r="B48" i="1"/>
  <c r="D25" i="3" s="1"/>
  <c r="C24" i="3"/>
  <c r="D24" i="3"/>
  <c r="E24" i="3"/>
  <c r="F24" i="3"/>
  <c r="G24" i="3"/>
  <c r="H24" i="3"/>
  <c r="I24" i="3"/>
  <c r="J24" i="3"/>
  <c r="K24" i="3"/>
  <c r="L24" i="3"/>
  <c r="B24" i="3"/>
  <c r="R51" i="5"/>
  <c r="R54" i="5" s="1"/>
  <c r="S51" i="5"/>
  <c r="S54" i="5" s="1"/>
  <c r="T51" i="5"/>
  <c r="T54" i="5" s="1"/>
  <c r="U51" i="5"/>
  <c r="U54" i="5" s="1"/>
  <c r="V51" i="5"/>
  <c r="V54" i="5" s="1"/>
  <c r="W51" i="5"/>
  <c r="W54" i="5" s="1"/>
  <c r="X51" i="5"/>
  <c r="X54" i="5" s="1"/>
  <c r="Y51" i="5"/>
  <c r="Y54" i="5" s="1"/>
  <c r="Z51" i="5"/>
  <c r="Z54" i="5" s="1"/>
  <c r="AA51" i="5"/>
  <c r="AA54" i="5" s="1"/>
  <c r="F51" i="5"/>
  <c r="F54" i="5" s="1"/>
  <c r="G51" i="5"/>
  <c r="G54" i="5" s="1"/>
  <c r="H51" i="5"/>
  <c r="H54" i="5" s="1"/>
  <c r="I51" i="5"/>
  <c r="I54" i="5" s="1"/>
  <c r="J51" i="5"/>
  <c r="J54" i="5" s="1"/>
  <c r="K51" i="5"/>
  <c r="K54" i="5" s="1"/>
  <c r="L51" i="5"/>
  <c r="L54" i="5" s="1"/>
  <c r="M51" i="5"/>
  <c r="M54" i="5" s="1"/>
  <c r="N51" i="5"/>
  <c r="N54" i="5" s="1"/>
  <c r="O51" i="5"/>
  <c r="O54" i="5" s="1"/>
  <c r="P51" i="5"/>
  <c r="P54" i="5" s="1"/>
  <c r="Q51" i="5"/>
  <c r="Q54" i="5" s="1"/>
  <c r="E51" i="5"/>
  <c r="E54" i="5" s="1"/>
  <c r="D51" i="5"/>
  <c r="D54" i="5" s="1"/>
  <c r="C51" i="5"/>
  <c r="C54" i="5" s="1"/>
  <c r="N36" i="5"/>
  <c r="O36" i="5"/>
  <c r="P36" i="5"/>
  <c r="Q36" i="5"/>
  <c r="R36" i="5"/>
  <c r="S36" i="5"/>
  <c r="T36" i="5"/>
  <c r="U36" i="5"/>
  <c r="V36" i="5"/>
  <c r="W36" i="5"/>
  <c r="X36" i="5"/>
  <c r="Y36" i="5"/>
  <c r="Z36" i="5"/>
  <c r="AA36" i="5"/>
  <c r="F36" i="5"/>
  <c r="G36" i="5"/>
  <c r="H36" i="5"/>
  <c r="I36" i="5"/>
  <c r="J36" i="5"/>
  <c r="K36" i="5"/>
  <c r="L36" i="5"/>
  <c r="M36" i="5"/>
  <c r="E36" i="5"/>
  <c r="C36" i="5"/>
  <c r="D36" i="5"/>
  <c r="P35" i="5"/>
  <c r="Q35" i="5"/>
  <c r="R35" i="5"/>
  <c r="S35" i="5"/>
  <c r="T35" i="5"/>
  <c r="U35" i="5"/>
  <c r="V35" i="5"/>
  <c r="W35" i="5"/>
  <c r="X35" i="5"/>
  <c r="Y35" i="5"/>
  <c r="Z35" i="5"/>
  <c r="AA35" i="5"/>
  <c r="F35" i="5"/>
  <c r="G35" i="5"/>
  <c r="H35" i="5"/>
  <c r="I35" i="5"/>
  <c r="J35" i="5"/>
  <c r="K35" i="5"/>
  <c r="L35" i="5"/>
  <c r="M35" i="5"/>
  <c r="N35" i="5"/>
  <c r="O35" i="5"/>
  <c r="E35" i="5"/>
  <c r="D35" i="5"/>
  <c r="C35" i="5"/>
  <c r="R32" i="5"/>
  <c r="S32" i="5"/>
  <c r="T32" i="5"/>
  <c r="U32" i="5"/>
  <c r="V32" i="5"/>
  <c r="W32" i="5"/>
  <c r="X32" i="5"/>
  <c r="Y32" i="5"/>
  <c r="Z32" i="5"/>
  <c r="AA32" i="5"/>
  <c r="F32" i="5"/>
  <c r="G32" i="5"/>
  <c r="H32" i="5"/>
  <c r="I32" i="5"/>
  <c r="J32" i="5"/>
  <c r="K32" i="5"/>
  <c r="L32" i="5"/>
  <c r="M32" i="5"/>
  <c r="N32" i="5"/>
  <c r="O32" i="5"/>
  <c r="P32" i="5"/>
  <c r="Q32" i="5"/>
  <c r="E32" i="5"/>
  <c r="D32" i="5"/>
  <c r="C32" i="5"/>
  <c r="B31" i="5"/>
  <c r="B32" i="5"/>
  <c r="U31" i="5"/>
  <c r="V31" i="5"/>
  <c r="W31" i="5"/>
  <c r="X31" i="5"/>
  <c r="Y31" i="5"/>
  <c r="Z31" i="5"/>
  <c r="AA31" i="5"/>
  <c r="L31" i="5"/>
  <c r="M31" i="5"/>
  <c r="N31" i="5"/>
  <c r="O31" i="5"/>
  <c r="P31" i="5"/>
  <c r="Q31" i="5"/>
  <c r="R31" i="5"/>
  <c r="S31" i="5"/>
  <c r="T31" i="5"/>
  <c r="F31" i="5"/>
  <c r="G31" i="5"/>
  <c r="H31" i="5"/>
  <c r="I31" i="5"/>
  <c r="J31" i="5"/>
  <c r="K31" i="5"/>
  <c r="E31" i="5"/>
  <c r="D31" i="5"/>
  <c r="C31" i="5"/>
  <c r="V24" i="5"/>
  <c r="L24" i="5"/>
  <c r="M24" i="5"/>
  <c r="N24" i="5"/>
  <c r="O24" i="5"/>
  <c r="P24" i="5"/>
  <c r="Q24" i="5"/>
  <c r="R24" i="5"/>
  <c r="S24" i="5"/>
  <c r="T24" i="5"/>
  <c r="U24" i="5"/>
  <c r="W24" i="5"/>
  <c r="X24" i="5"/>
  <c r="Y24" i="5"/>
  <c r="Z24" i="5"/>
  <c r="AA24" i="5"/>
  <c r="E24" i="5"/>
  <c r="F24" i="5"/>
  <c r="G24" i="5"/>
  <c r="H24" i="5"/>
  <c r="I24" i="5"/>
  <c r="J24" i="5"/>
  <c r="K24" i="5"/>
  <c r="D24" i="5"/>
  <c r="B24" i="5"/>
  <c r="C24" i="5"/>
  <c r="T31" i="3" l="1"/>
  <c r="Q29" i="6"/>
  <c r="I29" i="6"/>
  <c r="L29" i="3"/>
  <c r="M27" i="4"/>
  <c r="F37" i="4"/>
  <c r="F39" i="4" s="1"/>
  <c r="W37" i="4"/>
  <c r="W39" i="4" s="1"/>
  <c r="Z29" i="6"/>
  <c r="S27" i="4"/>
  <c r="Y41" i="3"/>
  <c r="Y44" i="3" s="1"/>
  <c r="C28" i="3"/>
  <c r="F29" i="3"/>
  <c r="Q41" i="3"/>
  <c r="Q44" i="3" s="1"/>
  <c r="C25" i="3"/>
  <c r="L28" i="3"/>
  <c r="P41" i="3"/>
  <c r="P44" i="3" s="1"/>
  <c r="X41" i="3"/>
  <c r="X44" i="3" s="1"/>
  <c r="K25" i="3"/>
  <c r="K28" i="3"/>
  <c r="I25" i="3"/>
  <c r="I28" i="3"/>
  <c r="E27" i="4"/>
  <c r="G29" i="3"/>
  <c r="F25" i="3"/>
  <c r="G28" i="3"/>
  <c r="M41" i="3"/>
  <c r="M44" i="3" s="1"/>
  <c r="D28" i="3"/>
  <c r="L41" i="3"/>
  <c r="L44" i="3" s="1"/>
  <c r="E25" i="3"/>
  <c r="L25" i="3"/>
  <c r="J28" i="3"/>
  <c r="K41" i="3"/>
  <c r="K44" i="3" s="1"/>
  <c r="W41" i="3"/>
  <c r="W44" i="3" s="1"/>
  <c r="AA41" i="3"/>
  <c r="AA44" i="3" s="1"/>
  <c r="J41" i="3"/>
  <c r="J44" i="3" s="1"/>
  <c r="V41" i="3"/>
  <c r="V44" i="3" s="1"/>
  <c r="Z41" i="3"/>
  <c r="Z44" i="3" s="1"/>
  <c r="J25" i="3"/>
  <c r="E28" i="3"/>
  <c r="H28" i="3"/>
  <c r="K29" i="3"/>
  <c r="I41" i="3"/>
  <c r="I44" i="3" s="1"/>
  <c r="U41" i="3"/>
  <c r="U44" i="3" s="1"/>
  <c r="E29" i="3"/>
  <c r="J29" i="3"/>
  <c r="E41" i="3"/>
  <c r="E44" i="3" s="1"/>
  <c r="H41" i="3"/>
  <c r="H44" i="3" s="1"/>
  <c r="T41" i="3"/>
  <c r="T44" i="3" s="1"/>
  <c r="E29" i="6"/>
  <c r="H25" i="3"/>
  <c r="F28" i="3"/>
  <c r="I29" i="3"/>
  <c r="O41" i="3"/>
  <c r="O44" i="3" s="1"/>
  <c r="G41" i="3"/>
  <c r="G44" i="3" s="1"/>
  <c r="S41" i="3"/>
  <c r="S44" i="3" s="1"/>
  <c r="G25" i="3"/>
  <c r="H29" i="3"/>
  <c r="N41" i="3"/>
  <c r="N44" i="3" s="1"/>
  <c r="F41" i="3"/>
  <c r="F44" i="3" s="1"/>
  <c r="K27" i="4"/>
  <c r="C27" i="4"/>
  <c r="I27" i="4"/>
  <c r="Z27" i="4"/>
  <c r="J27" i="4"/>
  <c r="AA27" i="4"/>
  <c r="R27" i="4"/>
  <c r="Q27" i="4"/>
  <c r="B29" i="6"/>
  <c r="F40" i="5"/>
  <c r="W29" i="6"/>
  <c r="O29" i="6"/>
  <c r="G29" i="6"/>
  <c r="X29" i="6"/>
  <c r="B27" i="4"/>
  <c r="V29" i="6"/>
  <c r="N29" i="6"/>
  <c r="F29" i="6"/>
  <c r="R40" i="5"/>
  <c r="U29" i="6"/>
  <c r="M29" i="6"/>
  <c r="AA40" i="5"/>
  <c r="Z40" i="5"/>
  <c r="D29" i="6"/>
  <c r="G40" i="5"/>
  <c r="U40" i="5"/>
  <c r="M40" i="5"/>
  <c r="V40" i="5"/>
  <c r="N40" i="5"/>
  <c r="H27" i="4"/>
  <c r="Y27" i="4"/>
  <c r="P29" i="6"/>
  <c r="H29" i="6"/>
  <c r="Y29" i="6"/>
  <c r="X27" i="4"/>
  <c r="P27" i="4"/>
  <c r="O27" i="4"/>
  <c r="AB27" i="6"/>
  <c r="V27" i="4"/>
  <c r="K40" i="5"/>
  <c r="Q40" i="5"/>
  <c r="T29" i="6"/>
  <c r="L29" i="6"/>
  <c r="AB42" i="6"/>
  <c r="AB44" i="6" s="1"/>
  <c r="G47" i="6" s="1"/>
  <c r="Y40" i="5"/>
  <c r="T27" i="4"/>
  <c r="S29" i="6"/>
  <c r="K29" i="6"/>
  <c r="C29" i="6"/>
  <c r="C40" i="5"/>
  <c r="O40" i="5"/>
  <c r="R29" i="6"/>
  <c r="J29" i="6"/>
  <c r="AA29" i="6"/>
  <c r="AB24" i="6"/>
  <c r="AB25" i="6"/>
  <c r="F27" i="4"/>
  <c r="W27" i="4"/>
  <c r="N27" i="4"/>
  <c r="L27" i="4"/>
  <c r="D27" i="4"/>
  <c r="G27" i="4"/>
  <c r="T40" i="5"/>
  <c r="L40" i="5"/>
  <c r="B40" i="5"/>
  <c r="E40" i="5"/>
  <c r="S40" i="5"/>
  <c r="D40" i="5"/>
  <c r="P40" i="5"/>
  <c r="I40" i="5"/>
  <c r="X40" i="5"/>
  <c r="J40" i="5"/>
  <c r="H40" i="5"/>
  <c r="W40" i="5"/>
  <c r="AB24" i="3"/>
  <c r="B31" i="3"/>
  <c r="D41" i="3"/>
  <c r="D29" i="3"/>
  <c r="AB25" i="4"/>
  <c r="AB24" i="4"/>
  <c r="AB32" i="5"/>
  <c r="AB31" i="5"/>
  <c r="AB35" i="5"/>
  <c r="AB36" i="5"/>
  <c r="AB51" i="5"/>
  <c r="AB54" i="5" s="1"/>
  <c r="G56" i="5" s="1"/>
  <c r="AB24" i="5"/>
  <c r="AB37" i="4" l="1"/>
  <c r="AB39" i="4" s="1"/>
  <c r="G42" i="4" s="1"/>
  <c r="F31" i="3"/>
  <c r="E31" i="3"/>
  <c r="C31" i="3"/>
  <c r="J31" i="3"/>
  <c r="L31" i="3"/>
  <c r="I31" i="3"/>
  <c r="G31" i="3"/>
  <c r="AB25" i="3"/>
  <c r="H31" i="3"/>
  <c r="AB27" i="4"/>
  <c r="G30" i="4" s="1"/>
  <c r="K31" i="3"/>
  <c r="AB28" i="3"/>
  <c r="AB29" i="3"/>
  <c r="AB29" i="6"/>
  <c r="G31" i="6" s="1"/>
  <c r="AB40" i="5"/>
  <c r="G42" i="5" s="1"/>
  <c r="E4" i="5" s="1"/>
  <c r="AB41" i="3"/>
  <c r="AB44" i="3" s="1"/>
  <c r="G46" i="3" s="1"/>
  <c r="D44" i="3"/>
  <c r="D31" i="3"/>
  <c r="E5" i="4" l="1"/>
  <c r="B15" i="9"/>
  <c r="E8" i="5"/>
  <c r="B14" i="9"/>
  <c r="E6" i="6"/>
  <c r="AB31" i="3"/>
  <c r="G33" i="3" s="1"/>
  <c r="E4" i="3" s="1"/>
  <c r="E8" i="3" l="1"/>
  <c r="B13" i="9"/>
  <c r="I13" i="9" s="1"/>
  <c r="B16" i="9"/>
  <c r="E9" i="5"/>
  <c r="E11" i="5"/>
  <c r="E10" i="5"/>
  <c r="D14" i="9" l="1"/>
  <c r="C14" i="9"/>
  <c r="E11" i="3"/>
  <c r="E10" i="3"/>
  <c r="E9" i="3"/>
  <c r="C13" i="9" l="1"/>
  <c r="D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2" authorId="0" shapeId="0" xr:uid="{B2F67C44-6DBB-974C-8081-C3CCFDD85699}">
      <text>
        <r>
          <rPr>
            <b/>
            <sz val="10"/>
            <color rgb="FF000000"/>
            <rFont val="Tahoma"/>
            <family val="2"/>
          </rPr>
          <t>Microsoft Office User:</t>
        </r>
        <r>
          <rPr>
            <sz val="10"/>
            <color rgb="FF000000"/>
            <rFont val="Tahoma"/>
            <family val="2"/>
          </rPr>
          <t xml:space="preserve">
</t>
        </r>
        <r>
          <rPr>
            <sz val="10"/>
            <color rgb="FF000000"/>
            <rFont val="Tahoma"/>
            <family val="2"/>
          </rPr>
          <t>This is the average amount that each Virginia resident would be willing to pay, on average, to ensure that those receiving benefits valued the care enough to comply with the requirement, and therefore, satisfy a basic needs criterion for coverage.</t>
        </r>
      </text>
    </comment>
    <comment ref="D12" authorId="0" shapeId="0" xr:uid="{7F6F59D6-6B55-E547-B1A5-990EAD532072}">
      <text>
        <r>
          <rPr>
            <b/>
            <sz val="10"/>
            <color rgb="FF000000"/>
            <rFont val="Tahoma"/>
            <family val="2"/>
          </rPr>
          <t>Microsoft Office User:</t>
        </r>
        <r>
          <rPr>
            <sz val="10"/>
            <color rgb="FF000000"/>
            <rFont val="Tahoma"/>
            <family val="2"/>
          </rPr>
          <t xml:space="preserve">
</t>
        </r>
        <r>
          <rPr>
            <sz val="10"/>
            <color rgb="FF000000"/>
            <rFont val="Tahoma"/>
            <family val="2"/>
          </rPr>
          <t xml:space="preserve">This is the total amount of the annual externality divided by the number of beneficiaries subject to that given requirement
</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0" authorId="0" shapeId="0" xr:uid="{00000000-0006-0000-0000-000003000000}">
      <text>
        <r>
          <rPr>
            <b/>
            <sz val="10"/>
            <color rgb="FF000000"/>
            <rFont val="Calibri"/>
            <family val="2"/>
          </rPr>
          <t>Microsoft Office User:</t>
        </r>
        <r>
          <rPr>
            <sz val="10"/>
            <color rgb="FF000000"/>
            <rFont val="Calibri"/>
            <family val="2"/>
          </rPr>
          <t xml:space="preserve">
</t>
        </r>
        <r>
          <rPr>
            <sz val="10"/>
            <color rgb="FF000000"/>
            <rFont val="Calibri"/>
            <family val="2"/>
          </rPr>
          <t>Inflated to 2019 terms</t>
        </r>
      </text>
    </comment>
    <comment ref="B61" authorId="0" shapeId="0" xr:uid="{24170999-89F7-814D-97CB-EB5C83A335A3}">
      <text>
        <r>
          <rPr>
            <b/>
            <sz val="10"/>
            <color rgb="FF000000"/>
            <rFont val="Tahoma"/>
            <family val="2"/>
          </rPr>
          <t>Microsoft Office User:</t>
        </r>
        <r>
          <rPr>
            <sz val="10"/>
            <color rgb="FF000000"/>
            <rFont val="Tahoma"/>
            <family val="2"/>
          </rPr>
          <t xml:space="preserve">
</t>
        </r>
        <r>
          <rPr>
            <sz val="10"/>
            <color rgb="FF000000"/>
            <rFont val="Tahoma"/>
            <family val="2"/>
          </rPr>
          <t xml:space="preserve">Medicaid Healthy Behavior Incentive Programs have notoriously low participation rates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2" authorId="0" shapeId="0" xr:uid="{6867B616-CE6E-CE48-B1B9-2D036477AF8D}">
      <text>
        <r>
          <rPr>
            <b/>
            <sz val="10"/>
            <color rgb="FF000000"/>
            <rFont val="Tahoma"/>
            <family val="2"/>
          </rPr>
          <t>Microsoft Office User:</t>
        </r>
        <r>
          <rPr>
            <sz val="10"/>
            <color rgb="FF000000"/>
            <rFont val="Tahoma"/>
            <family val="2"/>
          </rPr>
          <t xml:space="preserve">
</t>
        </r>
        <r>
          <rPr>
            <sz val="10"/>
            <color rgb="FF000000"/>
            <rFont val="Tahoma"/>
            <family val="2"/>
          </rPr>
          <t>Assume no disenrollment in year t=0</t>
        </r>
      </text>
    </comment>
    <comment ref="A36" authorId="0" shapeId="0" xr:uid="{EBBD7883-5478-8143-9B54-3155CBBE738D}">
      <text>
        <r>
          <rPr>
            <b/>
            <sz val="10"/>
            <color rgb="FF000000"/>
            <rFont val="Tahoma"/>
            <family val="2"/>
          </rPr>
          <t>Microsoft Office User:</t>
        </r>
        <r>
          <rPr>
            <sz val="10"/>
            <color rgb="FF000000"/>
            <rFont val="Tahoma"/>
            <family val="2"/>
          </rPr>
          <t xml:space="preserve">
</t>
        </r>
        <r>
          <rPr>
            <sz val="10"/>
            <color rgb="FF000000"/>
            <rFont val="Tahoma"/>
            <family val="2"/>
          </rPr>
          <t xml:space="preserve">Revenue collected from premiums not included, since it is a transfer payment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2" authorId="0" shapeId="0" xr:uid="{0D4D8CDF-E299-E544-892B-D341241E01ED}">
      <text>
        <r>
          <rPr>
            <b/>
            <sz val="10"/>
            <color rgb="FF000000"/>
            <rFont val="Tahoma"/>
            <family val="2"/>
          </rPr>
          <t>Microsoft Office User:</t>
        </r>
        <r>
          <rPr>
            <sz val="10"/>
            <color rgb="FF000000"/>
            <rFont val="Tahoma"/>
            <family val="2"/>
          </rPr>
          <t xml:space="preserve">
</t>
        </r>
        <r>
          <rPr>
            <sz val="10"/>
            <color rgb="FF000000"/>
            <rFont val="Tahoma"/>
            <family val="2"/>
          </rPr>
          <t>No disenrollment in year t=0</t>
        </r>
      </text>
    </comment>
    <comment ref="L24" authorId="0" shapeId="0" xr:uid="{4A301398-410C-BE4B-9D4C-1DBBC150D0C6}">
      <text>
        <r>
          <rPr>
            <b/>
            <sz val="10"/>
            <color rgb="FF000000"/>
            <rFont val="Tahoma"/>
            <family val="2"/>
          </rPr>
          <t>Microsoft Office User:</t>
        </r>
        <r>
          <rPr>
            <sz val="10"/>
            <color rgb="FF000000"/>
            <rFont val="Tahoma"/>
            <family val="2"/>
          </rPr>
          <t xml:space="preserve">
</t>
        </r>
        <r>
          <rPr>
            <sz val="10"/>
            <color rgb="FF000000"/>
            <rFont val="Tahoma"/>
            <family val="2"/>
          </rPr>
          <t xml:space="preserve">System Upgrade included here
</t>
        </r>
      </text>
    </comment>
    <comment ref="V24" authorId="0" shapeId="0" xr:uid="{AFD2C2DB-AB19-BE48-8011-6982A32FABB9}">
      <text>
        <r>
          <rPr>
            <b/>
            <sz val="10"/>
            <color rgb="FF000000"/>
            <rFont val="Calibri"/>
            <family val="2"/>
          </rPr>
          <t>Microsoft Office User:</t>
        </r>
        <r>
          <rPr>
            <sz val="10"/>
            <color rgb="FF000000"/>
            <rFont val="Calibri"/>
            <family val="2"/>
          </rPr>
          <t xml:space="preserve">
</t>
        </r>
        <r>
          <rPr>
            <sz val="10"/>
            <color rgb="FF000000"/>
            <rFont val="Calibri"/>
            <family val="2"/>
          </rPr>
          <t xml:space="preserve">System upgrade included here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39" authorId="0" shapeId="0" xr:uid="{C53E00DF-0891-5142-A656-409C5F260D6C}">
      <text>
        <r>
          <rPr>
            <b/>
            <sz val="10"/>
            <color rgb="FF000000"/>
            <rFont val="Tahoma"/>
            <family val="2"/>
          </rPr>
          <t>Microsoft Office User:</t>
        </r>
        <r>
          <rPr>
            <sz val="10"/>
            <color rgb="FF000000"/>
            <rFont val="Tahoma"/>
            <family val="2"/>
          </rPr>
          <t xml:space="preserve">
</t>
        </r>
        <r>
          <rPr>
            <sz val="10"/>
            <color rgb="FF000000"/>
            <rFont val="Tahoma"/>
            <family val="2"/>
          </rPr>
          <t>Healthy Behavior Incentives haven't been shown to significantly change health outcomes</t>
        </r>
      </text>
    </comment>
  </commentList>
</comments>
</file>

<file path=xl/sharedStrings.xml><?xml version="1.0" encoding="utf-8"?>
<sst xmlns="http://schemas.openxmlformats.org/spreadsheetml/2006/main" count="755" uniqueCount="200">
  <si>
    <t>Assumptions</t>
  </si>
  <si>
    <t>General Assumptions</t>
  </si>
  <si>
    <t>Discount rate</t>
  </si>
  <si>
    <t>All costs occur at end of the year (standard practice)</t>
  </si>
  <si>
    <t>year end</t>
  </si>
  <si>
    <t>Source</t>
  </si>
  <si>
    <t>Year</t>
  </si>
  <si>
    <t>Virginia's Expansion Eligible Population</t>
  </si>
  <si>
    <t>Expansion Population (FY2019)</t>
  </si>
  <si>
    <t>JLARC HB 338 General Assembly Session Fiscal Impact Review</t>
  </si>
  <si>
    <t>Expansion Population (FY2020)</t>
  </si>
  <si>
    <t>Expansion Population Likely to Enroll</t>
  </si>
  <si>
    <t>Work Requirements</t>
  </si>
  <si>
    <t>Maximum Estimated Cost of Case Management (per person)</t>
  </si>
  <si>
    <t>FY2020 Recipients Subject to Requirements</t>
  </si>
  <si>
    <t>Premiums</t>
  </si>
  <si>
    <t>Administrative Costs</t>
  </si>
  <si>
    <t>Cost of Arkansas' program:  Zylla, E., Planalp, C., Lukanen, E., &amp; Blewett, L. (2018).</t>
  </si>
  <si>
    <t>Co-Pays</t>
  </si>
  <si>
    <t>Healthy Behavior Incentives</t>
  </si>
  <si>
    <t>Costs</t>
  </si>
  <si>
    <t>NPV</t>
  </si>
  <si>
    <t>FY2020</t>
  </si>
  <si>
    <t>FY2021</t>
  </si>
  <si>
    <t>FY2022</t>
  </si>
  <si>
    <t>FY2023</t>
  </si>
  <si>
    <t>FY2024</t>
  </si>
  <si>
    <t>FY2025</t>
  </si>
  <si>
    <t>FY2026</t>
  </si>
  <si>
    <t>FY2027</t>
  </si>
  <si>
    <t>FY2028</t>
  </si>
  <si>
    <t>FY2029</t>
  </si>
  <si>
    <t>Disenrollment</t>
  </si>
  <si>
    <t>Decrease in Financial Stability</t>
  </si>
  <si>
    <t>Benefits</t>
  </si>
  <si>
    <t>Information Technology and Systems</t>
  </si>
  <si>
    <t>Information Technology Systems</t>
  </si>
  <si>
    <t>4 FTEs to oversee waiver application, CMS reporting and evaluation</t>
  </si>
  <si>
    <t>3 FTEs to handle appeals (2 hearing officers and administrative assistant)</t>
  </si>
  <si>
    <t>1 FTE to ensure correct eligibility for individuals subject to requirements</t>
  </si>
  <si>
    <t>FY2020 Information Technology Systems and Agency Administration Cost</t>
  </si>
  <si>
    <t>FY2021 Information Technology Systems and Agency Administration Cost</t>
  </si>
  <si>
    <t>Case Management</t>
  </si>
  <si>
    <t>Costs of Administering the Incentive</t>
  </si>
  <si>
    <t>Costs of Advertising</t>
  </si>
  <si>
    <t xml:space="preserve">Costs of Increased Primary Care Visits </t>
  </si>
  <si>
    <t>Incentive Costs</t>
  </si>
  <si>
    <t>Improved Health Outcomes</t>
  </si>
  <si>
    <t>Reductions in Morbidity</t>
  </si>
  <si>
    <t>Decreases in Cost of Care</t>
  </si>
  <si>
    <t>Compliance Costs</t>
  </si>
  <si>
    <t>Externality of not spending money where it doesn't satisfy basic needs externality</t>
  </si>
  <si>
    <t>State's Proportion of Costs FY2019</t>
  </si>
  <si>
    <t>State's Proportion of Costs FY2020</t>
  </si>
  <si>
    <t>Increase in Severely Delinquent Debt with loss of Medicaid</t>
  </si>
  <si>
    <t>Minimum Estimated Cost of Case Management (per person)</t>
  </si>
  <si>
    <t>Argys, Friedson, Pitts, and Tello-Trillo (2017)</t>
  </si>
  <si>
    <t>Opportunity Cost of Time to Comply with Work Requirements Administration</t>
  </si>
  <si>
    <t>Cost of Incentive</t>
  </si>
  <si>
    <t>Take-Up Rate of Incentives</t>
  </si>
  <si>
    <t>Fixed Cost of Program Operation</t>
  </si>
  <si>
    <t>Number of Individuals Subject to the Requirements</t>
  </si>
  <si>
    <t>Number of Days incapacitated per month with Medicaid loss</t>
  </si>
  <si>
    <t>Average Medicaid Hourly Wage</t>
  </si>
  <si>
    <t>Total subject to work requirements</t>
  </si>
  <si>
    <t>Total subject to work requirements, unemployed</t>
  </si>
  <si>
    <t>Annual hours to complete recertification</t>
  </si>
  <si>
    <t>Incremental cost of a non-emergent ED visit</t>
  </si>
  <si>
    <t>Decrease in non-emergent ER usage</t>
  </si>
  <si>
    <t>Average Number of ER Visits per person</t>
  </si>
  <si>
    <t>Increase in Health Expenditures ($25 incentive)</t>
  </si>
  <si>
    <t>Increase in Health Expenditures ($50 incentive)</t>
  </si>
  <si>
    <t>Cost-Savings of $25 incentive</t>
  </si>
  <si>
    <t>Cost-Savings of $50 incentive</t>
  </si>
  <si>
    <t>Total Attrition Due to Work Requirement (ACS analysis)</t>
  </si>
  <si>
    <t>Total Attrition Due to Work Requirement (JLARC analysis)</t>
  </si>
  <si>
    <t>Number of Individuals expected to be subject to work requirement (ACS analysis)</t>
  </si>
  <si>
    <t>Number of Individuals expected to be subject to work requirement (JLARC analysis)</t>
  </si>
  <si>
    <t>Number of Individuals subject to work requirements currently not working</t>
  </si>
  <si>
    <t>ACS Analysis, see appendix one</t>
  </si>
  <si>
    <t>Health and Financial Well-being</t>
  </si>
  <si>
    <t>Decreased Productivity due to poor health outcomes</t>
  </si>
  <si>
    <t>Total</t>
  </si>
  <si>
    <t>FY2030</t>
  </si>
  <si>
    <t>FY2031</t>
  </si>
  <si>
    <t>FY2032</t>
  </si>
  <si>
    <t>FY2033</t>
  </si>
  <si>
    <t>FY2034</t>
  </si>
  <si>
    <t>FY2035</t>
  </si>
  <si>
    <t>FY2036</t>
  </si>
  <si>
    <t>FY2037</t>
  </si>
  <si>
    <t>FY2038</t>
  </si>
  <si>
    <t>FY2039</t>
  </si>
  <si>
    <t>FY2040</t>
  </si>
  <si>
    <t>FY2041</t>
  </si>
  <si>
    <t>FY2042</t>
  </si>
  <si>
    <t>FY2043</t>
  </si>
  <si>
    <t>FY2044</t>
  </si>
  <si>
    <t>Actuarial Cost of Medicaid</t>
  </si>
  <si>
    <t>FY2045</t>
  </si>
  <si>
    <t>Cost of Program Operation - Fixed Administrative Cost</t>
  </si>
  <si>
    <t>Healthcare Impacts</t>
  </si>
  <si>
    <t>Reduction in Cost of Non-Emergent ER Usage</t>
  </si>
  <si>
    <t>Reductions in Healthcare Expenditures</t>
  </si>
  <si>
    <t>Cost of Coverage</t>
  </si>
  <si>
    <t>?</t>
  </si>
  <si>
    <t>Net Present Value of Benefits - Costs</t>
  </si>
  <si>
    <t>Break-Even Analysis</t>
  </si>
  <si>
    <t>Amount Needed to Have NPV = 0</t>
  </si>
  <si>
    <t>Annuity Amount per Virginia resident</t>
  </si>
  <si>
    <t>Annuity Amount per Premium eligible individual</t>
  </si>
  <si>
    <t xml:space="preserve">Number of Virginia Residents </t>
  </si>
  <si>
    <t>Annual Annuity Amount</t>
  </si>
  <si>
    <t xml:space="preserve">Total </t>
  </si>
  <si>
    <t>Results: Work Requirements</t>
  </si>
  <si>
    <t>Results: Premiums</t>
  </si>
  <si>
    <t>Results: Co-Payments</t>
  </si>
  <si>
    <t>Alternative</t>
  </si>
  <si>
    <t>Per Person Breakeven Amount</t>
  </si>
  <si>
    <t>Co-Payments</t>
  </si>
  <si>
    <t>N/A</t>
  </si>
  <si>
    <t>Per Beneficiary Breakeven Amount</t>
  </si>
  <si>
    <t>Cross-Over Analysis</t>
  </si>
  <si>
    <t>Minimum Annual Per Person Value of Externality in order to surpass Co-Payments</t>
  </si>
  <si>
    <t>Accepted Range of Values for Interest Rates</t>
  </si>
  <si>
    <t>Maintenance and Update Cost (every ten years)</t>
  </si>
  <si>
    <t>Proportion Disenrolled or Deterred During first year for failure to pay premiums</t>
  </si>
  <si>
    <t>Proportion deterred from signup due to premiums</t>
  </si>
  <si>
    <t>Proportion Deterred from signup  or disenrolled due to premiums</t>
  </si>
  <si>
    <t>Variable Annual Cost of Medicaid Plan Maintenance</t>
  </si>
  <si>
    <t>Number disenrolled in year one</t>
  </si>
  <si>
    <t>Number disenrolled in year two</t>
  </si>
  <si>
    <t>Number of Individuals Subjected to Co-pays</t>
  </si>
  <si>
    <t xml:space="preserve">Cost of Two Mail Home Letters (Advertising Campaign) - per person </t>
  </si>
  <si>
    <t>(Norris, 2018)</t>
  </si>
  <si>
    <t>(CBPP, 2018)</t>
  </si>
  <si>
    <t>(time shifted from original JLARC estimates)</t>
  </si>
  <si>
    <t>(Chernew, 2016)</t>
  </si>
  <si>
    <t>Tello-Trillo (2016)</t>
  </si>
  <si>
    <t>ACS Analysis, See footnote 6 of the writeup</t>
  </si>
  <si>
    <t>(Office of the Actuary: Centers for Medicare and Medicaid Services, 2017)</t>
  </si>
  <si>
    <t>2017 American Community Survey, see second page of Appendix One</t>
  </si>
  <si>
    <t>FY2021 Recipients Subject to Requirements</t>
  </si>
  <si>
    <t xml:space="preserve">FY2020 Attrition due to non-compliance with work requirement </t>
  </si>
  <si>
    <t xml:space="preserve">FY2021 Attrition due to non-compliance with work requirement </t>
  </si>
  <si>
    <t>FY2022 Information Technology Systems and Agency Administration Cost</t>
  </si>
  <si>
    <t xml:space="preserve"> 2018 US Tax Form 1040 Estimates of Taxpayer
Burden</t>
  </si>
  <si>
    <t>(Galewitz, 2018)</t>
  </si>
  <si>
    <t>ACS analysis, see appendix one</t>
  </si>
  <si>
    <t>(Stewart, Mejia, &amp; Cassid, 2018)</t>
  </si>
  <si>
    <t>Imputed calculation of proportion disenrolled times individuals subjected to requirements</t>
  </si>
  <si>
    <t>Baker and Baker (1994)</t>
  </si>
  <si>
    <t>Sabik and Gandhi (2016)</t>
  </si>
  <si>
    <t>Taubman, Allen, Wright, Baicker, &amp; Finkelstein (2014)</t>
  </si>
  <si>
    <t>(Bradley, Neumark, &amp; Walker, 2017)</t>
  </si>
  <si>
    <t>Assumption based on FY2020 costs</t>
  </si>
  <si>
    <t>standard practice</t>
  </si>
  <si>
    <t>Cost of Arizona's Program: (Arizona Health Care Cost Containment System, 2006)</t>
  </si>
  <si>
    <t xml:space="preserve">Co-Payments </t>
  </si>
  <si>
    <t>3% Discount Rate</t>
  </si>
  <si>
    <t>5% Discount Rate</t>
  </si>
  <si>
    <t>Using 42,000 as the estimated number of individuals subject to Premiums and Co-Payments</t>
  </si>
  <si>
    <t>Number disenrolled in years three and beyond</t>
  </si>
  <si>
    <t>Using 50,000 as total number disenrolled due to Work Requirements</t>
  </si>
  <si>
    <t>Using 120,000 as expected work requirement population</t>
  </si>
  <si>
    <t>Using Lower Bound of Work Requirement Costs ($341)</t>
  </si>
  <si>
    <t>Using Upper Bound of Work Requirements Cost ($1080)</t>
  </si>
  <si>
    <t>Using 18% Uptake Rate of Healthy Behavior Incentives</t>
  </si>
  <si>
    <t>Using 10% Uptake Rate of Healthy Behavior Incentive</t>
  </si>
  <si>
    <t>Changing Timeline from 25 years to 10 years</t>
  </si>
  <si>
    <t>Proportion Disenrolled or Deterred During second years for failure to pay premiums</t>
  </si>
  <si>
    <t>Total Net Present Value of Costs</t>
  </si>
  <si>
    <t>Per Person Break Even Amount</t>
  </si>
  <si>
    <t>Per Beneficiary Break Even Amount</t>
  </si>
  <si>
    <t>Major Assumptions</t>
  </si>
  <si>
    <t>Minimum Annual Per Person Value of Externality in order for Premiums to surpass Co-Payments</t>
  </si>
  <si>
    <t>Aggregate Present Value of  Costs</t>
  </si>
  <si>
    <t>Aggregate Present Value of  Benefits</t>
  </si>
  <si>
    <t>Total Net Present Value of Benefits</t>
  </si>
  <si>
    <t>Number of Individuals Subject to Work Requirements</t>
  </si>
  <si>
    <t>Number of Individuals to Enroll in Medicaid Expansion</t>
  </si>
  <si>
    <t>Number of Individuals Subject to Premiums/Co-Pays</t>
  </si>
  <si>
    <t>Changing Variable Cost of Premium and Co-pay Management to $50</t>
  </si>
  <si>
    <t>Changing Variable Cost of Premium and Co-pay Management to $200</t>
  </si>
  <si>
    <t>Variable Cost of program maintenance</t>
  </si>
  <si>
    <t>Savings from Disenrollment</t>
  </si>
  <si>
    <t>Severely Delinquent Debt</t>
  </si>
  <si>
    <t>estimated cost of two letters in mail-home campaign</t>
  </si>
  <si>
    <t>Externality of Efficient Allocation of Resources</t>
  </si>
  <si>
    <t>Program Operations - Per Plan Maintenance Cost</t>
  </si>
  <si>
    <t>Table of Contents</t>
  </si>
  <si>
    <t>Punchline</t>
  </si>
  <si>
    <t>Sheet 2</t>
  </si>
  <si>
    <t>Sheet 3</t>
  </si>
  <si>
    <t>Sheet 4</t>
  </si>
  <si>
    <t>Sheet 5</t>
  </si>
  <si>
    <t>Sheet 6</t>
  </si>
  <si>
    <t>Sensitivity Analysis</t>
  </si>
  <si>
    <t>Sheet 7</t>
  </si>
  <si>
    <t>Sheet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</si>
</sst>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Red]&quot;$&quot;#,##0.00"/>
    <numFmt numFmtId="165" formatCode="&quot;$&quot;#,##0.00"/>
    <numFmt numFmtId="166" formatCode="_(&quot;$&quot;* #,##0_);_(&quot;$&quot;* \(#,##0\);_(&quot;$&quot;* &quot;-&quot;??_);_(@_)"/>
  </numFmts>
  <fonts count="34">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20"/>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b/>
      <sz val="16"/>
      <color rgb="FF000000"/>
      <name val="Calibri"/>
      <family val="2"/>
      <scheme val="minor"/>
    </font>
    <font>
      <sz val="12"/>
      <color rgb="FF000000"/>
      <name val="Calibri"/>
      <family val="2"/>
      <scheme val="minor"/>
    </font>
    <font>
      <b/>
      <sz val="14"/>
      <color rgb="FF000000"/>
      <name val="Calibri"/>
      <family val="2"/>
      <scheme val="minor"/>
    </font>
    <font>
      <b/>
      <i/>
      <sz val="12"/>
      <color theme="1"/>
      <name val="Calibri"/>
      <family val="2"/>
      <scheme val="minor"/>
    </font>
    <font>
      <b/>
      <sz val="20"/>
      <color rgb="FF000000"/>
      <name val="Calibri"/>
      <family val="2"/>
      <scheme val="minor"/>
    </font>
    <font>
      <u/>
      <sz val="12"/>
      <color theme="1"/>
      <name val="Calibri"/>
      <family val="2"/>
      <scheme val="minor"/>
    </font>
    <font>
      <sz val="12"/>
      <color theme="1"/>
      <name val="Calibri (Body)"/>
    </font>
    <font>
      <sz val="12"/>
      <color rgb="FF9C0006"/>
      <name val="Calibri"/>
      <family val="2"/>
      <scheme val="minor"/>
    </font>
    <font>
      <b/>
      <sz val="12"/>
      <color theme="0"/>
      <name val="Calibri"/>
      <family val="2"/>
      <scheme val="minor"/>
    </font>
    <font>
      <b/>
      <sz val="10"/>
      <color rgb="FF000000"/>
      <name val="Calibri"/>
      <family val="2"/>
    </font>
    <font>
      <sz val="10"/>
      <color rgb="FF000000"/>
      <name val="Calibri"/>
      <family val="2"/>
    </font>
    <font>
      <i/>
      <sz val="12"/>
      <color theme="1"/>
      <name val="Calibri"/>
      <family val="2"/>
      <scheme val="minor"/>
    </font>
    <font>
      <b/>
      <sz val="16"/>
      <color theme="1"/>
      <name val="Calibri"/>
      <family val="2"/>
      <scheme val="minor"/>
    </font>
    <font>
      <b/>
      <u/>
      <sz val="24"/>
      <color theme="1"/>
      <name val="Calibri"/>
      <family val="2"/>
      <scheme val="minor"/>
    </font>
    <font>
      <sz val="16"/>
      <color rgb="FF9C0006"/>
      <name val="Calibri"/>
      <family val="2"/>
      <scheme val="minor"/>
    </font>
    <font>
      <b/>
      <i/>
      <sz val="12"/>
      <color theme="1"/>
      <name val="Calibri (Body)"/>
    </font>
    <font>
      <sz val="12"/>
      <color theme="1"/>
      <name val="Garamond"/>
      <family val="1"/>
    </font>
    <font>
      <b/>
      <sz val="20"/>
      <color rgb="FF000000"/>
      <name val="Calibri"/>
      <scheme val="minor"/>
    </font>
    <font>
      <b/>
      <sz val="12"/>
      <color rgb="FF000000"/>
      <name val="Calibri"/>
      <scheme val="minor"/>
    </font>
    <font>
      <b/>
      <sz val="20"/>
      <color theme="1"/>
      <name val="Calibri"/>
      <scheme val="minor"/>
    </font>
    <font>
      <sz val="20"/>
      <color theme="1"/>
      <name val="Calibri"/>
      <scheme val="minor"/>
    </font>
    <font>
      <sz val="10"/>
      <color rgb="FF000000"/>
      <name val="Tahoma"/>
      <family val="2"/>
    </font>
    <font>
      <b/>
      <sz val="10"/>
      <color rgb="FF000000"/>
      <name val="Tahoma"/>
      <family val="2"/>
    </font>
    <font>
      <sz val="30"/>
      <color theme="1"/>
      <name val="Calibri"/>
      <scheme val="minor"/>
    </font>
    <font>
      <b/>
      <sz val="30"/>
      <color theme="1"/>
      <name val="Calibri"/>
      <scheme val="minor"/>
    </font>
    <font>
      <sz val="14"/>
      <color theme="1"/>
      <name val="Calibri"/>
      <scheme val="minor"/>
    </font>
  </fonts>
  <fills count="2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EBF1DE"/>
        <bgColor rgb="FF000000"/>
      </patternFill>
    </fill>
    <fill>
      <patternFill patternType="solid">
        <fgColor rgb="FFDAEEF3"/>
        <bgColor rgb="FF000000"/>
      </patternFill>
    </fill>
    <fill>
      <patternFill patternType="solid">
        <fgColor rgb="FFFDE9D9"/>
        <bgColor rgb="FF000000"/>
      </patternFill>
    </fill>
    <fill>
      <patternFill patternType="solid">
        <fgColor rgb="FFD8E4BC"/>
        <bgColor rgb="FF000000"/>
      </patternFill>
    </fill>
    <fill>
      <patternFill patternType="solid">
        <fgColor rgb="FFFFC7CE"/>
      </patternFill>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4D79B"/>
        <bgColor rgb="FF000000"/>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s>
  <borders count="12">
    <border>
      <left/>
      <right/>
      <top/>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5" fillId="8" borderId="0" applyNumberFormat="0" applyBorder="0" applyAlignment="0" applyProtection="0"/>
    <xf numFmtId="0" fontId="31" fillId="18" borderId="10" applyFont="0" applyFill="0" applyAlignment="0">
      <alignment horizontal="center"/>
    </xf>
  </cellStyleXfs>
  <cellXfs count="155">
    <xf numFmtId="0" fontId="0" fillId="0" borderId="0" xfId="0"/>
    <xf numFmtId="10" fontId="0" fillId="0" borderId="0" xfId="0" applyNumberFormat="1" applyAlignment="1">
      <alignment horizontal="right"/>
    </xf>
    <xf numFmtId="0" fontId="0" fillId="0" borderId="0" xfId="0" applyAlignment="1">
      <alignment horizontal="right"/>
    </xf>
    <xf numFmtId="164" fontId="0" fillId="0" borderId="0" xfId="0" applyNumberFormat="1"/>
    <xf numFmtId="0" fontId="0" fillId="0" borderId="0" xfId="0" applyFont="1"/>
    <xf numFmtId="0" fontId="2" fillId="0" borderId="0" xfId="0" applyFont="1"/>
    <xf numFmtId="0" fontId="0" fillId="0" borderId="0" xfId="0" applyAlignment="1">
      <alignment wrapText="1"/>
    </xf>
    <xf numFmtId="3" fontId="0" fillId="0" borderId="0" xfId="0" applyNumberFormat="1"/>
    <xf numFmtId="0" fontId="6" fillId="0" borderId="0" xfId="3"/>
    <xf numFmtId="44" fontId="0" fillId="0" borderId="0" xfId="1" applyFont="1"/>
    <xf numFmtId="0" fontId="0" fillId="0" borderId="0" xfId="2" applyNumberFormat="1" applyFont="1"/>
    <xf numFmtId="6" fontId="0" fillId="0" borderId="0" xfId="0" applyNumberFormat="1"/>
    <xf numFmtId="10" fontId="0" fillId="0" borderId="0" xfId="2" applyNumberFormat="1" applyFont="1"/>
    <xf numFmtId="0" fontId="8" fillId="4" borderId="0" xfId="0" applyFont="1" applyFill="1"/>
    <xf numFmtId="0" fontId="9" fillId="4" borderId="0" xfId="0" applyFont="1" applyFill="1"/>
    <xf numFmtId="0" fontId="9" fillId="0" borderId="0" xfId="0" applyFont="1" applyAlignment="1">
      <alignment wrapText="1"/>
    </xf>
    <xf numFmtId="0" fontId="9" fillId="0" borderId="0" xfId="0" applyFont="1"/>
    <xf numFmtId="0" fontId="10" fillId="5" borderId="0" xfId="0" applyFont="1" applyFill="1" applyAlignment="1">
      <alignment horizontal="center"/>
    </xf>
    <xf numFmtId="0" fontId="9" fillId="0" borderId="0" xfId="0" applyFont="1" applyFill="1"/>
    <xf numFmtId="0" fontId="8" fillId="5" borderId="0" xfId="0" applyFont="1" applyFill="1" applyAlignment="1">
      <alignment horizontal="center"/>
    </xf>
    <xf numFmtId="0" fontId="2" fillId="0" borderId="0" xfId="0" applyFont="1" applyAlignment="1">
      <alignment wrapText="1"/>
    </xf>
    <xf numFmtId="2" fontId="0" fillId="0" borderId="0" xfId="0" applyNumberFormat="1"/>
    <xf numFmtId="0" fontId="0" fillId="0" borderId="0" xfId="0" applyFont="1" applyAlignment="1">
      <alignment wrapText="1"/>
    </xf>
    <xf numFmtId="164" fontId="2" fillId="0" borderId="0" xfId="0" applyNumberFormat="1" applyFont="1"/>
    <xf numFmtId="0" fontId="11" fillId="0" borderId="0" xfId="0" applyFont="1" applyAlignment="1">
      <alignment wrapText="1"/>
    </xf>
    <xf numFmtId="0" fontId="10" fillId="7" borderId="0" xfId="0" applyFont="1" applyFill="1" applyAlignment="1">
      <alignment wrapText="1"/>
    </xf>
    <xf numFmtId="0" fontId="9" fillId="7" borderId="0" xfId="0" applyFont="1" applyFill="1"/>
    <xf numFmtId="0" fontId="0" fillId="3" borderId="0" xfId="0" applyFill="1"/>
    <xf numFmtId="0" fontId="13" fillId="0" borderId="0" xfId="0" applyFont="1" applyAlignment="1">
      <alignment horizontal="center"/>
    </xf>
    <xf numFmtId="0" fontId="14" fillId="0" borderId="0" xfId="0" applyFont="1" applyAlignment="1">
      <alignment wrapText="1"/>
    </xf>
    <xf numFmtId="0" fontId="5" fillId="3" borderId="0" xfId="0" applyFont="1" applyFill="1" applyAlignment="1">
      <alignment horizontal="center"/>
    </xf>
    <xf numFmtId="0" fontId="0" fillId="0" borderId="0" xfId="0" applyFont="1" applyAlignment="1">
      <alignment horizontal="right"/>
    </xf>
    <xf numFmtId="0" fontId="0" fillId="0" borderId="0" xfId="0" applyFont="1" applyAlignment="1">
      <alignment horizontal="right" wrapText="1"/>
    </xf>
    <xf numFmtId="2" fontId="0" fillId="0" borderId="0" xfId="0" applyNumberFormat="1" applyAlignment="1">
      <alignment horizontal="right"/>
    </xf>
    <xf numFmtId="4" fontId="0" fillId="0" borderId="0" xfId="0" applyNumberFormat="1"/>
    <xf numFmtId="44" fontId="0" fillId="0" borderId="0" xfId="0" applyNumberFormat="1"/>
    <xf numFmtId="9" fontId="0" fillId="0" borderId="0" xfId="0" applyNumberFormat="1"/>
    <xf numFmtId="0" fontId="0" fillId="0" borderId="0" xfId="1" applyNumberFormat="1" applyFont="1"/>
    <xf numFmtId="3" fontId="0" fillId="0" borderId="0" xfId="0" applyNumberFormat="1" applyFont="1"/>
    <xf numFmtId="165" fontId="0" fillId="0" borderId="0" xfId="1" applyNumberFormat="1" applyFont="1"/>
    <xf numFmtId="0" fontId="3" fillId="0" borderId="0" xfId="0" applyFont="1" applyFill="1" applyAlignment="1"/>
    <xf numFmtId="2" fontId="2" fillId="0" borderId="0" xfId="0" applyNumberFormat="1" applyFont="1"/>
    <xf numFmtId="0" fontId="10" fillId="0" borderId="0" xfId="0" applyFont="1" applyFill="1" applyAlignment="1">
      <alignment horizontal="center"/>
    </xf>
    <xf numFmtId="0" fontId="8" fillId="0" borderId="0" xfId="0" applyFont="1" applyFill="1" applyAlignment="1">
      <alignment horizontal="center"/>
    </xf>
    <xf numFmtId="1" fontId="0" fillId="0" borderId="0" xfId="0" applyNumberFormat="1"/>
    <xf numFmtId="0" fontId="19" fillId="0" borderId="0" xfId="0" applyFont="1" applyAlignment="1">
      <alignment wrapText="1"/>
    </xf>
    <xf numFmtId="0" fontId="11" fillId="0" borderId="0" xfId="0" applyFont="1"/>
    <xf numFmtId="44" fontId="2" fillId="0" borderId="0" xfId="0" applyNumberFormat="1" applyFont="1"/>
    <xf numFmtId="0" fontId="0" fillId="0" borderId="0" xfId="0" applyAlignment="1">
      <alignment horizontal="center"/>
    </xf>
    <xf numFmtId="0" fontId="0" fillId="0" borderId="0" xfId="0" applyAlignment="1">
      <alignment horizontal="center"/>
    </xf>
    <xf numFmtId="0" fontId="0" fillId="0" borderId="0" xfId="0" applyFill="1"/>
    <xf numFmtId="0" fontId="20" fillId="0" borderId="0" xfId="0" applyFont="1" applyAlignment="1">
      <alignment horizontal="center"/>
    </xf>
    <xf numFmtId="44" fontId="0" fillId="3" borderId="0" xfId="1" applyFont="1" applyFill="1"/>
    <xf numFmtId="0" fontId="11" fillId="3" borderId="0" xfId="0" applyFont="1" applyFill="1" applyAlignment="1">
      <alignment wrapText="1"/>
    </xf>
    <xf numFmtId="164" fontId="0" fillId="3" borderId="0" xfId="0" applyNumberFormat="1" applyFill="1"/>
    <xf numFmtId="0" fontId="11" fillId="3" borderId="0" xfId="0" applyFont="1" applyFill="1"/>
    <xf numFmtId="44" fontId="0" fillId="0" borderId="0" xfId="1" applyFont="1" applyAlignment="1">
      <alignment horizontal="center"/>
    </xf>
    <xf numFmtId="0" fontId="9" fillId="3" borderId="0" xfId="0" applyFont="1" applyFill="1"/>
    <xf numFmtId="44" fontId="2" fillId="0" borderId="0" xfId="1" applyFont="1"/>
    <xf numFmtId="0" fontId="4" fillId="0" borderId="0" xfId="0" applyFont="1" applyAlignment="1"/>
    <xf numFmtId="0" fontId="0" fillId="10" borderId="0" xfId="0" applyFill="1"/>
    <xf numFmtId="0" fontId="20" fillId="10" borderId="0" xfId="0" applyFont="1" applyFill="1"/>
    <xf numFmtId="44" fontId="15" fillId="10" borderId="0" xfId="13" applyNumberFormat="1" applyFill="1"/>
    <xf numFmtId="0" fontId="11" fillId="10" borderId="0" xfId="0" applyFont="1" applyFill="1"/>
    <xf numFmtId="44" fontId="0" fillId="10" borderId="0" xfId="0" applyNumberFormat="1" applyFill="1"/>
    <xf numFmtId="0" fontId="2" fillId="10" borderId="0" xfId="0" applyFont="1" applyFill="1"/>
    <xf numFmtId="8" fontId="0" fillId="10" borderId="0" xfId="1" applyNumberFormat="1" applyFont="1" applyFill="1"/>
    <xf numFmtId="0" fontId="11" fillId="0" borderId="0" xfId="0" applyFont="1" applyAlignment="1">
      <alignment horizontal="right" wrapText="1"/>
    </xf>
    <xf numFmtId="164" fontId="0" fillId="10" borderId="0" xfId="0" applyNumberFormat="1" applyFill="1"/>
    <xf numFmtId="0" fontId="11" fillId="3" borderId="0" xfId="0" applyFont="1" applyFill="1" applyAlignment="1">
      <alignment horizontal="right" wrapText="1"/>
    </xf>
    <xf numFmtId="0" fontId="11" fillId="3" borderId="0" xfId="0" applyFont="1" applyFill="1" applyAlignment="1">
      <alignment horizontal="right"/>
    </xf>
    <xf numFmtId="44" fontId="2" fillId="0" borderId="0" xfId="1" applyFont="1" applyFill="1"/>
    <xf numFmtId="0" fontId="11" fillId="0" borderId="0" xfId="0" applyFont="1" applyFill="1" applyAlignment="1">
      <alignment horizontal="right"/>
    </xf>
    <xf numFmtId="44" fontId="0" fillId="0" borderId="0" xfId="1" applyFont="1" applyFill="1"/>
    <xf numFmtId="0" fontId="11" fillId="0" borderId="0" xfId="0" applyFont="1" applyFill="1" applyAlignment="1">
      <alignment horizontal="right" wrapText="1"/>
    </xf>
    <xf numFmtId="164" fontId="0" fillId="0" borderId="0" xfId="0" applyNumberFormat="1" applyFill="1"/>
    <xf numFmtId="44" fontId="0" fillId="3" borderId="0" xfId="0" applyNumberFormat="1" applyFill="1"/>
    <xf numFmtId="0" fontId="11" fillId="0" borderId="0" xfId="0" applyFont="1" applyFill="1"/>
    <xf numFmtId="44" fontId="0" fillId="0" borderId="0" xfId="0" applyNumberFormat="1" applyFill="1"/>
    <xf numFmtId="0" fontId="2" fillId="0" borderId="0" xfId="0" applyFont="1" applyFill="1"/>
    <xf numFmtId="8" fontId="0" fillId="0" borderId="0" xfId="1" applyNumberFormat="1" applyFont="1" applyFill="1"/>
    <xf numFmtId="0" fontId="23" fillId="0" borderId="0" xfId="0" applyFont="1" applyFill="1" applyAlignment="1">
      <alignment wrapText="1"/>
    </xf>
    <xf numFmtId="44" fontId="2" fillId="0" borderId="0" xfId="0" applyNumberFormat="1" applyFont="1" applyFill="1"/>
    <xf numFmtId="0" fontId="23" fillId="3" borderId="0" xfId="0" applyFont="1" applyFill="1" applyAlignment="1">
      <alignment horizontal="right" wrapText="1"/>
    </xf>
    <xf numFmtId="2" fontId="0" fillId="3" borderId="0" xfId="0" applyNumberFormat="1" applyFill="1"/>
    <xf numFmtId="0" fontId="0" fillId="0" borderId="0" xfId="0" applyAlignment="1">
      <alignment horizontal="center" vertical="center"/>
    </xf>
    <xf numFmtId="44" fontId="0" fillId="0" borderId="0" xfId="0" applyNumberFormat="1" applyAlignment="1">
      <alignment horizontal="center"/>
    </xf>
    <xf numFmtId="0" fontId="0" fillId="0" borderId="0" xfId="0" applyAlignment="1">
      <alignment horizontal="center" wrapText="1"/>
    </xf>
    <xf numFmtId="8" fontId="0" fillId="0" borderId="0" xfId="0" applyNumberFormat="1" applyAlignment="1">
      <alignment horizontal="center"/>
    </xf>
    <xf numFmtId="0" fontId="0" fillId="14" borderId="0" xfId="0" applyFill="1"/>
    <xf numFmtId="8" fontId="0" fillId="14" borderId="0" xfId="0" applyNumberFormat="1" applyFill="1"/>
    <xf numFmtId="0" fontId="6" fillId="0" borderId="0" xfId="3" applyAlignment="1">
      <alignment wrapText="1"/>
    </xf>
    <xf numFmtId="0" fontId="6" fillId="0" borderId="0" xfId="3" applyAlignment="1"/>
    <xf numFmtId="0" fontId="24" fillId="0" borderId="0" xfId="0" applyFont="1"/>
    <xf numFmtId="0" fontId="0" fillId="15" borderId="0" xfId="0" applyFill="1"/>
    <xf numFmtId="10" fontId="0" fillId="15" borderId="0" xfId="0" applyNumberFormat="1" applyFill="1" applyAlignment="1">
      <alignment horizontal="right"/>
    </xf>
    <xf numFmtId="0" fontId="0" fillId="15" borderId="0" xfId="0" applyFill="1" applyAlignment="1">
      <alignment horizontal="right"/>
    </xf>
    <xf numFmtId="3" fontId="0" fillId="15" borderId="0" xfId="0" applyNumberFormat="1" applyFill="1"/>
    <xf numFmtId="0" fontId="0" fillId="15" borderId="0" xfId="0" applyFont="1" applyFill="1"/>
    <xf numFmtId="4" fontId="0" fillId="15" borderId="0" xfId="0" applyNumberFormat="1" applyFill="1"/>
    <xf numFmtId="44" fontId="0" fillId="15" borderId="0" xfId="1" applyFont="1" applyFill="1"/>
    <xf numFmtId="0" fontId="0" fillId="15" borderId="0" xfId="1" applyNumberFormat="1" applyFont="1" applyFill="1"/>
    <xf numFmtId="0" fontId="4" fillId="0" borderId="0" xfId="0" applyFont="1" applyFill="1" applyAlignment="1">
      <alignment vertical="center"/>
    </xf>
    <xf numFmtId="165" fontId="15" fillId="10" borderId="0" xfId="1" applyNumberFormat="1" applyFont="1" applyFill="1"/>
    <xf numFmtId="44" fontId="22" fillId="10" borderId="0" xfId="1" applyFont="1" applyFill="1"/>
    <xf numFmtId="0" fontId="16" fillId="11" borderId="1" xfId="0" applyFont="1" applyFill="1" applyBorder="1" applyAlignment="1">
      <alignment horizontal="center"/>
    </xf>
    <xf numFmtId="0" fontId="16" fillId="11" borderId="7" xfId="0" applyFont="1" applyFill="1" applyBorder="1" applyAlignment="1">
      <alignment horizontal="center"/>
    </xf>
    <xf numFmtId="0" fontId="16" fillId="11" borderId="7" xfId="0" applyFont="1" applyFill="1" applyBorder="1" applyAlignment="1">
      <alignment horizontal="center" wrapText="1"/>
    </xf>
    <xf numFmtId="0" fontId="0" fillId="12" borderId="3" xfId="0" applyFont="1" applyFill="1" applyBorder="1" applyAlignment="1">
      <alignment horizontal="center" vertical="center"/>
    </xf>
    <xf numFmtId="44" fontId="0" fillId="12" borderId="8" xfId="0" applyNumberFormat="1" applyFont="1" applyFill="1" applyBorder="1" applyAlignment="1">
      <alignment horizontal="center"/>
    </xf>
    <xf numFmtId="8" fontId="0" fillId="12" borderId="8" xfId="0" applyNumberFormat="1" applyFont="1" applyFill="1" applyBorder="1" applyAlignment="1">
      <alignment horizontal="center"/>
    </xf>
    <xf numFmtId="0" fontId="0" fillId="13" borderId="3" xfId="0" applyFont="1" applyFill="1" applyBorder="1" applyAlignment="1">
      <alignment horizontal="center" vertical="center"/>
    </xf>
    <xf numFmtId="44" fontId="0" fillId="13" borderId="8" xfId="0" applyNumberFormat="1" applyFont="1" applyFill="1" applyBorder="1" applyAlignment="1">
      <alignment horizontal="center"/>
    </xf>
    <xf numFmtId="8" fontId="0" fillId="13" borderId="8" xfId="0" applyNumberFormat="1" applyFont="1" applyFill="1" applyBorder="1" applyAlignment="1">
      <alignment horizontal="center"/>
    </xf>
    <xf numFmtId="0" fontId="0" fillId="12" borderId="3" xfId="0" applyFont="1" applyFill="1" applyBorder="1" applyAlignment="1">
      <alignment horizontal="center"/>
    </xf>
    <xf numFmtId="0" fontId="0" fillId="12" borderId="8" xfId="0" applyFont="1" applyFill="1" applyBorder="1" applyAlignment="1">
      <alignment horizontal="center"/>
    </xf>
    <xf numFmtId="0" fontId="0" fillId="13" borderId="5" xfId="0" applyFont="1" applyFill="1" applyBorder="1" applyAlignment="1">
      <alignment horizontal="center"/>
    </xf>
    <xf numFmtId="44" fontId="0" fillId="13" borderId="9" xfId="0" applyNumberFormat="1" applyFont="1" applyFill="1" applyBorder="1" applyAlignment="1">
      <alignment horizontal="center"/>
    </xf>
    <xf numFmtId="0" fontId="0" fillId="13" borderId="9" xfId="0" applyFont="1" applyFill="1" applyBorder="1" applyAlignment="1">
      <alignment horizontal="center"/>
    </xf>
    <xf numFmtId="0" fontId="16" fillId="11" borderId="2" xfId="0" applyFont="1" applyFill="1" applyBorder="1" applyAlignment="1">
      <alignment horizontal="center" wrapText="1"/>
    </xf>
    <xf numFmtId="8" fontId="0" fillId="12" borderId="4" xfId="0" applyNumberFormat="1" applyFont="1" applyFill="1" applyBorder="1" applyAlignment="1">
      <alignment horizontal="center"/>
    </xf>
    <xf numFmtId="8" fontId="0" fillId="13" borderId="4" xfId="0" applyNumberFormat="1" applyFont="1" applyFill="1" applyBorder="1" applyAlignment="1">
      <alignment horizontal="center"/>
    </xf>
    <xf numFmtId="0" fontId="0" fillId="12" borderId="4" xfId="0" applyFont="1" applyFill="1" applyBorder="1" applyAlignment="1">
      <alignment horizontal="center"/>
    </xf>
    <xf numFmtId="0" fontId="0" fillId="13" borderId="6" xfId="0" applyFont="1" applyFill="1" applyBorder="1" applyAlignment="1">
      <alignment horizontal="center"/>
    </xf>
    <xf numFmtId="0" fontId="0" fillId="0" borderId="0" xfId="0" applyAlignment="1">
      <alignment horizontal="center"/>
    </xf>
    <xf numFmtId="165" fontId="0" fillId="0" borderId="0" xfId="1" applyNumberFormat="1" applyFont="1" applyAlignment="1">
      <alignment horizontal="center"/>
    </xf>
    <xf numFmtId="0" fontId="0" fillId="0" borderId="0" xfId="0" applyAlignment="1">
      <alignment horizontal="center" wrapText="1"/>
    </xf>
    <xf numFmtId="0" fontId="0" fillId="0" borderId="0" xfId="0" applyFont="1" applyFill="1" applyBorder="1" applyAlignment="1">
      <alignment horizontal="center"/>
    </xf>
    <xf numFmtId="44" fontId="0" fillId="0" borderId="0" xfId="0" applyNumberFormat="1" applyFont="1" applyFill="1" applyBorder="1" applyAlignment="1">
      <alignment horizontal="center"/>
    </xf>
    <xf numFmtId="0" fontId="26" fillId="7" borderId="0" xfId="0" applyFont="1" applyFill="1"/>
    <xf numFmtId="0" fontId="27" fillId="17" borderId="0" xfId="0" applyFont="1" applyFill="1"/>
    <xf numFmtId="0" fontId="28" fillId="17" borderId="0" xfId="0" applyFont="1" applyFill="1"/>
    <xf numFmtId="10" fontId="0" fillId="3" borderId="0" xfId="0" applyNumberFormat="1" applyFill="1" applyAlignment="1">
      <alignment horizontal="right"/>
    </xf>
    <xf numFmtId="0" fontId="0" fillId="14" borderId="0" xfId="0" applyFill="1" applyAlignment="1">
      <alignment wrapText="1"/>
    </xf>
    <xf numFmtId="0" fontId="0" fillId="0" borderId="0" xfId="0" applyAlignment="1">
      <alignment horizontal="center" vertical="center" wrapText="1"/>
    </xf>
    <xf numFmtId="44" fontId="0" fillId="0" borderId="0" xfId="0" applyNumberFormat="1" applyAlignment="1">
      <alignment horizontal="center" vertical="center"/>
    </xf>
    <xf numFmtId="8" fontId="0" fillId="0" borderId="0" xfId="0" applyNumberFormat="1" applyAlignment="1">
      <alignment horizontal="center" vertical="center"/>
    </xf>
    <xf numFmtId="166" fontId="9" fillId="7" borderId="0" xfId="1" applyNumberFormat="1" applyFont="1" applyFill="1"/>
    <xf numFmtId="3" fontId="9" fillId="3" borderId="0" xfId="0" applyNumberFormat="1" applyFont="1" applyFill="1"/>
    <xf numFmtId="0" fontId="33" fillId="2" borderId="10" xfId="14" applyFont="1" applyFill="1" applyAlignment="1">
      <alignment horizontal="left"/>
    </xf>
    <xf numFmtId="0" fontId="33" fillId="2" borderId="11" xfId="14" applyFont="1" applyFill="1" applyBorder="1" applyAlignment="1">
      <alignment horizontal="left"/>
    </xf>
    <xf numFmtId="0" fontId="32" fillId="19" borderId="10" xfId="14" applyFont="1" applyFill="1" applyAlignment="1">
      <alignment horizontal="center"/>
    </xf>
    <xf numFmtId="0" fontId="2" fillId="14" borderId="0" xfId="0" applyFont="1" applyFill="1" applyAlignment="1">
      <alignment horizontal="center" vertical="center"/>
    </xf>
    <xf numFmtId="0" fontId="25" fillId="16" borderId="0" xfId="0" applyFont="1" applyFill="1" applyBorder="1" applyAlignment="1">
      <alignment horizontal="center" wrapText="1"/>
    </xf>
    <xf numFmtId="0" fontId="4" fillId="2" borderId="0" xfId="0" applyFont="1" applyFill="1" applyBorder="1" applyAlignment="1">
      <alignment horizontal="center"/>
    </xf>
    <xf numFmtId="0" fontId="5" fillId="3" borderId="0" xfId="0" applyFont="1" applyFill="1" applyAlignment="1">
      <alignment horizontal="center"/>
    </xf>
    <xf numFmtId="0" fontId="4" fillId="10" borderId="0" xfId="0" applyFont="1" applyFill="1" applyAlignment="1">
      <alignment horizontal="center" vertical="center"/>
    </xf>
    <xf numFmtId="0" fontId="12" fillId="6" borderId="0" xfId="0" applyFont="1" applyFill="1" applyAlignment="1">
      <alignment horizontal="center"/>
    </xf>
    <xf numFmtId="164" fontId="2" fillId="9" borderId="0" xfId="0" applyNumberFormat="1" applyFont="1" applyFill="1" applyAlignment="1">
      <alignment horizontal="center"/>
    </xf>
    <xf numFmtId="0" fontId="2" fillId="9" borderId="0" xfId="0" applyFont="1" applyFill="1" applyAlignment="1">
      <alignment horizontal="center"/>
    </xf>
    <xf numFmtId="0" fontId="21" fillId="10" borderId="0" xfId="0" applyFont="1" applyFill="1" applyAlignment="1">
      <alignment horizontal="center" vertical="center"/>
    </xf>
    <xf numFmtId="0" fontId="0" fillId="0" borderId="0" xfId="0" applyAlignment="1">
      <alignment horizontal="center"/>
    </xf>
    <xf numFmtId="0" fontId="0" fillId="0" borderId="0" xfId="0" applyFill="1" applyAlignment="1">
      <alignment horizontal="center"/>
    </xf>
    <xf numFmtId="0" fontId="2" fillId="14" borderId="0" xfId="0" applyFont="1" applyFill="1" applyAlignment="1">
      <alignment horizontal="center" vertical="center" wrapText="1"/>
    </xf>
    <xf numFmtId="0" fontId="0" fillId="0" borderId="0" xfId="0" applyAlignment="1">
      <alignment horizontal="center" wrapText="1"/>
    </xf>
  </cellXfs>
  <cellStyles count="15">
    <cellStyle name="Bad" xfId="13" builtinId="27"/>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3" builtinId="8"/>
    <cellStyle name="Normal" xfId="0" builtinId="0"/>
    <cellStyle name="Percent" xfId="2" builtinId="5"/>
    <cellStyle name="Style 2" xfId="14" xr:uid="{E7654BCD-E65E-6549-B6DA-72527E247CDF}"/>
  </cellStyles>
  <dxfs count="16">
    <dxf>
      <numFmt numFmtId="34" formatCode="_(&quot;$&quot;* #,##0.00_);_(&quot;$&quot;* \(#,##0.00\);_(&quot;$&quot;* &quot;-&quot;??_);_(@_)"/>
      <alignment horizontal="center" vertical="bottom" textRotation="0" wrapText="0" indent="0" justifyLastLine="0" shrinkToFit="0" readingOrder="0"/>
    </dxf>
    <dxf>
      <alignment horizontal="center" vertical="bottom" textRotation="0" wrapText="1" indent="0" justifyLastLine="0" shrinkToFit="0" readingOrder="0"/>
    </dxf>
    <dxf>
      <numFmt numFmtId="34" formatCode="_(&quot;$&quot;* #,##0.00_);_(&quot;$&quot;* \(#,##0.0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3267A1-97A0-E740-A4FF-FC0C92108E48}" name="Table1" displayName="Table1" ref="A12:D16" totalsRowShown="0" headerRowDxfId="15" dataDxfId="14">
  <autoFilter ref="A12:D16" xr:uid="{C184150C-98B8-7F44-9C0A-D9C9E4653128}"/>
  <tableColumns count="4">
    <tableColumn id="1" xr3:uid="{BE74CBB2-ECC4-234C-A559-D8795B452FEE}" name="Alternative" dataDxfId="13"/>
    <tableColumn id="2" xr3:uid="{848D6547-677E-514A-84F2-E33CD3DA7F93}" name="NPV" dataDxfId="12">
      <calculatedColumnFormula>Premiums!#REF!</calculatedColumnFormula>
    </tableColumn>
    <tableColumn id="3" xr3:uid="{8B97DCDA-E5DF-9A44-A88D-DCF5AC13217E}" name="Per Person Break Even Amount" dataDxfId="11"/>
    <tableColumn id="4" xr3:uid="{4FC36D5F-B186-124E-9929-D81C98B0773B}" name="Per Beneficiary Break Even Amount" dataDxfId="10"/>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40D9C5-50F8-8042-85AA-30BBF20FCF9A}" name="Table8" displayName="Table8" ref="A2:D6" totalsRowShown="0">
  <autoFilter ref="A2:D6" xr:uid="{329E85AE-2294-8441-9113-DBE6568F8A64}"/>
  <tableColumns count="4">
    <tableColumn id="1" xr3:uid="{DF4DE5EF-C775-7C44-97B8-01548FFDB512}" name="Alternative"/>
    <tableColumn id="2" xr3:uid="{E6EAEB3E-8E45-EA42-A2DD-B1FF853E6265}" name="NPV" dataDxfId="9"/>
    <tableColumn id="3" xr3:uid="{805722C3-C596-4849-92B1-DC939EF66790}" name="Per Person Breakeven Amount"/>
    <tableColumn id="4" xr3:uid="{3E3D326F-C182-8E4A-B56E-C54766A33FDC}" name="Per Beneficiary Breakeven Amou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6424D1-42C7-1848-B718-D8EBF451A72C}" name="Table2" displayName="Table2" ref="A65:D69" totalsRowShown="0" headerRowDxfId="8" dataDxfId="7">
  <autoFilter ref="A65:D69" xr:uid="{963B2D5B-4AAD-7A46-A297-408F56F907FF}"/>
  <tableColumns count="4">
    <tableColumn id="1" xr3:uid="{BDC9C3F1-9983-BC4C-8350-C0C69A67E193}" name="Alternative" dataDxfId="6"/>
    <tableColumn id="2" xr3:uid="{0C3625DB-8E59-7546-9F53-E14399D00792}" name="NPV" dataDxfId="5" dataCellStyle="Currency"/>
    <tableColumn id="3" xr3:uid="{1CEE6680-12A4-FD4B-B087-65145867924A}" name="Per Person Breakeven Amount" dataDxfId="4"/>
    <tableColumn id="4" xr3:uid="{EB0B9ADB-65C2-5744-BDFE-983C55C31D55}" name="Per Beneficiary Breakeven Amount" dataDxfId="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FB7BAC-3188-0F41-929F-19E5887EB015}" name="Table4" displayName="Table4" ref="A72:D76" totalsRowShown="0">
  <autoFilter ref="A72:D76" xr:uid="{83FF165E-8B37-B848-BFF1-5DF649BB3E43}"/>
  <tableColumns count="4">
    <tableColumn id="1" xr3:uid="{045B6036-EAAE-3049-B55A-7582F8934EAB}" name="Alternative"/>
    <tableColumn id="2" xr3:uid="{B967A3CA-3ADE-B946-9F69-6542A08B7BB1}" name="NPV" dataDxfId="2"/>
    <tableColumn id="3" xr3:uid="{A2AFDBBA-BE84-1541-B561-AC0626023BE1}" name="Per Person Breakeven Amount"/>
    <tableColumn id="4" xr3:uid="{5C64DFD6-E29C-294B-BA80-AB2EBAA801FB}" name="Per Beneficiary Breakeven Amoun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183312-A09D-034F-B7AE-F8D845658E34}" name="Table6" displayName="Table6" ref="A79:D83" totalsRowShown="0" headerRowDxfId="1">
  <autoFilter ref="A79:D83" xr:uid="{74BB0965-B222-4A41-AAEE-36328CDAFC19}"/>
  <tableColumns count="4">
    <tableColumn id="1" xr3:uid="{BA99F203-8487-BB42-9116-D8E1DDBE875D}" name="Alternative"/>
    <tableColumn id="2" xr3:uid="{9D59FC9B-8982-CD4B-A5BA-F6B8C0AE85BC}" name="NPV" dataDxfId="0"/>
    <tableColumn id="3" xr3:uid="{8CBAD012-57C3-314A-A957-C83ABBF1FBB4}" name="Per Person Breakeven Amount"/>
    <tableColumn id="4" xr3:uid="{F9EAF62B-6C87-9B40-9ACE-A9472C8502EE}" name="Per Beneficiary Breakeven 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lis.virginia.gov/cgi-bin/legp604.exe?181+oth+HB338JH1110+PDF" TargetMode="External"/><Relationship Id="rId18" Type="http://schemas.openxmlformats.org/officeDocument/2006/relationships/hyperlink" Target="http://lis.virginia.gov/cgi-bin/legp604.exe?181+oth+HB338JH1110+PDF" TargetMode="External"/><Relationship Id="rId26" Type="http://schemas.openxmlformats.org/officeDocument/2006/relationships/hyperlink" Target="https://www.ncbi.nlm.nih.gov/pubmed/7868020" TargetMode="External"/><Relationship Id="rId21" Type="http://schemas.openxmlformats.org/officeDocument/2006/relationships/hyperlink" Target="http://lis.virginia.gov/cgi-bin/legp604.exe?181+oth+HB338JH1110+PDF" TargetMode="External"/><Relationship Id="rId34" Type="http://schemas.openxmlformats.org/officeDocument/2006/relationships/hyperlink" Target="https://www.thecommonwealthinstitute.org/2018/09/28/medicaid-premiums-and-copayments-will-make-it-harder-for-low-income-virginians-to-access-needed-care/" TargetMode="External"/><Relationship Id="rId7" Type="http://schemas.openxmlformats.org/officeDocument/2006/relationships/hyperlink" Target="https://www.frbatlanta.org/-/media/documents/research/publications/wp/2017/06-losing-public-health-insurance-2017-09-28.pdf" TargetMode="External"/><Relationship Id="rId12" Type="http://schemas.openxmlformats.org/officeDocument/2006/relationships/hyperlink" Target="http://lis.virginia.gov/cgi-bin/legp604.exe?181+oth+HB338JH1110+PDF" TargetMode="External"/><Relationship Id="rId17" Type="http://schemas.openxmlformats.org/officeDocument/2006/relationships/hyperlink" Target="http://lis.virginia.gov/cgi-bin/legp604.exe?181+oth+HB338JH1110+PDF" TargetMode="External"/><Relationship Id="rId25" Type="http://schemas.openxmlformats.org/officeDocument/2006/relationships/hyperlink" Target="https://www.macpac.gov/wp-content/uploads/2018/02/SECTION-1115-MEDICAID-EXPANSION-WAIVERS_-IMPLEMENTATION-EXPERIENCES.pdf" TargetMode="External"/><Relationship Id="rId33" Type="http://schemas.openxmlformats.org/officeDocument/2006/relationships/hyperlink" Target="https://www.nber.org/papers/w24100.pdf" TargetMode="External"/><Relationship Id="rId38" Type="http://schemas.openxmlformats.org/officeDocument/2006/relationships/comments" Target="../comments2.xml"/><Relationship Id="rId2" Type="http://schemas.openxmlformats.org/officeDocument/2006/relationships/hyperlink" Target="https://www.healthinsurance.org/virginia-medicaid/" TargetMode="External"/><Relationship Id="rId16" Type="http://schemas.openxmlformats.org/officeDocument/2006/relationships/hyperlink" Target="http://lis.virginia.gov/cgi-bin/legp604.exe?181+oth+HB338JH1110+PDF" TargetMode="External"/><Relationship Id="rId20" Type="http://schemas.openxmlformats.org/officeDocument/2006/relationships/hyperlink" Target="http://lis.virginia.gov/cgi-bin/legp604.exe?181+oth+HB338JH1110+PDF" TargetMode="External"/><Relationship Id="rId29" Type="http://schemas.openxmlformats.org/officeDocument/2006/relationships/hyperlink" Target="https://www.nber.org/papers/w24100.pdf" TargetMode="External"/><Relationship Id="rId1" Type="http://schemas.openxmlformats.org/officeDocument/2006/relationships/hyperlink" Target="https://khn.org/news/indiana-medicaid-drops-25k-from-coverage-for-failing-to-pay-premiums/" TargetMode="External"/><Relationship Id="rId6" Type="http://schemas.openxmlformats.org/officeDocument/2006/relationships/hyperlink" Target="https://www.healthaffairs.org/do/10.1377/hblog20160321.054035/full/" TargetMode="External"/><Relationship Id="rId11" Type="http://schemas.openxmlformats.org/officeDocument/2006/relationships/hyperlink" Target="http://lis.virginia.gov/cgi-bin/legp604.exe?181+oth+HB338JH1110+PDF" TargetMode="External"/><Relationship Id="rId24" Type="http://schemas.openxmlformats.org/officeDocument/2006/relationships/hyperlink" Target="https://www.thecommonwealthinstitute.org/2018/09/28/medicaid-premiums-and-copayments-will-make-it-harder-for-low-income-virginians-to-access-needed-care/" TargetMode="External"/><Relationship Id="rId32" Type="http://schemas.openxmlformats.org/officeDocument/2006/relationships/hyperlink" Target="https://www.nber.org/papers/w24100.pdf" TargetMode="External"/><Relationship Id="rId37" Type="http://schemas.openxmlformats.org/officeDocument/2006/relationships/vmlDrawing" Target="../drawings/vmlDrawing2.vml"/><Relationship Id="rId5" Type="http://schemas.openxmlformats.org/officeDocument/2006/relationships/hyperlink" Target="https://www.cbpp.org/sites/default/files/atoms/files/medicaid_expansion_virginia.pdf" TargetMode="External"/><Relationship Id="rId15" Type="http://schemas.openxmlformats.org/officeDocument/2006/relationships/hyperlink" Target="http://lis.virginia.gov/cgi-bin/legp604.exe?181+oth+HB338JH1110+PDF" TargetMode="External"/><Relationship Id="rId23" Type="http://schemas.openxmlformats.org/officeDocument/2006/relationships/hyperlink" Target="https://khn.org/news/indiana-medicaid-drops-25k-from-coverage-for-failing-to-pay-premiums/" TargetMode="External"/><Relationship Id="rId28" Type="http://schemas.openxmlformats.org/officeDocument/2006/relationships/hyperlink" Target="https://www.ncbi.nlm.nih.gov/pubmed/24385603" TargetMode="External"/><Relationship Id="rId36" Type="http://schemas.openxmlformats.org/officeDocument/2006/relationships/hyperlink" Target="https://www.macpac.gov/wp-content/uploads/2018/02/SECTION-1115-MEDICAID-EXPANSION-WAIVERS_-IMPLEMENTATION-EXPERIENCES.pdf" TargetMode="External"/><Relationship Id="rId10" Type="http://schemas.openxmlformats.org/officeDocument/2006/relationships/hyperlink" Target="http://lis.virginia.gov/cgi-bin/legp604.exe?181+oth+HB338JH1110+PDF" TargetMode="External"/><Relationship Id="rId19" Type="http://schemas.openxmlformats.org/officeDocument/2006/relationships/hyperlink" Target="https://www.irs.gov/pub/irs-pdf/i1040gi.pdf" TargetMode="External"/><Relationship Id="rId31" Type="http://schemas.openxmlformats.org/officeDocument/2006/relationships/hyperlink" Target="https://www.nber.org/papers/w24100.pdf" TargetMode="External"/><Relationship Id="rId4" Type="http://schemas.openxmlformats.org/officeDocument/2006/relationships/hyperlink" Target="http://lis.virginia.gov/cgi-bin/legp604.exe?181+oth+HB338JH1110+PDF" TargetMode="External"/><Relationship Id="rId9" Type="http://schemas.openxmlformats.org/officeDocument/2006/relationships/hyperlink" Target="https://www.cms.gov/Research-Statistics-Data-and-Systems/Research/ActuarialStudies/Downloads/MedicaidReport2017.pdf" TargetMode="External"/><Relationship Id="rId14" Type="http://schemas.openxmlformats.org/officeDocument/2006/relationships/hyperlink" Target="http://lis.virginia.gov/cgi-bin/legp604.exe?181+oth+HB338JH1110+PDF" TargetMode="External"/><Relationship Id="rId22" Type="http://schemas.openxmlformats.org/officeDocument/2006/relationships/hyperlink" Target="https://khn.org/news/indiana-medicaid-drops-25k-from-coverage-for-failing-to-pay-premiums/" TargetMode="External"/><Relationship Id="rId27" Type="http://schemas.openxmlformats.org/officeDocument/2006/relationships/hyperlink" Target="https://www.ncbi.nlm.nih.gov/pubmed/25728285" TargetMode="External"/><Relationship Id="rId30" Type="http://schemas.openxmlformats.org/officeDocument/2006/relationships/hyperlink" Target="https://www.nber.org/papers/w24100.pdf" TargetMode="External"/><Relationship Id="rId35" Type="http://schemas.openxmlformats.org/officeDocument/2006/relationships/hyperlink" Target="https://www.macpac.gov/wp-content/uploads/2018/02/SECTION-1115-MEDICAID-EXPANSION-WAIVERS_-IMPLEMENTATION-EXPERIENCES.pdf" TargetMode="External"/><Relationship Id="rId8" Type="http://schemas.openxmlformats.org/officeDocument/2006/relationships/hyperlink" Target="https://dsebastiantello.files.wordpress.com/2014/12/tenncare-11152016.pdf" TargetMode="External"/><Relationship Id="rId3" Type="http://schemas.openxmlformats.org/officeDocument/2006/relationships/hyperlink" Target="http://lis.virginia.gov/cgi-bin/legp604.exe?181+oth+HB338JH1110+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8812F-AF50-D241-B380-ADC23E863B99}">
  <dimension ref="A1:B8"/>
  <sheetViews>
    <sheetView tabSelected="1" workbookViewId="0">
      <selection activeCell="E35" sqref="E35"/>
    </sheetView>
  </sheetViews>
  <sheetFormatPr baseColWidth="10" defaultRowHeight="16"/>
  <cols>
    <col min="1" max="1" width="27.1640625" bestFit="1" customWidth="1"/>
    <col min="2" max="2" width="8.1640625" bestFit="1" customWidth="1"/>
  </cols>
  <sheetData>
    <row r="1" spans="1:2" ht="39">
      <c r="A1" s="141" t="s">
        <v>190</v>
      </c>
      <c r="B1" s="141"/>
    </row>
    <row r="2" spans="1:2" ht="19">
      <c r="A2" s="139" t="s">
        <v>191</v>
      </c>
      <c r="B2" s="139" t="s">
        <v>192</v>
      </c>
    </row>
    <row r="3" spans="1:2" ht="19">
      <c r="A3" s="139" t="s">
        <v>0</v>
      </c>
      <c r="B3" s="139" t="s">
        <v>193</v>
      </c>
    </row>
    <row r="4" spans="1:2" ht="19">
      <c r="A4" s="139" t="s">
        <v>15</v>
      </c>
      <c r="B4" s="139" t="s">
        <v>194</v>
      </c>
    </row>
    <row r="5" spans="1:2" ht="19">
      <c r="A5" s="139" t="s">
        <v>12</v>
      </c>
      <c r="B5" s="139" t="s">
        <v>195</v>
      </c>
    </row>
    <row r="6" spans="1:2" ht="19">
      <c r="A6" s="139" t="s">
        <v>18</v>
      </c>
      <c r="B6" s="139" t="s">
        <v>196</v>
      </c>
    </row>
    <row r="7" spans="1:2" ht="19">
      <c r="A7" s="140" t="s">
        <v>19</v>
      </c>
      <c r="B7" s="140" t="s">
        <v>198</v>
      </c>
    </row>
    <row r="8" spans="1:2" ht="19">
      <c r="A8" s="140" t="s">
        <v>197</v>
      </c>
      <c r="B8" s="140" t="s">
        <v>199</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97BF9-197E-4546-BAFF-0493CFF3F82D}">
  <dimension ref="A1:I16"/>
  <sheetViews>
    <sheetView zoomScale="99" workbookViewId="0">
      <selection activeCell="C28" sqref="C28"/>
    </sheetView>
  </sheetViews>
  <sheetFormatPr baseColWidth="10" defaultRowHeight="16"/>
  <cols>
    <col min="1" max="1" width="31.6640625" customWidth="1"/>
    <col min="2" max="2" width="23.33203125" customWidth="1"/>
    <col min="3" max="3" width="18.33203125" customWidth="1"/>
    <col min="4" max="4" width="54.6640625" bestFit="1" customWidth="1"/>
    <col min="8" max="8" width="43" customWidth="1"/>
  </cols>
  <sheetData>
    <row r="1" spans="1:9" ht="26">
      <c r="A1" s="143" t="s">
        <v>171</v>
      </c>
      <c r="B1" s="143"/>
      <c r="D1" s="130" t="s">
        <v>174</v>
      </c>
      <c r="E1" s="131"/>
    </row>
    <row r="2" spans="1:9">
      <c r="A2" s="129" t="s">
        <v>15</v>
      </c>
      <c r="B2" s="137">
        <f>Premiums!G33</f>
        <v>728978865.41130161</v>
      </c>
      <c r="D2" s="27" t="s">
        <v>2</v>
      </c>
      <c r="E2" s="132">
        <v>7.0000000000000007E-2</v>
      </c>
    </row>
    <row r="3" spans="1:9">
      <c r="A3" s="129" t="s">
        <v>12</v>
      </c>
      <c r="B3" s="137">
        <f>'Work Requirements'!G42</f>
        <v>2146061924.4003294</v>
      </c>
      <c r="D3" s="57" t="s">
        <v>180</v>
      </c>
      <c r="E3" s="138">
        <f>Assumptions!B10</f>
        <v>342000</v>
      </c>
    </row>
    <row r="4" spans="1:9">
      <c r="A4" s="129" t="s">
        <v>119</v>
      </c>
      <c r="B4" s="137">
        <f>'Co-Pays'!G30</f>
        <v>165101599.74338335</v>
      </c>
      <c r="D4" s="57" t="s">
        <v>179</v>
      </c>
      <c r="E4" s="138">
        <f>Assumptions!B30</f>
        <v>142807</v>
      </c>
    </row>
    <row r="5" spans="1:9">
      <c r="A5" s="129" t="s">
        <v>19</v>
      </c>
      <c r="B5" s="137">
        <f>'Healthy Behavior Incentives'!G31</f>
        <v>321949115.69475895</v>
      </c>
      <c r="D5" s="57" t="s">
        <v>181</v>
      </c>
      <c r="E5" s="138">
        <f>Assumptions!B56</f>
        <v>51975</v>
      </c>
    </row>
    <row r="6" spans="1:9" ht="26">
      <c r="A6" s="143" t="s">
        <v>178</v>
      </c>
      <c r="B6" s="143"/>
      <c r="D6" s="57"/>
      <c r="E6" s="57"/>
    </row>
    <row r="7" spans="1:9">
      <c r="A7" s="129" t="s">
        <v>15</v>
      </c>
      <c r="B7" s="137">
        <f>Premiums!G46</f>
        <v>103572420.20785995</v>
      </c>
    </row>
    <row r="8" spans="1:9">
      <c r="A8" s="129" t="s">
        <v>12</v>
      </c>
      <c r="B8" s="137">
        <f>'Work Requirements'!G56</f>
        <v>198834484.18343744</v>
      </c>
    </row>
    <row r="9" spans="1:9">
      <c r="A9" s="129" t="s">
        <v>119</v>
      </c>
      <c r="B9" s="137">
        <f>'Co-Pays'!G42</f>
        <v>14989830.292663787</v>
      </c>
    </row>
    <row r="10" spans="1:9">
      <c r="A10" s="129" t="s">
        <v>19</v>
      </c>
      <c r="B10" s="137">
        <f>'Healthy Behavior Incentives'!G47</f>
        <v>85112971.582979813</v>
      </c>
    </row>
    <row r="12" spans="1:9" ht="32">
      <c r="A12" s="85" t="s">
        <v>117</v>
      </c>
      <c r="B12" s="85" t="s">
        <v>21</v>
      </c>
      <c r="C12" s="134" t="s">
        <v>172</v>
      </c>
      <c r="D12" s="134" t="s">
        <v>173</v>
      </c>
      <c r="H12" s="142" t="s">
        <v>122</v>
      </c>
      <c r="I12" s="142"/>
    </row>
    <row r="13" spans="1:9" ht="32">
      <c r="A13" s="85" t="s">
        <v>15</v>
      </c>
      <c r="B13" s="135">
        <f>Premiums!E4</f>
        <v>-625406445.20344162</v>
      </c>
      <c r="C13" s="136">
        <f>Premiums!E9</f>
        <v>6.2437883090266997</v>
      </c>
      <c r="D13" s="136">
        <f>Premiums!E10</f>
        <v>1017.5086455646431</v>
      </c>
      <c r="H13" s="133" t="s">
        <v>175</v>
      </c>
      <c r="I13" s="90">
        <f>-PMT(Assumptions!$B$5,26,ABS($B$13-Punchline!$B$15),0)/Assumptions!$B$17</f>
        <v>4.7451371225349677</v>
      </c>
    </row>
    <row r="14" spans="1:9">
      <c r="A14" s="85" t="s">
        <v>12</v>
      </c>
      <c r="B14" s="135">
        <f>'Work Requirements'!E4</f>
        <v>-1947227440.216892</v>
      </c>
      <c r="C14" s="136">
        <f>'Work Requirements'!E9</f>
        <v>19.440279228793774</v>
      </c>
      <c r="D14" s="136">
        <f>'Work Requirements'!E10</f>
        <v>1153.0215876915545</v>
      </c>
    </row>
    <row r="15" spans="1:9">
      <c r="A15" s="85" t="s">
        <v>119</v>
      </c>
      <c r="B15" s="135">
        <f>'Co-Pays'!E5</f>
        <v>-150111769.45071957</v>
      </c>
      <c r="C15" s="85" t="s">
        <v>120</v>
      </c>
      <c r="D15" s="85" t="s">
        <v>120</v>
      </c>
    </row>
    <row r="16" spans="1:9">
      <c r="A16" s="85" t="s">
        <v>19</v>
      </c>
      <c r="B16" s="135">
        <f>'Healthy Behavior Incentives'!E6</f>
        <v>-236836144.11177915</v>
      </c>
      <c r="C16" s="85" t="s">
        <v>120</v>
      </c>
      <c r="D16" s="85" t="s">
        <v>120</v>
      </c>
    </row>
  </sheetData>
  <mergeCells count="3">
    <mergeCell ref="H12:I12"/>
    <mergeCell ref="A1:B1"/>
    <mergeCell ref="A6:B6"/>
  </mergeCells>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7"/>
  <sheetViews>
    <sheetView workbookViewId="0">
      <selection sqref="A1:B2"/>
    </sheetView>
  </sheetViews>
  <sheetFormatPr baseColWidth="10" defaultRowHeight="16"/>
  <cols>
    <col min="1" max="1" width="70.1640625" bestFit="1" customWidth="1"/>
    <col min="2" max="2" width="14" bestFit="1" customWidth="1"/>
    <col min="3" max="3" width="76.33203125" bestFit="1" customWidth="1"/>
  </cols>
  <sheetData>
    <row r="1" spans="1:4">
      <c r="A1" s="144" t="s">
        <v>0</v>
      </c>
      <c r="B1" s="144"/>
      <c r="C1" s="144"/>
      <c r="D1" s="144"/>
    </row>
    <row r="2" spans="1:4">
      <c r="A2" s="144"/>
      <c r="B2" s="144"/>
      <c r="C2" s="144"/>
      <c r="D2" s="144"/>
    </row>
    <row r="4" spans="1:4" ht="19">
      <c r="A4" s="145" t="s">
        <v>1</v>
      </c>
      <c r="B4" s="145"/>
      <c r="C4" s="5" t="s">
        <v>5</v>
      </c>
    </row>
    <row r="5" spans="1:4">
      <c r="A5" t="s">
        <v>2</v>
      </c>
      <c r="B5" s="1">
        <v>7.0000000000000007E-2</v>
      </c>
      <c r="C5" t="s">
        <v>124</v>
      </c>
    </row>
    <row r="6" spans="1:4">
      <c r="A6" t="s">
        <v>3</v>
      </c>
      <c r="B6" s="2" t="s">
        <v>4</v>
      </c>
      <c r="C6" t="s">
        <v>156</v>
      </c>
    </row>
    <row r="7" spans="1:4">
      <c r="A7" t="s">
        <v>7</v>
      </c>
      <c r="B7" s="7">
        <v>423000</v>
      </c>
      <c r="C7" s="8" t="s">
        <v>134</v>
      </c>
    </row>
    <row r="8" spans="1:4">
      <c r="A8" s="4" t="s">
        <v>8</v>
      </c>
      <c r="B8" s="7">
        <v>190694</v>
      </c>
      <c r="C8" s="8" t="s">
        <v>9</v>
      </c>
    </row>
    <row r="9" spans="1:4">
      <c r="A9" s="4" t="s">
        <v>10</v>
      </c>
      <c r="B9" s="7">
        <v>298658</v>
      </c>
      <c r="C9" s="8" t="s">
        <v>9</v>
      </c>
    </row>
    <row r="10" spans="1:4">
      <c r="A10" s="4" t="s">
        <v>11</v>
      </c>
      <c r="B10" s="7">
        <v>342000</v>
      </c>
      <c r="C10" s="8" t="s">
        <v>135</v>
      </c>
    </row>
    <row r="11" spans="1:4">
      <c r="A11" s="4" t="s">
        <v>52</v>
      </c>
      <c r="B11" s="34">
        <v>7.0000000000000007E-2</v>
      </c>
      <c r="C11" s="8" t="s">
        <v>137</v>
      </c>
    </row>
    <row r="12" spans="1:4">
      <c r="A12" s="4" t="s">
        <v>53</v>
      </c>
      <c r="B12" s="34">
        <v>0.1</v>
      </c>
      <c r="C12" s="8" t="s">
        <v>137</v>
      </c>
    </row>
    <row r="13" spans="1:4">
      <c r="A13" s="4" t="s">
        <v>54</v>
      </c>
      <c r="B13" s="9">
        <v>2666</v>
      </c>
      <c r="C13" s="8" t="s">
        <v>56</v>
      </c>
    </row>
    <row r="14" spans="1:4">
      <c r="A14" s="4" t="s">
        <v>62</v>
      </c>
      <c r="B14" s="37">
        <v>1.2</v>
      </c>
      <c r="C14" s="8" t="s">
        <v>138</v>
      </c>
    </row>
    <row r="15" spans="1:4">
      <c r="A15" s="4" t="s">
        <v>63</v>
      </c>
      <c r="B15" s="9">
        <v>7.4</v>
      </c>
      <c r="C15" s="16" t="s">
        <v>139</v>
      </c>
    </row>
    <row r="16" spans="1:4">
      <c r="A16" s="4" t="s">
        <v>98</v>
      </c>
      <c r="B16" s="9">
        <v>6355</v>
      </c>
      <c r="C16" s="91" t="s">
        <v>140</v>
      </c>
    </row>
    <row r="17" spans="1:4">
      <c r="A17" s="4" t="s">
        <v>111</v>
      </c>
      <c r="B17" s="7">
        <v>8470020</v>
      </c>
      <c r="C17" t="s">
        <v>141</v>
      </c>
    </row>
    <row r="19" spans="1:4" ht="19">
      <c r="A19" s="30" t="s">
        <v>12</v>
      </c>
      <c r="B19" s="30"/>
      <c r="C19" s="5" t="s">
        <v>5</v>
      </c>
    </row>
    <row r="20" spans="1:4">
      <c r="A20" t="s">
        <v>55</v>
      </c>
      <c r="B20" s="9">
        <v>341</v>
      </c>
      <c r="C20" s="8" t="s">
        <v>9</v>
      </c>
    </row>
    <row r="21" spans="1:4">
      <c r="A21" t="s">
        <v>13</v>
      </c>
      <c r="B21" s="9">
        <v>1080</v>
      </c>
      <c r="C21" s="8" t="s">
        <v>9</v>
      </c>
    </row>
    <row r="22" spans="1:4">
      <c r="A22" t="s">
        <v>14</v>
      </c>
      <c r="B22" s="7">
        <v>65295</v>
      </c>
      <c r="C22" s="8" t="s">
        <v>9</v>
      </c>
      <c r="D22" t="s">
        <v>136</v>
      </c>
    </row>
    <row r="23" spans="1:4">
      <c r="A23" t="s">
        <v>142</v>
      </c>
      <c r="B23" s="7">
        <v>102706</v>
      </c>
      <c r="C23" s="8" t="s">
        <v>9</v>
      </c>
      <c r="D23" t="s">
        <v>136</v>
      </c>
    </row>
    <row r="24" spans="1:4">
      <c r="A24" t="s">
        <v>143</v>
      </c>
      <c r="B24" s="10">
        <v>13364</v>
      </c>
      <c r="C24" s="8" t="s">
        <v>9</v>
      </c>
      <c r="D24" t="s">
        <v>136</v>
      </c>
    </row>
    <row r="25" spans="1:4">
      <c r="A25" t="s">
        <v>144</v>
      </c>
      <c r="B25" s="10">
        <v>21576</v>
      </c>
      <c r="C25" s="8" t="s">
        <v>9</v>
      </c>
      <c r="D25" t="s">
        <v>136</v>
      </c>
    </row>
    <row r="26" spans="1:4">
      <c r="A26" t="s">
        <v>40</v>
      </c>
      <c r="B26" s="11">
        <v>3300000</v>
      </c>
      <c r="C26" s="8" t="s">
        <v>9</v>
      </c>
      <c r="D26" t="s">
        <v>136</v>
      </c>
    </row>
    <row r="27" spans="1:4">
      <c r="A27" t="s">
        <v>41</v>
      </c>
      <c r="B27" s="11">
        <v>3000000</v>
      </c>
      <c r="C27" s="8" t="s">
        <v>9</v>
      </c>
      <c r="D27" t="s">
        <v>136</v>
      </c>
    </row>
    <row r="28" spans="1:4">
      <c r="A28" t="s">
        <v>145</v>
      </c>
      <c r="B28" s="11">
        <v>1200000</v>
      </c>
      <c r="C28" s="8" t="s">
        <v>9</v>
      </c>
      <c r="D28" t="s">
        <v>136</v>
      </c>
    </row>
    <row r="29" spans="1:4">
      <c r="A29" t="s">
        <v>125</v>
      </c>
      <c r="B29" s="9">
        <v>3300000</v>
      </c>
      <c r="C29" t="s">
        <v>155</v>
      </c>
    </row>
    <row r="30" spans="1:4">
      <c r="A30" t="s">
        <v>64</v>
      </c>
      <c r="B30" s="7">
        <v>142807</v>
      </c>
      <c r="C30" t="s">
        <v>79</v>
      </c>
    </row>
    <row r="31" spans="1:4">
      <c r="A31" t="s">
        <v>65</v>
      </c>
      <c r="B31" s="7">
        <v>61007</v>
      </c>
      <c r="C31" t="s">
        <v>79</v>
      </c>
    </row>
    <row r="32" spans="1:4">
      <c r="A32" t="s">
        <v>66</v>
      </c>
      <c r="B32" s="7">
        <v>7</v>
      </c>
      <c r="C32" s="92" t="s">
        <v>146</v>
      </c>
    </row>
    <row r="33" spans="1:3">
      <c r="A33" t="s">
        <v>74</v>
      </c>
      <c r="B33" s="38">
        <v>28596</v>
      </c>
      <c r="C33" t="s">
        <v>79</v>
      </c>
    </row>
    <row r="34" spans="1:3">
      <c r="A34" t="s">
        <v>75</v>
      </c>
      <c r="B34" s="7">
        <v>50000</v>
      </c>
      <c r="C34" s="8" t="s">
        <v>9</v>
      </c>
    </row>
    <row r="35" spans="1:3">
      <c r="A35" t="s">
        <v>76</v>
      </c>
      <c r="B35" s="7">
        <v>142807</v>
      </c>
      <c r="C35" t="s">
        <v>79</v>
      </c>
    </row>
    <row r="36" spans="1:3" ht="17" customHeight="1">
      <c r="A36" t="s">
        <v>77</v>
      </c>
      <c r="B36" s="7">
        <v>120000</v>
      </c>
      <c r="C36" s="8" t="s">
        <v>9</v>
      </c>
    </row>
    <row r="37" spans="1:3" ht="19" customHeight="1">
      <c r="A37" t="s">
        <v>78</v>
      </c>
      <c r="B37" s="7">
        <v>61007</v>
      </c>
      <c r="C37" t="s">
        <v>79</v>
      </c>
    </row>
    <row r="39" spans="1:3" ht="19">
      <c r="A39" s="30" t="s">
        <v>15</v>
      </c>
      <c r="B39" s="30"/>
      <c r="C39" s="5" t="s">
        <v>5</v>
      </c>
    </row>
    <row r="40" spans="1:3">
      <c r="A40" t="s">
        <v>16</v>
      </c>
      <c r="B40" s="11">
        <v>10000000</v>
      </c>
      <c r="C40" s="93" t="s">
        <v>157</v>
      </c>
    </row>
    <row r="41" spans="1:3">
      <c r="A41" s="6" t="s">
        <v>126</v>
      </c>
      <c r="B41" s="12">
        <v>0.1275</v>
      </c>
      <c r="C41" s="8" t="s">
        <v>147</v>
      </c>
    </row>
    <row r="42" spans="1:3" ht="32">
      <c r="A42" s="6" t="s">
        <v>170</v>
      </c>
      <c r="B42" s="12">
        <v>0.1847</v>
      </c>
      <c r="C42" s="8" t="s">
        <v>147</v>
      </c>
    </row>
    <row r="43" spans="1:3">
      <c r="A43" s="6" t="s">
        <v>127</v>
      </c>
      <c r="B43" s="12">
        <f>45000/559000</f>
        <v>8.0500894454382826E-2</v>
      </c>
      <c r="C43" s="8" t="s">
        <v>147</v>
      </c>
    </row>
    <row r="44" spans="1:3">
      <c r="A44" s="6" t="s">
        <v>61</v>
      </c>
      <c r="B44" s="7">
        <v>51975</v>
      </c>
      <c r="C44" t="s">
        <v>148</v>
      </c>
    </row>
    <row r="45" spans="1:3">
      <c r="A45" s="6" t="s">
        <v>128</v>
      </c>
      <c r="B45" s="36">
        <v>0.28999999999999998</v>
      </c>
      <c r="C45" s="8" t="s">
        <v>149</v>
      </c>
    </row>
    <row r="46" spans="1:3">
      <c r="A46" s="6" t="s">
        <v>129</v>
      </c>
      <c r="B46" s="9">
        <v>58.64</v>
      </c>
      <c r="C46" s="8" t="s">
        <v>17</v>
      </c>
    </row>
    <row r="47" spans="1:3">
      <c r="A47" s="6" t="s">
        <v>130</v>
      </c>
      <c r="B47" s="44">
        <f>B41*B44</f>
        <v>6626.8125</v>
      </c>
      <c r="C47" t="s">
        <v>150</v>
      </c>
    </row>
    <row r="48" spans="1:3">
      <c r="A48" s="6" t="s">
        <v>131</v>
      </c>
      <c r="B48" s="44">
        <f>B42*B44</f>
        <v>9599.7824999999993</v>
      </c>
      <c r="C48" t="s">
        <v>150</v>
      </c>
    </row>
    <row r="49" spans="1:3">
      <c r="A49" s="6" t="s">
        <v>162</v>
      </c>
      <c r="B49" s="44">
        <f>B45*B44</f>
        <v>15072.749999999998</v>
      </c>
      <c r="C49" t="s">
        <v>150</v>
      </c>
    </row>
    <row r="51" spans="1:3" ht="19">
      <c r="A51" s="30" t="s">
        <v>18</v>
      </c>
      <c r="B51" s="30"/>
      <c r="C51" s="5" t="s">
        <v>5</v>
      </c>
    </row>
    <row r="52" spans="1:3">
      <c r="A52" t="s">
        <v>16</v>
      </c>
      <c r="B52" s="11">
        <v>10000000</v>
      </c>
      <c r="C52" s="93" t="s">
        <v>157</v>
      </c>
    </row>
    <row r="53" spans="1:3">
      <c r="A53" t="s">
        <v>67</v>
      </c>
      <c r="B53">
        <v>360.41</v>
      </c>
      <c r="C53" s="8" t="s">
        <v>151</v>
      </c>
    </row>
    <row r="54" spans="1:3">
      <c r="A54" t="s">
        <v>68</v>
      </c>
      <c r="B54">
        <v>6.2E-2</v>
      </c>
      <c r="C54" s="8" t="s">
        <v>152</v>
      </c>
    </row>
    <row r="55" spans="1:3">
      <c r="A55" t="s">
        <v>69</v>
      </c>
      <c r="B55">
        <v>1.02</v>
      </c>
      <c r="C55" s="8" t="s">
        <v>153</v>
      </c>
    </row>
    <row r="56" spans="1:3">
      <c r="A56" t="s">
        <v>132</v>
      </c>
      <c r="B56" s="7">
        <f>B44</f>
        <v>51975</v>
      </c>
      <c r="C56" t="s">
        <v>148</v>
      </c>
    </row>
    <row r="57" spans="1:3">
      <c r="A57" s="6" t="s">
        <v>129</v>
      </c>
      <c r="B57" s="9">
        <f>B46</f>
        <v>58.64</v>
      </c>
      <c r="C57" s="8" t="s">
        <v>17</v>
      </c>
    </row>
    <row r="59" spans="1:3" ht="19">
      <c r="A59" s="30" t="s">
        <v>19</v>
      </c>
      <c r="B59" s="30"/>
      <c r="C59" s="5" t="s">
        <v>5</v>
      </c>
    </row>
    <row r="60" spans="1:3">
      <c r="A60" t="s">
        <v>58</v>
      </c>
      <c r="B60" s="11">
        <v>50</v>
      </c>
      <c r="C60" s="8" t="s">
        <v>154</v>
      </c>
    </row>
    <row r="61" spans="1:3">
      <c r="A61" t="s">
        <v>59</v>
      </c>
      <c r="B61">
        <v>0.14000000000000001</v>
      </c>
      <c r="C61" s="8" t="s">
        <v>149</v>
      </c>
    </row>
    <row r="62" spans="1:3">
      <c r="A62" t="s">
        <v>133</v>
      </c>
      <c r="B62" s="9">
        <v>3</v>
      </c>
      <c r="C62" t="s">
        <v>187</v>
      </c>
    </row>
    <row r="63" spans="1:3">
      <c r="A63" t="s">
        <v>16</v>
      </c>
      <c r="B63" s="7">
        <v>9500000</v>
      </c>
      <c r="C63" s="8" t="s">
        <v>17</v>
      </c>
    </row>
    <row r="64" spans="1:3">
      <c r="A64" t="s">
        <v>70</v>
      </c>
      <c r="B64">
        <v>333</v>
      </c>
      <c r="C64" s="8" t="s">
        <v>154</v>
      </c>
    </row>
    <row r="65" spans="1:3">
      <c r="A65" t="s">
        <v>71</v>
      </c>
      <c r="B65">
        <v>327</v>
      </c>
      <c r="C65" s="8" t="s">
        <v>154</v>
      </c>
    </row>
    <row r="66" spans="1:3">
      <c r="A66" t="s">
        <v>72</v>
      </c>
      <c r="B66">
        <v>120</v>
      </c>
      <c r="C66" s="8" t="s">
        <v>154</v>
      </c>
    </row>
    <row r="67" spans="1:3">
      <c r="A67" t="s">
        <v>73</v>
      </c>
      <c r="B67">
        <v>147</v>
      </c>
      <c r="C67" s="8" t="s">
        <v>154</v>
      </c>
    </row>
  </sheetData>
  <mergeCells count="3">
    <mergeCell ref="A1:B2"/>
    <mergeCell ref="A4:B4"/>
    <mergeCell ref="C1:D2"/>
  </mergeCells>
  <hyperlinks>
    <hyperlink ref="C41" r:id="rId1" xr:uid="{00000000-0004-0000-0000-000003000000}"/>
    <hyperlink ref="C7" r:id="rId2" xr:uid="{7E52000C-26ED-D54C-B27A-939CBB4EE9D5}"/>
    <hyperlink ref="C8" r:id="rId3" xr:uid="{1A3134F2-005F-8045-B2E2-E7CC8CCC6F23}"/>
    <hyperlink ref="C9" r:id="rId4" xr:uid="{5A4BE377-EFD4-2342-AEF1-5B1158438F63}"/>
    <hyperlink ref="C10" r:id="rId5" xr:uid="{F7797E57-C42C-6949-A5D2-3DEBCA728D9A}"/>
    <hyperlink ref="C11:C12" r:id="rId6" display="(Chernew, 2016)" xr:uid="{ECA58760-8A5C-9049-A4D2-84F97AD05443}"/>
    <hyperlink ref="C13" r:id="rId7" xr:uid="{1F1D5B68-98FD-4E45-83BD-81ADCC04B688}"/>
    <hyperlink ref="C14" r:id="rId8" xr:uid="{85AC73B4-2503-5248-9403-9B152BB2DB6E}"/>
    <hyperlink ref="C16" r:id="rId9" xr:uid="{EB1C74B4-4B75-7D44-92C5-F3138CF3AEE2}"/>
    <hyperlink ref="C20" r:id="rId10" xr:uid="{C1D99234-69F1-6142-B480-A1100FF97B4F}"/>
    <hyperlink ref="C21" r:id="rId11" xr:uid="{0A785146-0B7F-B942-9B0F-EFF05C49EB5D}"/>
    <hyperlink ref="C22" r:id="rId12" xr:uid="{319E3A2A-7172-894D-BF5E-AC7AFB18690A}"/>
    <hyperlink ref="C23" r:id="rId13" xr:uid="{FCCC6F62-14F6-7A4C-9EBF-9F7C90B84E47}"/>
    <hyperlink ref="C24" r:id="rId14" xr:uid="{2A03AF98-4361-0944-9D1B-528CA7BFBEFF}"/>
    <hyperlink ref="C25" r:id="rId15" xr:uid="{832F87FD-B087-944A-8B0D-A5ECA2033795}"/>
    <hyperlink ref="C26" r:id="rId16" xr:uid="{5D37C4DB-9666-C040-8D33-8987EDBC69C3}"/>
    <hyperlink ref="C27" r:id="rId17" xr:uid="{319875B9-1926-6F4D-A774-EA05032A2C56}"/>
    <hyperlink ref="C28" r:id="rId18" xr:uid="{012A3C11-4A66-E543-BA85-947797111AC5}"/>
    <hyperlink ref="C32" r:id="rId19" display="https://www.irs.gov/pub/irs-pdf/i1040gi.pdf" xr:uid="{04E03494-3FA6-7049-A39D-B5259700DC99}"/>
    <hyperlink ref="C34" r:id="rId20" xr:uid="{F1D5262B-A88C-DF49-9AF4-76B20E7D5C36}"/>
    <hyperlink ref="C36" r:id="rId21" xr:uid="{2D592C4F-3ABD-7B4D-808B-9546C6F2FB32}"/>
    <hyperlink ref="C42" r:id="rId22" xr:uid="{AE1D95BB-56E8-4549-AA68-6BBBD92A4FAB}"/>
    <hyperlink ref="C43" r:id="rId23" xr:uid="{EC980ECE-3DBA-844C-89EF-A6A4E43E92BE}"/>
    <hyperlink ref="C45" r:id="rId24" xr:uid="{66A1DC84-0082-F349-8DDB-9CD8C2E51F2D}"/>
    <hyperlink ref="C46" r:id="rId25" xr:uid="{65124497-AA47-D945-8AFA-080ED0E6D65E}"/>
    <hyperlink ref="C53" r:id="rId26" xr:uid="{08390890-22C6-2446-BC22-1A669FE883CA}"/>
    <hyperlink ref="C54" r:id="rId27" xr:uid="{95A379E4-95A6-6842-92FC-3211CB6A09E3}"/>
    <hyperlink ref="C55" r:id="rId28" xr:uid="{A20CC062-F31C-6941-9CA2-EB91E3FEB607}"/>
    <hyperlink ref="C60" r:id="rId29" xr:uid="{EFDEDC29-EF80-E24B-B1CA-55D55C7A63D7}"/>
    <hyperlink ref="C64" r:id="rId30" xr:uid="{B6B9B001-61BB-704B-B2D1-5B69802A8844}"/>
    <hyperlink ref="C65" r:id="rId31" xr:uid="{969A7AD9-53D9-0C40-B431-D68038A08690}"/>
    <hyperlink ref="C66" r:id="rId32" xr:uid="{79E1BF39-8821-5F4E-925A-E916A781BA3B}"/>
    <hyperlink ref="C67" r:id="rId33" xr:uid="{97A8BF41-2EC7-3D44-8081-6C08A7CEB819}"/>
    <hyperlink ref="C61" r:id="rId34" xr:uid="{A1BCF00D-B472-4843-ABA3-E3563CD783F7}"/>
    <hyperlink ref="C63" r:id="rId35" xr:uid="{C71A49CB-A21A-E44F-BCF1-3A0FAA708EDC}"/>
    <hyperlink ref="C57" r:id="rId36" xr:uid="{88742A2B-DECD-FA43-86C4-DC79FD32A5B7}"/>
  </hyperlinks>
  <pageMargins left="0.7" right="0.7" top="0.75" bottom="0.75" header="0.3" footer="0.3"/>
  <pageSetup orientation="portrait" horizontalDpi="0" verticalDpi="0"/>
  <legacyDrawing r:id="rId3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2"/>
  <sheetViews>
    <sheetView zoomScale="94" workbookViewId="0">
      <selection activeCell="A40" sqref="A40"/>
    </sheetView>
  </sheetViews>
  <sheetFormatPr baseColWidth="10" defaultRowHeight="16"/>
  <cols>
    <col min="1" max="1" width="50" bestFit="1" customWidth="1"/>
    <col min="2" max="2" width="23.33203125" bestFit="1" customWidth="1"/>
    <col min="3" max="3" width="14.5" bestFit="1" customWidth="1"/>
    <col min="4" max="4" width="43.5" bestFit="1" customWidth="1"/>
    <col min="5" max="5" width="17.33203125" bestFit="1" customWidth="1"/>
    <col min="6" max="6" width="31.6640625" customWidth="1"/>
    <col min="7" max="7" width="16.6640625" bestFit="1" customWidth="1"/>
    <col min="8" max="27" width="14.5" bestFit="1" customWidth="1"/>
    <col min="28" max="28" width="16.6640625" bestFit="1" customWidth="1"/>
  </cols>
  <sheetData>
    <row r="1" spans="1:10">
      <c r="A1" s="147" t="s">
        <v>15</v>
      </c>
      <c r="B1" s="147"/>
      <c r="C1" s="16"/>
      <c r="D1" s="16"/>
      <c r="E1" s="16"/>
      <c r="F1" s="16"/>
      <c r="G1" s="16"/>
      <c r="H1" s="16"/>
      <c r="I1" s="16"/>
      <c r="J1" s="16"/>
    </row>
    <row r="2" spans="1:10" ht="31">
      <c r="A2" s="147"/>
      <c r="B2" s="147"/>
      <c r="C2" s="16"/>
      <c r="D2" s="150" t="s">
        <v>115</v>
      </c>
      <c r="E2" s="150"/>
      <c r="F2" s="16"/>
      <c r="G2" s="16"/>
      <c r="H2" s="16"/>
      <c r="I2" s="16"/>
      <c r="J2" s="16"/>
    </row>
    <row r="3" spans="1:10" ht="19">
      <c r="A3" s="25" t="s">
        <v>1</v>
      </c>
      <c r="B3" s="26"/>
      <c r="D3" s="60"/>
      <c r="E3" s="60"/>
    </row>
    <row r="4" spans="1:10" ht="21">
      <c r="A4" s="94" t="s">
        <v>2</v>
      </c>
      <c r="B4" s="95">
        <v>7.0000000000000007E-2</v>
      </c>
      <c r="D4" s="61" t="s">
        <v>106</v>
      </c>
      <c r="E4" s="62">
        <f>$G$46-$G$33</f>
        <v>-625406445.20344162</v>
      </c>
    </row>
    <row r="5" spans="1:10" ht="21">
      <c r="A5" s="94" t="s">
        <v>3</v>
      </c>
      <c r="B5" s="96" t="s">
        <v>4</v>
      </c>
      <c r="D5" s="61"/>
      <c r="E5" s="62"/>
    </row>
    <row r="6" spans="1:10">
      <c r="A6" s="94" t="s">
        <v>7</v>
      </c>
      <c r="B6" s="97">
        <v>423000</v>
      </c>
      <c r="D6" s="60"/>
      <c r="E6" s="60"/>
    </row>
    <row r="7" spans="1:10" ht="26">
      <c r="A7" s="98" t="s">
        <v>8</v>
      </c>
      <c r="B7" s="97">
        <v>190694</v>
      </c>
      <c r="D7" s="146" t="s">
        <v>107</v>
      </c>
      <c r="E7" s="146"/>
    </row>
    <row r="8" spans="1:10">
      <c r="A8" s="98" t="s">
        <v>10</v>
      </c>
      <c r="B8" s="97">
        <v>298658</v>
      </c>
      <c r="D8" s="63" t="s">
        <v>108</v>
      </c>
      <c r="E8" s="64">
        <f>0-E4</f>
        <v>625406445.20344162</v>
      </c>
    </row>
    <row r="9" spans="1:10">
      <c r="A9" s="98" t="s">
        <v>11</v>
      </c>
      <c r="B9" s="97">
        <v>342000</v>
      </c>
      <c r="D9" s="65" t="s">
        <v>109</v>
      </c>
      <c r="E9" s="66">
        <f>-PMT(Assumptions!$B$5,26,$E$8,0,0)/Assumptions!$B$17</f>
        <v>6.2437883090266997</v>
      </c>
    </row>
    <row r="10" spans="1:10">
      <c r="A10" s="98" t="s">
        <v>52</v>
      </c>
      <c r="B10" s="99">
        <v>7.0000000000000007E-2</v>
      </c>
      <c r="D10" s="65" t="s">
        <v>110</v>
      </c>
      <c r="E10" s="66">
        <f>-PMT(Assumptions!$B$5,26,$E$8,0,0)/Assumptions!$B$44</f>
        <v>1017.5086455646431</v>
      </c>
    </row>
    <row r="11" spans="1:10">
      <c r="A11" s="98" t="s">
        <v>53</v>
      </c>
      <c r="B11" s="99">
        <v>0.1</v>
      </c>
      <c r="D11" s="63" t="s">
        <v>112</v>
      </c>
      <c r="E11" s="66">
        <f>-PMT(Assumptions!$B$5,26,$E$8,0,0)</f>
        <v>52885011.853222325</v>
      </c>
    </row>
    <row r="12" spans="1:10">
      <c r="A12" s="98" t="s">
        <v>54</v>
      </c>
      <c r="B12" s="100">
        <v>2666</v>
      </c>
    </row>
    <row r="13" spans="1:10">
      <c r="A13" s="98" t="s">
        <v>62</v>
      </c>
      <c r="B13" s="101">
        <v>1.2</v>
      </c>
    </row>
    <row r="14" spans="1:10">
      <c r="A14" s="98" t="s">
        <v>63</v>
      </c>
      <c r="B14" s="100">
        <v>7.4</v>
      </c>
    </row>
    <row r="15" spans="1:10">
      <c r="A15" s="98" t="s">
        <v>98</v>
      </c>
      <c r="B15" s="100">
        <v>6355</v>
      </c>
    </row>
    <row r="16" spans="1:10">
      <c r="A16" s="98" t="s">
        <v>111</v>
      </c>
      <c r="B16" s="97">
        <v>8470020</v>
      </c>
    </row>
    <row r="19" spans="1:32" ht="21">
      <c r="A19" s="13" t="s">
        <v>20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32">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32" ht="19">
      <c r="A21" s="17" t="s">
        <v>15</v>
      </c>
      <c r="B21" s="17" t="s">
        <v>22</v>
      </c>
      <c r="C21" s="17" t="s">
        <v>23</v>
      </c>
      <c r="D21" s="17" t="s">
        <v>24</v>
      </c>
      <c r="E21" s="17" t="s">
        <v>25</v>
      </c>
      <c r="F21" s="17" t="s">
        <v>26</v>
      </c>
      <c r="G21" s="17" t="s">
        <v>27</v>
      </c>
      <c r="H21" s="17" t="s">
        <v>28</v>
      </c>
      <c r="I21" s="17" t="s">
        <v>29</v>
      </c>
      <c r="J21" s="17" t="s">
        <v>30</v>
      </c>
      <c r="K21" s="17" t="s">
        <v>31</v>
      </c>
      <c r="L21" s="17" t="s">
        <v>83</v>
      </c>
      <c r="M21" s="17" t="s">
        <v>84</v>
      </c>
      <c r="N21" s="17" t="s">
        <v>85</v>
      </c>
      <c r="O21" s="17" t="s">
        <v>86</v>
      </c>
      <c r="P21" s="17" t="s">
        <v>87</v>
      </c>
      <c r="Q21" s="17" t="s">
        <v>88</v>
      </c>
      <c r="R21" s="17" t="s">
        <v>89</v>
      </c>
      <c r="S21" s="17" t="s">
        <v>90</v>
      </c>
      <c r="T21" s="17" t="s">
        <v>91</v>
      </c>
      <c r="U21" s="17" t="s">
        <v>92</v>
      </c>
      <c r="V21" s="17" t="s">
        <v>93</v>
      </c>
      <c r="W21" s="17" t="s">
        <v>94</v>
      </c>
      <c r="X21" s="17" t="s">
        <v>95</v>
      </c>
      <c r="Y21" s="17" t="s">
        <v>96</v>
      </c>
      <c r="Z21" s="17" t="s">
        <v>97</v>
      </c>
      <c r="AA21" s="17" t="s">
        <v>99</v>
      </c>
      <c r="AB21" s="42"/>
      <c r="AC21" s="42"/>
      <c r="AD21" s="42"/>
      <c r="AE21" s="42"/>
      <c r="AF21" s="42"/>
    </row>
    <row r="22" spans="1:32" ht="21">
      <c r="A22" s="19" t="s">
        <v>6</v>
      </c>
      <c r="B22" s="19">
        <v>0</v>
      </c>
      <c r="C22" s="19">
        <v>1</v>
      </c>
      <c r="D22" s="19">
        <v>2</v>
      </c>
      <c r="E22" s="19">
        <v>3</v>
      </c>
      <c r="F22" s="19">
        <v>4</v>
      </c>
      <c r="G22" s="19">
        <v>5</v>
      </c>
      <c r="H22" s="19">
        <v>6</v>
      </c>
      <c r="I22" s="19">
        <v>7</v>
      </c>
      <c r="J22" s="19">
        <v>8</v>
      </c>
      <c r="K22" s="19">
        <v>9</v>
      </c>
      <c r="L22" s="19">
        <v>10</v>
      </c>
      <c r="M22" s="19">
        <v>11</v>
      </c>
      <c r="N22" s="19">
        <v>12</v>
      </c>
      <c r="O22" s="19">
        <v>13</v>
      </c>
      <c r="P22" s="19">
        <v>14</v>
      </c>
      <c r="Q22" s="19">
        <v>15</v>
      </c>
      <c r="R22" s="19">
        <v>16</v>
      </c>
      <c r="S22" s="19">
        <v>17</v>
      </c>
      <c r="T22" s="19">
        <v>18</v>
      </c>
      <c r="U22" s="19">
        <v>19</v>
      </c>
      <c r="V22" s="19">
        <v>20</v>
      </c>
      <c r="W22" s="19">
        <v>21</v>
      </c>
      <c r="X22" s="19">
        <v>22</v>
      </c>
      <c r="Y22" s="19">
        <v>23</v>
      </c>
      <c r="Z22" s="19">
        <v>24</v>
      </c>
      <c r="AA22" s="19">
        <v>25</v>
      </c>
      <c r="AB22" s="43" t="s">
        <v>82</v>
      </c>
      <c r="AC22" s="43"/>
      <c r="AD22" s="43"/>
      <c r="AE22" s="43"/>
      <c r="AF22" s="43"/>
    </row>
    <row r="23" spans="1:32">
      <c r="A23" s="24" t="s">
        <v>16</v>
      </c>
      <c r="B23" s="5"/>
      <c r="C23" s="5"/>
      <c r="D23" s="5"/>
      <c r="E23" s="5"/>
      <c r="F23" s="5"/>
      <c r="G23" s="5"/>
      <c r="H23" s="5"/>
      <c r="I23" s="5"/>
      <c r="J23" s="5"/>
      <c r="K23" s="5"/>
      <c r="L23" s="5"/>
      <c r="AB23" s="27"/>
    </row>
    <row r="24" spans="1:32" s="21" customFormat="1">
      <c r="A24" s="21" t="s">
        <v>100</v>
      </c>
      <c r="B24" s="3">
        <f>Assumptions!$B$40/(1+Assumptions!$B$5)^Premiums!B22</f>
        <v>10000000</v>
      </c>
      <c r="C24" s="3">
        <f>Assumptions!$B$40/(1+Assumptions!$B$5)^Premiums!C22</f>
        <v>9345794.3925233632</v>
      </c>
      <c r="D24" s="3">
        <f>Assumptions!$B$40/(1+Assumptions!$B$5)^Premiums!D22</f>
        <v>8734387.2827321161</v>
      </c>
      <c r="E24" s="3">
        <f>Assumptions!$B$40/(1+Assumptions!$B$5)^Premiums!E22</f>
        <v>8162978.7689085193</v>
      </c>
      <c r="F24" s="3">
        <f>Assumptions!$B$40/(1+Assumptions!$B$5)^Premiums!F22</f>
        <v>7628952.1204752522</v>
      </c>
      <c r="G24" s="3">
        <f>Assumptions!$B$40/(1+Assumptions!$B$5)^Premiums!G22</f>
        <v>7129861.7948366832</v>
      </c>
      <c r="H24" s="3">
        <f>Assumptions!$B$40/(1+Assumptions!$B$5)^Premiums!H22</f>
        <v>6663422.2381651253</v>
      </c>
      <c r="I24" s="3">
        <f>Assumptions!$B$40/(1+Assumptions!$B$5)^Premiums!I22</f>
        <v>6227497.4188459115</v>
      </c>
      <c r="J24" s="3">
        <f>Assumptions!$B$40/(1+Assumptions!$B$5)^Premiums!J22</f>
        <v>5820091.0456503844</v>
      </c>
      <c r="K24" s="3">
        <f>Assumptions!$B$40/(1+Assumptions!$B$5)^Premiums!K22</f>
        <v>5439337.4258414805</v>
      </c>
      <c r="L24" s="3">
        <f>Assumptions!$B$40/(1+Assumptions!$B$5)^Premiums!L22</f>
        <v>5083492.9213471776</v>
      </c>
      <c r="M24" s="3">
        <f>Assumptions!$B$40/(1+Assumptions!$B$5)^Premiums!M22</f>
        <v>4750927.9638758665</v>
      </c>
      <c r="N24" s="3">
        <f>Assumptions!$B$40/(1+Assumptions!$B$5)^Premiums!N22</f>
        <v>4440119.5924073532</v>
      </c>
      <c r="O24" s="3">
        <f>Assumptions!$B$40/(1+Assumptions!$B$5)^Premiums!O22</f>
        <v>4149644.4788853764</v>
      </c>
      <c r="P24" s="3">
        <f>Assumptions!$B$40/(1+Assumptions!$B$5)^Premiums!P22</f>
        <v>3878172.410173249</v>
      </c>
      <c r="Q24" s="3">
        <f>Assumptions!$B$40/(1+Assumptions!$B$5)^Premiums!Q22</f>
        <v>3624460.1964235967</v>
      </c>
      <c r="R24" s="3">
        <f>Assumptions!$B$40/(1+Assumptions!$B$5)^Premiums!R22</f>
        <v>3387345.9779659789</v>
      </c>
      <c r="S24" s="3">
        <f>Assumptions!$B$40/(1+Assumptions!$B$5)^Premiums!S22</f>
        <v>3165743.9046411016</v>
      </c>
      <c r="T24" s="3">
        <f>Assumptions!$B$40/(1+Assumptions!$B$5)^Premiums!T22</f>
        <v>2958639.1632159827</v>
      </c>
      <c r="U24" s="3">
        <f>Assumptions!$B$40/(1+Assumptions!$B$5)^Premiums!U22</f>
        <v>2765083.3301083948</v>
      </c>
      <c r="V24" s="3">
        <f>Assumptions!$B$40/(1+Assumptions!$B$5)^Premiums!V22</f>
        <v>2584190.0281386869</v>
      </c>
      <c r="W24" s="3">
        <f>Assumptions!$B$40/(1+Assumptions!$B$5)^Premiums!W22</f>
        <v>2415130.8674193337</v>
      </c>
      <c r="X24" s="3">
        <f>Assumptions!$B$40/(1+Assumptions!$B$5)^Premiums!X22</f>
        <v>2257131.6517937696</v>
      </c>
      <c r="Y24" s="3">
        <f>Assumptions!$B$40/(1+Assumptions!$B$5)^Premiums!Y22</f>
        <v>2109468.8334521214</v>
      </c>
      <c r="Z24" s="3">
        <f>Assumptions!$B$40/(1+Assumptions!$B$5)^Premiums!Z22</f>
        <v>1971466.1994879637</v>
      </c>
      <c r="AA24" s="3">
        <f>Assumptions!$B$40/(1+Assumptions!$B$5)^Premiums!AA22</f>
        <v>1842491.7752223958</v>
      </c>
      <c r="AB24" s="52">
        <f>SUM(B24:AA24)</f>
        <v>126535831.78253716</v>
      </c>
    </row>
    <row r="25" spans="1:32" s="21" customFormat="1">
      <c r="A25" s="21" t="s">
        <v>189</v>
      </c>
      <c r="B25" s="3">
        <f>Assumptions!B44*Assumptions!B46/(1+Assumptions!B5)^Premiums!B22</f>
        <v>3047814</v>
      </c>
      <c r="C25" s="3">
        <f>(Assumptions!B44-Assumptions!B47)*Assumptions!B46/(1+Assumptions!B5)^Premiums!C22</f>
        <v>2485250.2009345791</v>
      </c>
      <c r="D25" s="3">
        <f>(Assumptions!B44-Assumptions!B48)*Assumptions!B46/(1+Assumptions!B5)^Premiums!D22</f>
        <v>2170392.8327364833</v>
      </c>
      <c r="E25" s="3">
        <f>(Assumptions!$B$44-Assumptions!$B$49)*Assumptions!$B$46/(1+Assumptions!$B$5)^Premiums!E22</f>
        <v>1766426.1091243327</v>
      </c>
      <c r="F25" s="3">
        <f>(Assumptions!$B$44-Assumptions!$B$49)*Assumptions!$B$46/(1+Assumptions!$B$5)^Premiums!F22</f>
        <v>1650865.5225461053</v>
      </c>
      <c r="G25" s="3">
        <f>(Assumptions!$B$44-Assumptions!$B$49)*Assumptions!$B$46/(1+Assumptions!$B$5)^Premiums!G22</f>
        <v>1542864.9743421543</v>
      </c>
      <c r="H25" s="3">
        <f>(Assumptions!$B$44-Assumptions!$B$49)*Assumptions!$B$46/(1+Assumptions!$B$5)^Premiums!H22</f>
        <v>1441929.8825627612</v>
      </c>
      <c r="I25" s="3">
        <f>(Assumptions!$B$44-Assumptions!$B$49)*Assumptions!$B$46/(1+Assumptions!$B$5)^Premiums!I22</f>
        <v>1347598.0210866926</v>
      </c>
      <c r="J25" s="3">
        <f>(Assumptions!$B$44-Assumptions!$B$49)*Assumptions!$B$46/(1+Assumptions!$B$5)^Premiums!J22</f>
        <v>1259437.4028847595</v>
      </c>
      <c r="K25" s="3">
        <f>(Assumptions!$B$44-Assumptions!$B$49)*Assumptions!$B$46/(1+Assumptions!$B$5)^Premiums!K22</f>
        <v>1177044.3017614572</v>
      </c>
      <c r="L25" s="3">
        <f>(Assumptions!$B$44-Assumptions!$B$49)*Assumptions!$B$46/(1+Assumptions!$B$5)^Premiums!L22</f>
        <v>1100041.4035153808</v>
      </c>
      <c r="M25" s="3">
        <f>(Assumptions!$B$44-Assumptions!$B$49)*Assumptions!$B$46/(1+Assumptions!$B$5)^Premiums!M22</f>
        <v>1028076.0780517575</v>
      </c>
      <c r="N25" s="3">
        <f>(Assumptions!$B$44-Assumptions!$B$49)*Assumptions!$B$46/(1+Assumptions!$B$5)^Premiums!N22</f>
        <v>960818.76453435305</v>
      </c>
      <c r="O25" s="3">
        <f>(Assumptions!$B$44-Assumptions!$B$49)*Assumptions!$B$46/(1+Assumptions!$B$5)^Premiums!O22</f>
        <v>897961.46218163834</v>
      </c>
      <c r="P25" s="3">
        <f>(Assumptions!$B$44-Assumptions!$B$49)*Assumptions!$B$46/(1+Assumptions!$B$5)^Premiums!P22</f>
        <v>839216.31979592366</v>
      </c>
      <c r="Q25" s="3">
        <f>(Assumptions!$B$44-Assumptions!$B$49)*Assumptions!$B$46/(1+Assumptions!$B$5)^Premiums!Q22</f>
        <v>784314.31756628375</v>
      </c>
      <c r="R25" s="3">
        <f>(Assumptions!$B$44-Assumptions!$B$49)*Assumptions!$B$46/(1+Assumptions!$B$5)^Premiums!R22</f>
        <v>733004.03510867653</v>
      </c>
      <c r="S25" s="3">
        <f>(Assumptions!$B$44-Assumptions!$B$49)*Assumptions!$B$46/(1+Assumptions!$B$5)^Premiums!S22</f>
        <v>685050.50010156678</v>
      </c>
      <c r="T25" s="3">
        <f>(Assumptions!$B$44-Assumptions!$B$49)*Assumptions!$B$46/(1+Assumptions!$B$5)^Premiums!T22</f>
        <v>640234.11224445491</v>
      </c>
      <c r="U25" s="3">
        <f>(Assumptions!$B$44-Assumptions!$B$49)*Assumptions!$B$46/(1+Assumptions!$B$5)^Premiums!U22</f>
        <v>598349.63761164004</v>
      </c>
      <c r="V25" s="3">
        <f>(Assumptions!$B$44-Assumptions!$B$49)*Assumptions!$B$46/(1+Assumptions!$B$5)^Premiums!V22</f>
        <v>559205.26879592531</v>
      </c>
      <c r="W25" s="3">
        <f>(Assumptions!$B$44-Assumptions!$B$49)*Assumptions!$B$46/(1+Assumptions!$B$5)^Premiums!W22</f>
        <v>522621.74653824797</v>
      </c>
      <c r="X25" s="3">
        <f>(Assumptions!$B$44-Assumptions!$B$49)*Assumptions!$B$46/(1+Assumptions!$B$5)^Premiums!X22</f>
        <v>488431.53882079251</v>
      </c>
      <c r="Y25" s="3">
        <f>(Assumptions!$B$44-Assumptions!$B$49)*Assumptions!$B$46/(1+Assumptions!$B$5)^Premiums!Y22</f>
        <v>456478.07366429205</v>
      </c>
      <c r="Z25" s="3">
        <f>(Assumptions!$B$44-Assumptions!$B$49)*Assumptions!$B$46/(1+Assumptions!$B$5)^Premiums!Z22</f>
        <v>426615.02211616078</v>
      </c>
      <c r="AA25" s="3">
        <f>(Assumptions!$B$44-Assumptions!$B$49)*Assumptions!$B$46/(1+Assumptions!$B$5)^Premiums!AA22</f>
        <v>398705.62814594462</v>
      </c>
      <c r="AB25" s="52">
        <f t="shared" ref="AB25:AB29" si="0">SUM(B25:AA25)</f>
        <v>29008747.156772364</v>
      </c>
    </row>
    <row r="26" spans="1:32">
      <c r="B26" s="3"/>
      <c r="C26" s="3"/>
      <c r="D26" s="3"/>
      <c r="E26" s="3"/>
      <c r="F26" s="3"/>
      <c r="G26" s="3"/>
      <c r="H26" s="3"/>
      <c r="I26" s="3"/>
      <c r="J26" s="3"/>
      <c r="K26" s="3"/>
      <c r="L26" s="3"/>
      <c r="M26" s="3"/>
      <c r="AB26" s="52"/>
    </row>
    <row r="27" spans="1:32">
      <c r="A27" s="24" t="s">
        <v>32</v>
      </c>
      <c r="B27" s="3"/>
      <c r="C27" s="3"/>
      <c r="D27" s="3"/>
      <c r="E27" s="3"/>
      <c r="F27" s="3"/>
      <c r="G27" s="3"/>
      <c r="H27" s="3"/>
      <c r="I27" s="3"/>
      <c r="J27" s="3"/>
      <c r="K27" s="3"/>
      <c r="L27" s="3"/>
      <c r="M27" s="3"/>
      <c r="AB27" s="52"/>
    </row>
    <row r="28" spans="1:32">
      <c r="A28" s="22" t="s">
        <v>33</v>
      </c>
      <c r="B28" s="3">
        <f>Assumptions!B13*0</f>
        <v>0</v>
      </c>
      <c r="C28" s="3">
        <f>Assumptions!B47*Assumptions!B13/(1+Assumptions!B5)^Premiums!C22</f>
        <v>16511291.705607476</v>
      </c>
      <c r="D28" s="3">
        <f>Assumptions!B48*Assumptions!B13/(1+Assumptions!B5)^Premiums!D22</f>
        <v>22353934.968119487</v>
      </c>
      <c r="E28" s="3">
        <f>Assumptions!$B$49*Assumptions!$B$13/(1+Assumptions!$B$5)^Premiums!E22</f>
        <v>32802074.294534959</v>
      </c>
      <c r="F28" s="3">
        <f>Assumptions!$B$49*Assumptions!$B$13/(1+Assumptions!$B$5)^Premiums!F22</f>
        <v>30656144.200499963</v>
      </c>
      <c r="G28" s="3">
        <f>Assumptions!$B$49*Assumptions!$B$13/(1+Assumptions!$B$5)^Premiums!G22</f>
        <v>28650602.05654202</v>
      </c>
      <c r="H28" s="3">
        <f>Assumptions!$B$49*Assumptions!$B$13/(1+Assumptions!$B$5)^Premiums!H22</f>
        <v>26776263.60424488</v>
      </c>
      <c r="I28" s="3">
        <f>Assumptions!$B$49*Assumptions!$B$13/(1+Assumptions!$B$5)^Premiums!I22</f>
        <v>25024545.424527925</v>
      </c>
      <c r="J28" s="3">
        <f>Assumptions!$B$49*Assumptions!$B$13/(1+Assumptions!$B$5)^Premiums!J22</f>
        <v>23387425.630399927</v>
      </c>
      <c r="K28" s="3">
        <f>Assumptions!$B$49*Assumptions!$B$13/(1+Assumptions!$B$5)^Premiums!K22</f>
        <v>21857407.131214883</v>
      </c>
      <c r="L28" s="3">
        <f>Assumptions!$B$49*Assumptions!$B$13/(1+Assumptions!$B$5)^Premiums!L22</f>
        <v>20427483.300200827</v>
      </c>
      <c r="M28" s="3">
        <f>Assumptions!$B$49*Assumptions!$B$13/(1+Assumptions!$B$5)^Premiums!M22</f>
        <v>19091105.888038155</v>
      </c>
      <c r="N28" s="3">
        <f>Assumptions!$B$49*Assumptions!$B$13/(1+Assumptions!$B$5)^Premiums!N22</f>
        <v>17842155.035549682</v>
      </c>
      <c r="O28" s="3">
        <f>Assumptions!$B$49*Assumptions!$B$13/(1+Assumptions!$B$5)^Premiums!O22</f>
        <v>16674911.248177269</v>
      </c>
      <c r="P28" s="3">
        <f>Assumptions!$B$49*Assumptions!$B$13/(1+Assumptions!$B$5)^Premiums!P22</f>
        <v>15584029.203903992</v>
      </c>
      <c r="Q28" s="3">
        <f>Assumptions!$B$49*Assumptions!$B$13/(1+Assumptions!$B$5)^Premiums!Q22</f>
        <v>14564513.274676627</v>
      </c>
      <c r="R28" s="3">
        <f>Assumptions!$B$49*Assumptions!$B$13/(1+Assumptions!$B$5)^Premiums!R22</f>
        <v>13611694.649230493</v>
      </c>
      <c r="S28" s="3">
        <f>Assumptions!$B$49*Assumptions!$B$13/(1+Assumptions!$B$5)^Premiums!S22</f>
        <v>12721209.952551862</v>
      </c>
      <c r="T28" s="3">
        <f>Assumptions!$B$49*Assumptions!$B$13/(1+Assumptions!$B$5)^Premiums!T22</f>
        <v>11888981.264067162</v>
      </c>
      <c r="U28" s="3">
        <f>Assumptions!$B$49*Assumptions!$B$13/(1+Assumptions!$B$5)^Premiums!U22</f>
        <v>11111197.443053421</v>
      </c>
      <c r="V28" s="3">
        <f>Assumptions!$B$49*Assumptions!$B$13/(1+Assumptions!$B$5)^Premiums!V22</f>
        <v>10384296.675750861</v>
      </c>
      <c r="W28" s="3">
        <f>Assumptions!$B$49*Assumptions!$B$13/(1+Assumptions!$B$5)^Premiums!W22</f>
        <v>9704950.1642531417</v>
      </c>
      <c r="X28" s="3">
        <f>Assumptions!$B$49*Assumptions!$B$13/(1+Assumptions!$B$5)^Premiums!X22</f>
        <v>9070046.8824795708</v>
      </c>
      <c r="Y28" s="3">
        <f>Assumptions!$B$49*Assumptions!$B$13/(1+Assumptions!$B$5)^Premiums!Y22</f>
        <v>8476679.3294201605</v>
      </c>
      <c r="Z28" s="3">
        <f>Assumptions!$B$49*Assumptions!$B$13/(1+Assumptions!$B$5)^Premiums!Z22</f>
        <v>7922130.2144113639</v>
      </c>
      <c r="AA28" s="3">
        <f>Assumptions!$B$49*Assumptions!$B$13/(1+Assumptions!$B$5)^Premiums!AA22</f>
        <v>7403860.0134685636</v>
      </c>
      <c r="AB28" s="52">
        <f t="shared" si="0"/>
        <v>434498933.55492461</v>
      </c>
    </row>
    <row r="29" spans="1:32">
      <c r="A29" s="22" t="s">
        <v>81</v>
      </c>
      <c r="B29" s="3">
        <f>Assumptions!B14*0</f>
        <v>0</v>
      </c>
      <c r="C29" s="3">
        <f>Assumptions!B47*(8*12*Assumptions!B14*Assumptions!B15)/(1+Assumptions!B5)^Premiums!C22</f>
        <v>5279649.6448598122</v>
      </c>
      <c r="D29" s="3">
        <f>Assumptions!B48*(8*12*Assumptions!B14*Assumptions!B15)/(1+Assumptions!B5)^Premiums!D22</f>
        <v>7147892.9038343951</v>
      </c>
      <c r="E29" s="3">
        <f>Assumptions!$B$49*(8*12*Assumptions!$B$14*Assumptions!$B$15)/(1+Assumptions!$B$5)^Premiums!E22</f>
        <v>10488789.307803886</v>
      </c>
      <c r="F29" s="3">
        <f>Assumptions!$B$49*(8*12*Assumptions!$B$14*Assumptions!$B$15)/(1+Assumptions!$B$5)^Premiums!F22</f>
        <v>9802606.8297232576</v>
      </c>
      <c r="G29" s="3">
        <f>Assumptions!$B$49*(8*12*Assumptions!$B$14*Assumptions!$B$15)/(1+Assumptions!$B$5)^Premiums!G22</f>
        <v>9161314.7941338848</v>
      </c>
      <c r="H29" s="3">
        <f>Assumptions!$B$49*(8*12*Assumptions!$B$14*Assumptions!$B$15)/(1+Assumptions!$B$5)^Premiums!H22</f>
        <v>8561976.443115782</v>
      </c>
      <c r="I29" s="3">
        <f>Assumptions!$B$49*(8*12*Assumptions!$B$14*Assumptions!$B$15)/(1+Assumptions!$B$5)^Premiums!I22</f>
        <v>8001847.14309886</v>
      </c>
      <c r="J29" s="3">
        <f>Assumptions!$B$49*(8*12*Assumptions!$B$14*Assumptions!$B$15)/(1+Assumptions!$B$5)^Premiums!J22</f>
        <v>7478361.8159802435</v>
      </c>
      <c r="K29" s="3">
        <f>Assumptions!$B$49*(8*12*Assumptions!$B$14*Assumptions!$B$15)/(1+Assumptions!$B$5)^Premiums!K22</f>
        <v>6989123.1925048996</v>
      </c>
      <c r="L29" s="3">
        <f>Assumptions!$B$49*(8*12*Assumptions!$B$14*Assumptions!$B$15)/(1+Assumptions!$B$5)^Premiums!L22</f>
        <v>6531890.834116729</v>
      </c>
      <c r="M29" s="3">
        <f>Assumptions!$B$49*(8*12*Assumptions!$B$14*Assumptions!$B$15)/(1+Assumptions!$B$5)^Premiums!M22</f>
        <v>6104570.873006288</v>
      </c>
      <c r="N29" s="3">
        <f>Assumptions!$B$49*(8*12*Assumptions!$B$14*Assumptions!$B$15)/(1+Assumptions!$B$5)^Premiums!N22</f>
        <v>5705206.4233703641</v>
      </c>
      <c r="O29" s="3">
        <f>Assumptions!$B$49*(8*12*Assumptions!$B$14*Assumptions!$B$15)/(1+Assumptions!$B$5)^Premiums!O22</f>
        <v>5331968.6199723016</v>
      </c>
      <c r="P29" s="3">
        <f>Assumptions!$B$49*(8*12*Assumptions!$B$14*Assumptions!$B$15)/(1+Assumptions!$B$5)^Premiums!P22</f>
        <v>4983148.2429647688</v>
      </c>
      <c r="Q29" s="3">
        <f>Assumptions!$B$49*(8*12*Assumptions!$B$14*Assumptions!$B$15)/(1+Assumptions!$B$5)^Premiums!Q22</f>
        <v>4657147.8906212784</v>
      </c>
      <c r="R29" s="3">
        <f>Assumptions!$B$49*(8*12*Assumptions!$B$14*Assumptions!$B$15)/(1+Assumptions!$B$5)^Premiums!R22</f>
        <v>4352474.6641320363</v>
      </c>
      <c r="S29" s="3">
        <f>Assumptions!$B$49*(8*12*Assumptions!$B$14*Assumptions!$B$15)/(1+Assumptions!$B$5)^Premiums!S22</f>
        <v>4067733.3309645201</v>
      </c>
      <c r="T29" s="3">
        <f>Assumptions!$B$49*(8*12*Assumptions!$B$14*Assumptions!$B$15)/(1+Assumptions!$B$5)^Premiums!T22</f>
        <v>3801619.9354808601</v>
      </c>
      <c r="U29" s="3">
        <f>Assumptions!$B$49*(8*12*Assumptions!$B$14*Assumptions!$B$15)/(1+Assumptions!$B$5)^Premiums!U22</f>
        <v>3552915.8275522054</v>
      </c>
      <c r="V29" s="3">
        <f>Assumptions!$B$49*(8*12*Assumptions!$B$14*Assumptions!$B$15)/(1+Assumptions!$B$5)^Premiums!V22</f>
        <v>3320482.0818244913</v>
      </c>
      <c r="W29" s="3">
        <f>Assumptions!$B$49*(8*12*Assumptions!$B$14*Assumptions!$B$15)/(1+Assumptions!$B$5)^Premiums!W22</f>
        <v>3103254.2820789637</v>
      </c>
      <c r="X29" s="3">
        <f>Assumptions!$B$49*(8*12*Assumptions!$B$14*Assumptions!$B$15)/(1+Assumptions!$B$5)^Premiums!X22</f>
        <v>2900237.6468027695</v>
      </c>
      <c r="Y29" s="3">
        <f>Assumptions!$B$49*(8*12*Assumptions!$B$14*Assumptions!$B$15)/(1+Assumptions!$B$5)^Premiums!Y22</f>
        <v>2710502.4736474482</v>
      </c>
      <c r="Z29" s="3">
        <f>Assumptions!$B$49*(8*12*Assumptions!$B$14*Assumptions!$B$15)/(1+Assumptions!$B$5)^Premiums!Z22</f>
        <v>2533179.8819135027</v>
      </c>
      <c r="AA29" s="3">
        <f>Assumptions!$B$49*(8*12*Assumptions!$B$14*Assumptions!$B$15)/(1+Assumptions!$B$5)^Premiums!AA22</f>
        <v>2367457.8335640212</v>
      </c>
      <c r="AB29" s="52">
        <f t="shared" si="0"/>
        <v>138935352.91706756</v>
      </c>
    </row>
    <row r="30" spans="1:32">
      <c r="A30" s="22"/>
      <c r="B30" s="3"/>
      <c r="C30" s="3"/>
      <c r="D30" s="3"/>
      <c r="E30" s="3"/>
      <c r="F30" s="3"/>
      <c r="G30" s="3"/>
      <c r="H30" s="3"/>
      <c r="I30" s="3"/>
      <c r="J30" s="3"/>
      <c r="K30" s="3"/>
      <c r="L30" s="3"/>
      <c r="M30" s="3"/>
    </row>
    <row r="31" spans="1:32">
      <c r="A31" s="53" t="s">
        <v>82</v>
      </c>
      <c r="B31" s="54">
        <f>SUM(B24:B29)</f>
        <v>13047814</v>
      </c>
      <c r="C31" s="54">
        <f t="shared" ref="C31:AA31" si="1">SUM(C24:C29)</f>
        <v>33621985.943925232</v>
      </c>
      <c r="D31" s="54">
        <f t="shared" si="1"/>
        <v>40406607.987422481</v>
      </c>
      <c r="E31" s="54">
        <f t="shared" si="1"/>
        <v>53220268.480371699</v>
      </c>
      <c r="F31" s="54">
        <f t="shared" si="1"/>
        <v>49738568.673244581</v>
      </c>
      <c r="G31" s="54">
        <f t="shared" si="1"/>
        <v>46484643.619854748</v>
      </c>
      <c r="H31" s="54">
        <f t="shared" si="1"/>
        <v>43443592.168088555</v>
      </c>
      <c r="I31" s="54">
        <f t="shared" si="1"/>
        <v>40601488.007559389</v>
      </c>
      <c r="J31" s="54">
        <f t="shared" si="1"/>
        <v>37945315.894915313</v>
      </c>
      <c r="K31" s="54">
        <f t="shared" si="1"/>
        <v>35462912.051322721</v>
      </c>
      <c r="L31" s="54">
        <f t="shared" si="1"/>
        <v>33142908.459180117</v>
      </c>
      <c r="M31" s="54">
        <f t="shared" si="1"/>
        <v>30974680.802972067</v>
      </c>
      <c r="N31" s="54">
        <f t="shared" si="1"/>
        <v>28948299.815861754</v>
      </c>
      <c r="O31" s="54">
        <f t="shared" si="1"/>
        <v>27054485.809216589</v>
      </c>
      <c r="P31" s="54">
        <f t="shared" si="1"/>
        <v>25284566.176837936</v>
      </c>
      <c r="Q31" s="54">
        <f t="shared" si="1"/>
        <v>23630435.679287788</v>
      </c>
      <c r="R31" s="54">
        <f t="shared" si="1"/>
        <v>22084519.326437186</v>
      </c>
      <c r="S31" s="54">
        <f t="shared" si="1"/>
        <v>20639737.68825905</v>
      </c>
      <c r="T31" s="54">
        <f t="shared" si="1"/>
        <v>19289474.475008458</v>
      </c>
      <c r="U31" s="54">
        <f t="shared" si="1"/>
        <v>18027546.238325663</v>
      </c>
      <c r="V31" s="54">
        <f t="shared" si="1"/>
        <v>16848174.054509964</v>
      </c>
      <c r="W31" s="54">
        <f t="shared" si="1"/>
        <v>15745957.060289688</v>
      </c>
      <c r="X31" s="54">
        <f t="shared" si="1"/>
        <v>14715847.719896903</v>
      </c>
      <c r="Y31" s="54">
        <f t="shared" si="1"/>
        <v>13753128.710184023</v>
      </c>
      <c r="Z31" s="54">
        <f t="shared" si="1"/>
        <v>12853391.317928992</v>
      </c>
      <c r="AA31" s="54">
        <f t="shared" si="1"/>
        <v>12012515.250400925</v>
      </c>
      <c r="AB31" s="47">
        <f>SUM(AB24:AB29)</f>
        <v>728978865.41130161</v>
      </c>
    </row>
    <row r="32" spans="1:32">
      <c r="A32" s="22"/>
      <c r="B32" s="3"/>
      <c r="C32" s="3"/>
      <c r="D32" s="3"/>
      <c r="E32" s="3"/>
      <c r="F32" s="3"/>
      <c r="G32" s="3"/>
      <c r="H32" s="3"/>
      <c r="I32" s="3"/>
      <c r="J32" s="3"/>
      <c r="K32" s="3"/>
      <c r="L32" s="3"/>
      <c r="M32" s="3"/>
    </row>
    <row r="33" spans="1:29">
      <c r="A33" s="21"/>
      <c r="B33" s="3"/>
      <c r="C33" s="3"/>
      <c r="D33" s="148" t="s">
        <v>176</v>
      </c>
      <c r="E33" s="148"/>
      <c r="F33" s="148"/>
      <c r="G33" s="23">
        <f>AB31</f>
        <v>728978865.41130161</v>
      </c>
      <c r="H33" s="3"/>
      <c r="I33" s="3"/>
      <c r="J33" s="3"/>
      <c r="K33" s="3"/>
      <c r="L33" s="3"/>
      <c r="M33" s="3"/>
    </row>
    <row r="34" spans="1:29">
      <c r="A34" s="22"/>
      <c r="B34" s="3"/>
      <c r="C34" s="3"/>
      <c r="D34" s="3"/>
      <c r="E34" s="3"/>
      <c r="F34" s="3"/>
      <c r="G34" s="3"/>
      <c r="H34" s="3"/>
      <c r="I34" s="3"/>
      <c r="J34" s="3"/>
      <c r="K34" s="3"/>
      <c r="L34" s="3"/>
      <c r="M34" s="3"/>
    </row>
    <row r="35" spans="1:29">
      <c r="A35" s="22"/>
      <c r="B35" s="3"/>
      <c r="C35" s="3"/>
      <c r="D35" s="3"/>
      <c r="E35" s="3"/>
      <c r="F35" s="3"/>
      <c r="G35" s="3"/>
      <c r="H35" s="3"/>
      <c r="I35" s="3"/>
      <c r="J35" s="3"/>
      <c r="K35" s="3"/>
      <c r="L35" s="3"/>
      <c r="M35" s="3"/>
    </row>
    <row r="36" spans="1:29" ht="21">
      <c r="A36" s="13" t="s">
        <v>34</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row>
    <row r="37" spans="1:29" s="21" customFormat="1">
      <c r="A37" s="15"/>
      <c r="B37" s="16"/>
      <c r="C37" s="16"/>
      <c r="D37" s="16"/>
      <c r="E37" s="16"/>
      <c r="F37" s="16"/>
      <c r="G37" s="16"/>
      <c r="H37" s="16"/>
      <c r="I37" s="16"/>
      <c r="J37" s="16"/>
      <c r="K37" s="16"/>
      <c r="L37" s="16"/>
      <c r="M37" s="16"/>
    </row>
    <row r="38" spans="1:29" ht="19">
      <c r="A38" s="17" t="s">
        <v>15</v>
      </c>
      <c r="B38" s="17" t="s">
        <v>22</v>
      </c>
      <c r="C38" s="17" t="s">
        <v>23</v>
      </c>
      <c r="D38" s="17" t="s">
        <v>24</v>
      </c>
      <c r="E38" s="17" t="s">
        <v>25</v>
      </c>
      <c r="F38" s="17" t="s">
        <v>26</v>
      </c>
      <c r="G38" s="17" t="s">
        <v>27</v>
      </c>
      <c r="H38" s="17" t="s">
        <v>28</v>
      </c>
      <c r="I38" s="17" t="s">
        <v>29</v>
      </c>
      <c r="J38" s="17" t="s">
        <v>30</v>
      </c>
      <c r="K38" s="17" t="s">
        <v>31</v>
      </c>
      <c r="L38" s="17" t="s">
        <v>83</v>
      </c>
      <c r="M38" s="17" t="s">
        <v>84</v>
      </c>
      <c r="N38" s="17" t="s">
        <v>85</v>
      </c>
      <c r="O38" s="17" t="s">
        <v>86</v>
      </c>
      <c r="P38" s="17" t="s">
        <v>87</v>
      </c>
      <c r="Q38" s="17" t="s">
        <v>88</v>
      </c>
      <c r="R38" s="17" t="s">
        <v>89</v>
      </c>
      <c r="S38" s="17" t="s">
        <v>90</v>
      </c>
      <c r="T38" s="17" t="s">
        <v>91</v>
      </c>
      <c r="U38" s="17" t="s">
        <v>92</v>
      </c>
      <c r="V38" s="17" t="s">
        <v>93</v>
      </c>
      <c r="W38" s="17" t="s">
        <v>94</v>
      </c>
      <c r="X38" s="17" t="s">
        <v>95</v>
      </c>
      <c r="Y38" s="17" t="s">
        <v>96</v>
      </c>
      <c r="Z38" s="17" t="s">
        <v>97</v>
      </c>
      <c r="AA38" s="17" t="s">
        <v>99</v>
      </c>
    </row>
    <row r="39" spans="1:29" ht="21">
      <c r="A39" s="19" t="s">
        <v>6</v>
      </c>
      <c r="B39" s="19">
        <v>0</v>
      </c>
      <c r="C39" s="19">
        <v>1</v>
      </c>
      <c r="D39" s="19">
        <v>2</v>
      </c>
      <c r="E39" s="19">
        <v>3</v>
      </c>
      <c r="F39" s="19">
        <v>4</v>
      </c>
      <c r="G39" s="19">
        <v>5</v>
      </c>
      <c r="H39" s="19">
        <v>6</v>
      </c>
      <c r="I39" s="19">
        <v>7</v>
      </c>
      <c r="J39" s="19">
        <v>8</v>
      </c>
      <c r="K39" s="19">
        <v>9</v>
      </c>
      <c r="L39" s="19">
        <v>10</v>
      </c>
      <c r="M39" s="19">
        <v>11</v>
      </c>
      <c r="N39" s="19">
        <v>12</v>
      </c>
      <c r="O39" s="19">
        <v>13</v>
      </c>
      <c r="P39" s="19">
        <v>14</v>
      </c>
      <c r="Q39" s="19">
        <v>15</v>
      </c>
      <c r="R39" s="19">
        <v>16</v>
      </c>
      <c r="S39" s="19">
        <v>17</v>
      </c>
      <c r="T39" s="19">
        <v>18</v>
      </c>
      <c r="U39" s="19">
        <v>19</v>
      </c>
      <c r="V39" s="19">
        <v>20</v>
      </c>
      <c r="W39" s="19">
        <v>21</v>
      </c>
      <c r="X39" s="19">
        <v>22</v>
      </c>
      <c r="Y39" s="19">
        <v>23</v>
      </c>
      <c r="Z39" s="19">
        <v>24</v>
      </c>
      <c r="AA39" s="19">
        <v>25</v>
      </c>
      <c r="AB39" s="51" t="s">
        <v>82</v>
      </c>
    </row>
    <row r="40" spans="1:29" s="50" customFormat="1" ht="16" customHeight="1">
      <c r="A40" s="46" t="s">
        <v>185</v>
      </c>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27"/>
    </row>
    <row r="41" spans="1:29">
      <c r="A41" s="4" t="s">
        <v>104</v>
      </c>
      <c r="B41">
        <f>0</f>
        <v>0</v>
      </c>
      <c r="C41" s="9">
        <f>Assumptions!B47*Assumptions!B16*Assumptions!B12/(1+Assumptions!B5)^Premiums!C39</f>
        <v>3935831.1623831773</v>
      </c>
      <c r="D41" s="9">
        <f>(Assumptions!B48*Assumptions!B16*Assumptions!B12)/(1+Assumptions!B5)^Premiums!D39</f>
        <v>5328554.2656563884</v>
      </c>
      <c r="E41" s="9">
        <f>Assumptions!$B$49*Assumptions!$B$16*Assumptions!$B$12/(1+Assumptions!$B$5)^Premiums!E39</f>
        <v>7819099.1050926354</v>
      </c>
      <c r="F41" s="9">
        <f>Assumptions!$B$49*Assumptions!$B$16*Assumptions!$B$12/(1+Assumptions!$B$5)^Premiums!F39</f>
        <v>7307569.2570959218</v>
      </c>
      <c r="G41" s="9">
        <f>Assumptions!$B$49*Assumptions!$B$16*Assumptions!$B$12/(1+Assumptions!$B$5)^Premiums!G39</f>
        <v>6829503.978594318</v>
      </c>
      <c r="H41" s="9">
        <f>Assumptions!$B$49*Assumptions!$B$16*Assumptions!$B$12/(1+Assumptions!$B$5)^Premiums!H39</f>
        <v>6382713.9986862792</v>
      </c>
      <c r="I41" s="9">
        <f>Assumptions!$B$49*Assumptions!$B$16*Assumptions!$B$12/(1+Assumptions!$B$5)^Premiums!I39</f>
        <v>5965153.2698002607</v>
      </c>
      <c r="J41" s="9">
        <f>Assumptions!$B$49*Assumptions!$B$16*Assumptions!$B$12/(1+Assumptions!$B$5)^Premiums!J39</f>
        <v>5574909.5979441693</v>
      </c>
      <c r="K41" s="9">
        <f>Assumptions!$B$49*Assumptions!$B$16*Assumptions!$B$12/(1+Assumptions!$B$5)^Premiums!K39</f>
        <v>5210195.8859291291</v>
      </c>
      <c r="L41" s="9">
        <f>Assumptions!$B$49*Assumptions!$B$16*Assumptions!$B$12/(1+Assumptions!$B$5)^Premiums!L39</f>
        <v>4869341.9494664762</v>
      </c>
      <c r="M41" s="9">
        <f>Assumptions!$B$49*Assumptions!$B$16*Assumptions!$B$12/(1+Assumptions!$B$5)^Premiums!M39</f>
        <v>4550786.8686602572</v>
      </c>
      <c r="N41" s="9">
        <f>Assumptions!$B$49*Assumptions!$B$16*Assumptions!$B$12/(1+Assumptions!$B$5)^Premiums!N39</f>
        <v>4253071.8398694005</v>
      </c>
      <c r="O41" s="9">
        <f>Assumptions!$B$49*Assumptions!$B$16*Assumptions!$B$12/(1+Assumptions!$B$5)^Premiums!O39</f>
        <v>3974833.4952050471</v>
      </c>
      <c r="P41" s="9">
        <f>Assumptions!$B$49*Assumptions!$B$16*Assumptions!$B$12/(1+Assumptions!$B$5)^Premiums!P39</f>
        <v>3714797.6590701374</v>
      </c>
      <c r="Q41" s="9">
        <f>Assumptions!$B$49*Assumptions!$B$16*Assumptions!$B$12/(1+Assumptions!$B$5)^Premiums!Q39</f>
        <v>3471773.5131496605</v>
      </c>
      <c r="R41" s="9">
        <f>Assumptions!$B$49*Assumptions!$B$16*Assumptions!$B$12/(1+Assumptions!$B$5)^Premiums!R39</f>
        <v>3244648.1431305245</v>
      </c>
      <c r="S41" s="9">
        <f>Assumptions!$B$49*Assumptions!$B$16*Assumptions!$B$12/(1+Assumptions!$B$5)^Premiums!S39</f>
        <v>3032381.4421780603</v>
      </c>
      <c r="T41" s="9">
        <f>Assumptions!$B$49*Assumptions!$B$16*Assumptions!$B$12/(1+Assumptions!$B$5)^Premiums!T39</f>
        <v>2834001.3478299626</v>
      </c>
      <c r="U41" s="9">
        <f>Assumptions!$B$49*Assumptions!$B$16*Assumptions!$B$12/(1+Assumptions!$B$5)^Premiums!U39</f>
        <v>2648599.3904952924</v>
      </c>
      <c r="V41" s="9">
        <f>Assumptions!$B$49*Assumptions!$B$16*Assumptions!$B$12/(1+Assumptions!$B$5)^Premiums!V39</f>
        <v>2475326.5331731704</v>
      </c>
      <c r="W41" s="9">
        <f>Assumptions!$B$49*Assumptions!$B$16*Assumptions!$B$12/(1+Assumptions!$B$5)^Premiums!W39</f>
        <v>2313389.2833394115</v>
      </c>
      <c r="X41" s="9">
        <f>Assumptions!$B$49*Assumptions!$B$16*Assumptions!$B$12/(1+Assumptions!$B$5)^Premiums!X39</f>
        <v>2162046.0591957117</v>
      </c>
      <c r="Y41" s="9">
        <f>Assumptions!$B$49*Assumptions!$B$16*Assumptions!$B$12/(1+Assumptions!$B$5)^Premiums!Y39</f>
        <v>2020603.793640852</v>
      </c>
      <c r="Z41" s="9">
        <f>Assumptions!$B$49*Assumptions!$B$16*Assumptions!$B$12/(1+Assumptions!$B$5)^Premiums!Z39</f>
        <v>1888414.7604120111</v>
      </c>
      <c r="AA41" s="9">
        <f>Assumptions!$B$49*Assumptions!$B$16*Assumptions!$B$12/(1+Assumptions!$B$5)^Premiums!AA39</f>
        <v>1764873.6078616926</v>
      </c>
      <c r="AB41" s="52">
        <f>SUM(B41:AA41)</f>
        <v>103572420.20785995</v>
      </c>
    </row>
    <row r="42" spans="1:29">
      <c r="A42" t="s">
        <v>188</v>
      </c>
      <c r="B42" s="56" t="s">
        <v>105</v>
      </c>
      <c r="C42" s="56" t="s">
        <v>105</v>
      </c>
      <c r="D42" s="56" t="s">
        <v>105</v>
      </c>
      <c r="E42" s="56" t="s">
        <v>105</v>
      </c>
      <c r="F42" s="56" t="s">
        <v>105</v>
      </c>
      <c r="G42" s="56" t="s">
        <v>105</v>
      </c>
      <c r="H42" s="56" t="s">
        <v>105</v>
      </c>
      <c r="I42" s="56" t="s">
        <v>105</v>
      </c>
      <c r="J42" s="56" t="s">
        <v>105</v>
      </c>
      <c r="K42" s="56" t="s">
        <v>105</v>
      </c>
      <c r="L42" s="56" t="s">
        <v>105</v>
      </c>
      <c r="M42" s="56" t="s">
        <v>105</v>
      </c>
      <c r="N42" s="56" t="s">
        <v>105</v>
      </c>
      <c r="O42" s="56" t="s">
        <v>105</v>
      </c>
      <c r="P42" s="56" t="s">
        <v>105</v>
      </c>
      <c r="Q42" s="56" t="s">
        <v>105</v>
      </c>
      <c r="R42" s="56" t="s">
        <v>105</v>
      </c>
      <c r="S42" s="56" t="s">
        <v>105</v>
      </c>
      <c r="T42" s="56" t="s">
        <v>105</v>
      </c>
      <c r="U42" s="56" t="s">
        <v>105</v>
      </c>
      <c r="V42" s="56" t="s">
        <v>105</v>
      </c>
      <c r="W42" s="56" t="s">
        <v>105</v>
      </c>
      <c r="X42" s="56" t="s">
        <v>105</v>
      </c>
      <c r="Y42" s="56" t="s">
        <v>105</v>
      </c>
      <c r="Z42" s="56" t="s">
        <v>105</v>
      </c>
      <c r="AA42" s="56" t="s">
        <v>105</v>
      </c>
      <c r="AB42" s="57"/>
      <c r="AC42" s="16"/>
    </row>
    <row r="43" spans="1:29">
      <c r="B43" s="9"/>
      <c r="C43" s="9"/>
      <c r="D43" s="9"/>
      <c r="E43" s="9"/>
      <c r="F43" s="9"/>
      <c r="G43" s="9"/>
      <c r="H43" s="9"/>
      <c r="I43" s="9"/>
      <c r="J43" s="9"/>
      <c r="K43" s="9"/>
      <c r="L43" s="9"/>
      <c r="M43" s="35"/>
      <c r="N43" s="16"/>
      <c r="O43" s="16"/>
      <c r="P43" s="16"/>
      <c r="Q43" s="16"/>
      <c r="R43" s="16"/>
      <c r="S43" s="16"/>
      <c r="T43" s="16"/>
      <c r="U43" s="16"/>
      <c r="V43" s="16"/>
      <c r="W43" s="16"/>
      <c r="X43" s="16"/>
      <c r="Y43" s="16"/>
      <c r="Z43" s="16"/>
      <c r="AA43" s="16"/>
      <c r="AB43" s="18"/>
      <c r="AC43" s="16"/>
    </row>
    <row r="44" spans="1:29">
      <c r="A44" s="55" t="s">
        <v>82</v>
      </c>
      <c r="B44" s="52">
        <f>SUM(B41:B42)</f>
        <v>0</v>
      </c>
      <c r="C44" s="52">
        <f t="shared" ref="C44:AA44" si="2">SUM(C41:C42)</f>
        <v>3935831.1623831773</v>
      </c>
      <c r="D44" s="52">
        <f t="shared" si="2"/>
        <v>5328554.2656563884</v>
      </c>
      <c r="E44" s="52">
        <f t="shared" si="2"/>
        <v>7819099.1050926354</v>
      </c>
      <c r="F44" s="52">
        <f t="shared" si="2"/>
        <v>7307569.2570959218</v>
      </c>
      <c r="G44" s="52">
        <f t="shared" si="2"/>
        <v>6829503.978594318</v>
      </c>
      <c r="H44" s="52">
        <f t="shared" si="2"/>
        <v>6382713.9986862792</v>
      </c>
      <c r="I44" s="52">
        <f t="shared" si="2"/>
        <v>5965153.2698002607</v>
      </c>
      <c r="J44" s="52">
        <f t="shared" si="2"/>
        <v>5574909.5979441693</v>
      </c>
      <c r="K44" s="52">
        <f t="shared" si="2"/>
        <v>5210195.8859291291</v>
      </c>
      <c r="L44" s="52">
        <f t="shared" si="2"/>
        <v>4869341.9494664762</v>
      </c>
      <c r="M44" s="52">
        <f t="shared" si="2"/>
        <v>4550786.8686602572</v>
      </c>
      <c r="N44" s="52">
        <f t="shared" si="2"/>
        <v>4253071.8398694005</v>
      </c>
      <c r="O44" s="52">
        <f t="shared" si="2"/>
        <v>3974833.4952050471</v>
      </c>
      <c r="P44" s="52">
        <f t="shared" si="2"/>
        <v>3714797.6590701374</v>
      </c>
      <c r="Q44" s="52">
        <f t="shared" si="2"/>
        <v>3471773.5131496605</v>
      </c>
      <c r="R44" s="52">
        <f t="shared" si="2"/>
        <v>3244648.1431305245</v>
      </c>
      <c r="S44" s="52">
        <f t="shared" si="2"/>
        <v>3032381.4421780603</v>
      </c>
      <c r="T44" s="52">
        <f t="shared" si="2"/>
        <v>2834001.3478299626</v>
      </c>
      <c r="U44" s="52">
        <f t="shared" si="2"/>
        <v>2648599.3904952924</v>
      </c>
      <c r="V44" s="52">
        <f t="shared" si="2"/>
        <v>2475326.5331731704</v>
      </c>
      <c r="W44" s="52">
        <f t="shared" si="2"/>
        <v>2313389.2833394115</v>
      </c>
      <c r="X44" s="52">
        <f t="shared" si="2"/>
        <v>2162046.0591957117</v>
      </c>
      <c r="Y44" s="52">
        <f t="shared" si="2"/>
        <v>2020603.793640852</v>
      </c>
      <c r="Z44" s="52">
        <f t="shared" si="2"/>
        <v>1888414.7604120111</v>
      </c>
      <c r="AA44" s="52">
        <f t="shared" si="2"/>
        <v>1764873.6078616926</v>
      </c>
      <c r="AB44" s="58">
        <f>SUM(AB41:AB42)</f>
        <v>103572420.20785995</v>
      </c>
      <c r="AC44" s="16"/>
    </row>
    <row r="45" spans="1:29">
      <c r="N45" s="18"/>
      <c r="O45" s="18"/>
      <c r="P45" s="18"/>
    </row>
    <row r="46" spans="1:29">
      <c r="D46" s="149" t="s">
        <v>177</v>
      </c>
      <c r="E46" s="149"/>
      <c r="F46" s="149"/>
      <c r="G46" s="47">
        <f>AB44</f>
        <v>103572420.20785995</v>
      </c>
      <c r="N46" s="18"/>
      <c r="O46" s="18"/>
      <c r="P46" s="18"/>
    </row>
    <row r="47" spans="1:29" ht="39" customHeight="1"/>
    <row r="52" spans="1:2" ht="26">
      <c r="A52" s="59"/>
      <c r="B52" s="59"/>
    </row>
  </sheetData>
  <mergeCells count="5">
    <mergeCell ref="D7:E7"/>
    <mergeCell ref="A1:B2"/>
    <mergeCell ref="D33:F33"/>
    <mergeCell ref="D46:F46"/>
    <mergeCell ref="D2:E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6"/>
  <sheetViews>
    <sheetView zoomScale="92" workbookViewId="0">
      <selection activeCell="D8" sqref="D8"/>
    </sheetView>
  </sheetViews>
  <sheetFormatPr baseColWidth="10" defaultRowHeight="16"/>
  <cols>
    <col min="1" max="1" width="69.6640625" bestFit="1" customWidth="1"/>
    <col min="2" max="2" width="23.33203125" bestFit="1" customWidth="1"/>
    <col min="3" max="3" width="24.33203125" customWidth="1"/>
    <col min="4" max="4" width="43.5" bestFit="1" customWidth="1"/>
    <col min="5" max="5" width="26" bestFit="1" customWidth="1"/>
    <col min="6" max="6" width="16.33203125" bestFit="1" customWidth="1"/>
    <col min="7" max="7" width="19.83203125" customWidth="1"/>
    <col min="8" max="10" width="16.33203125" bestFit="1" customWidth="1"/>
    <col min="11" max="11" width="16.1640625" bestFit="1" customWidth="1"/>
    <col min="12" max="27" width="15.33203125" bestFit="1" customWidth="1"/>
    <col min="28" max="28" width="19.33203125" bestFit="1" customWidth="1"/>
  </cols>
  <sheetData>
    <row r="1" spans="1:10">
      <c r="A1" s="147" t="s">
        <v>12</v>
      </c>
      <c r="B1" s="147"/>
      <c r="C1" s="16"/>
      <c r="D1" s="16"/>
      <c r="E1" s="16"/>
      <c r="F1" s="16"/>
      <c r="G1" s="16"/>
      <c r="H1" s="16"/>
      <c r="I1" s="16"/>
      <c r="J1" s="16"/>
    </row>
    <row r="2" spans="1:10" ht="31">
      <c r="A2" s="147"/>
      <c r="B2" s="147"/>
      <c r="C2" s="16"/>
      <c r="D2" s="150" t="s">
        <v>114</v>
      </c>
      <c r="E2" s="150"/>
      <c r="F2" s="16"/>
      <c r="G2" s="16"/>
      <c r="H2" s="16"/>
      <c r="I2" s="16"/>
      <c r="J2" s="16"/>
    </row>
    <row r="3" spans="1:10" ht="19">
      <c r="A3" s="25" t="s">
        <v>1</v>
      </c>
      <c r="B3" s="26"/>
      <c r="D3" s="60"/>
      <c r="E3" s="60"/>
    </row>
    <row r="4" spans="1:10" ht="21">
      <c r="A4" s="94" t="s">
        <v>2</v>
      </c>
      <c r="B4" s="95">
        <v>7.0000000000000007E-2</v>
      </c>
      <c r="D4" s="61" t="s">
        <v>106</v>
      </c>
      <c r="E4" s="104">
        <f>$G$56-$G$42</f>
        <v>-1947227440.216892</v>
      </c>
    </row>
    <row r="5" spans="1:10" ht="21">
      <c r="A5" s="94" t="s">
        <v>3</v>
      </c>
      <c r="B5" s="96" t="s">
        <v>4</v>
      </c>
      <c r="D5" s="61"/>
      <c r="E5" s="103"/>
    </row>
    <row r="6" spans="1:10">
      <c r="A6" s="94" t="s">
        <v>7</v>
      </c>
      <c r="B6" s="97">
        <v>423000</v>
      </c>
      <c r="D6" s="60"/>
      <c r="E6" s="60"/>
    </row>
    <row r="7" spans="1:10" ht="26">
      <c r="A7" s="98" t="s">
        <v>8</v>
      </c>
      <c r="B7" s="97">
        <v>190694</v>
      </c>
      <c r="D7" s="146" t="s">
        <v>107</v>
      </c>
      <c r="E7" s="146"/>
    </row>
    <row r="8" spans="1:10">
      <c r="A8" s="98" t="s">
        <v>10</v>
      </c>
      <c r="B8" s="97">
        <v>298658</v>
      </c>
      <c r="D8" s="63" t="s">
        <v>108</v>
      </c>
      <c r="E8" s="68">
        <f>0-E4</f>
        <v>1947227440.216892</v>
      </c>
    </row>
    <row r="9" spans="1:10">
      <c r="A9" s="98" t="s">
        <v>11</v>
      </c>
      <c r="B9" s="97">
        <v>342000</v>
      </c>
      <c r="D9" s="65" t="s">
        <v>109</v>
      </c>
      <c r="E9" s="66">
        <f>-PMT(Assumptions!$B$5,26,$E$8,0)/Assumptions!$B$17</f>
        <v>19.440279228793774</v>
      </c>
    </row>
    <row r="10" spans="1:10">
      <c r="A10" s="98" t="s">
        <v>52</v>
      </c>
      <c r="B10" s="99">
        <v>7.0000000000000007E-2</v>
      </c>
      <c r="D10" s="65" t="s">
        <v>110</v>
      </c>
      <c r="E10" s="66">
        <f>-PMT(Assumptions!$B$5,26,$E$8,0)/Assumptions!$B$35</f>
        <v>1153.0215876915545</v>
      </c>
    </row>
    <row r="11" spans="1:10">
      <c r="A11" s="98" t="s">
        <v>53</v>
      </c>
      <c r="B11" s="99">
        <v>0.1</v>
      </c>
      <c r="D11" s="63" t="s">
        <v>112</v>
      </c>
      <c r="E11" s="66">
        <f>-PMT(Assumptions!$B$5,26,$E$8,0)</f>
        <v>164659553.87346783</v>
      </c>
    </row>
    <row r="12" spans="1:10">
      <c r="A12" s="98" t="s">
        <v>54</v>
      </c>
      <c r="B12" s="100">
        <v>2666</v>
      </c>
    </row>
    <row r="13" spans="1:10">
      <c r="A13" s="98" t="s">
        <v>62</v>
      </c>
      <c r="B13" s="101">
        <v>1.2</v>
      </c>
    </row>
    <row r="14" spans="1:10">
      <c r="A14" s="98" t="s">
        <v>63</v>
      </c>
      <c r="B14" s="100">
        <v>7.4</v>
      </c>
    </row>
    <row r="15" spans="1:10">
      <c r="A15" s="98" t="s">
        <v>98</v>
      </c>
      <c r="B15" s="100">
        <v>6355</v>
      </c>
    </row>
    <row r="16" spans="1:10">
      <c r="A16" s="98" t="s">
        <v>111</v>
      </c>
      <c r="B16" s="97">
        <v>8470020</v>
      </c>
    </row>
    <row r="19" spans="1:29" ht="21">
      <c r="A19" s="13" t="s">
        <v>20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29">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9">
      <c r="A21" s="17" t="s">
        <v>12</v>
      </c>
      <c r="B21" s="17" t="s">
        <v>22</v>
      </c>
      <c r="C21" s="17" t="s">
        <v>23</v>
      </c>
      <c r="D21" s="17" t="s">
        <v>24</v>
      </c>
      <c r="E21" s="17" t="s">
        <v>25</v>
      </c>
      <c r="F21" s="17" t="s">
        <v>26</v>
      </c>
      <c r="G21" s="17" t="s">
        <v>27</v>
      </c>
      <c r="H21" s="17" t="s">
        <v>28</v>
      </c>
      <c r="I21" s="17" t="s">
        <v>29</v>
      </c>
      <c r="J21" s="17" t="s">
        <v>30</v>
      </c>
      <c r="K21" s="17" t="s">
        <v>31</v>
      </c>
      <c r="L21" s="17" t="s">
        <v>83</v>
      </c>
      <c r="M21" s="17" t="s">
        <v>84</v>
      </c>
      <c r="N21" s="17" t="s">
        <v>85</v>
      </c>
      <c r="O21" s="17" t="s">
        <v>86</v>
      </c>
      <c r="P21" s="17" t="s">
        <v>87</v>
      </c>
      <c r="Q21" s="17" t="s">
        <v>88</v>
      </c>
      <c r="R21" s="17" t="s">
        <v>89</v>
      </c>
      <c r="S21" s="17" t="s">
        <v>90</v>
      </c>
      <c r="T21" s="17" t="s">
        <v>91</v>
      </c>
      <c r="U21" s="17" t="s">
        <v>92</v>
      </c>
      <c r="V21" s="17" t="s">
        <v>93</v>
      </c>
      <c r="W21" s="17" t="s">
        <v>94</v>
      </c>
      <c r="X21" s="17" t="s">
        <v>95</v>
      </c>
      <c r="Y21" s="17" t="s">
        <v>96</v>
      </c>
      <c r="Z21" s="17" t="s">
        <v>97</v>
      </c>
      <c r="AA21" s="17" t="s">
        <v>99</v>
      </c>
    </row>
    <row r="22" spans="1:29" ht="21">
      <c r="A22" s="19" t="s">
        <v>6</v>
      </c>
      <c r="B22" s="19">
        <v>0</v>
      </c>
      <c r="C22" s="19">
        <v>1</v>
      </c>
      <c r="D22" s="19">
        <v>2</v>
      </c>
      <c r="E22" s="19">
        <v>3</v>
      </c>
      <c r="F22" s="19">
        <v>4</v>
      </c>
      <c r="G22" s="19">
        <v>5</v>
      </c>
      <c r="H22" s="19">
        <v>6</v>
      </c>
      <c r="I22" s="19">
        <v>7</v>
      </c>
      <c r="J22" s="19">
        <v>8</v>
      </c>
      <c r="K22" s="19">
        <v>9</v>
      </c>
      <c r="L22" s="19">
        <v>10</v>
      </c>
      <c r="M22" s="19">
        <v>11</v>
      </c>
      <c r="N22" s="19">
        <v>12</v>
      </c>
      <c r="O22" s="19">
        <v>13</v>
      </c>
      <c r="P22" s="19">
        <v>14</v>
      </c>
      <c r="Q22" s="19">
        <v>15</v>
      </c>
      <c r="R22" s="19">
        <v>16</v>
      </c>
      <c r="S22" s="19">
        <v>17</v>
      </c>
      <c r="T22" s="19">
        <v>18</v>
      </c>
      <c r="U22" s="19">
        <v>19</v>
      </c>
      <c r="V22" s="19">
        <v>20</v>
      </c>
      <c r="W22" s="19">
        <v>21</v>
      </c>
      <c r="X22" s="19">
        <v>22</v>
      </c>
      <c r="Y22" s="19">
        <v>23</v>
      </c>
      <c r="Z22" s="19">
        <v>24</v>
      </c>
      <c r="AA22" s="19">
        <v>25</v>
      </c>
      <c r="AB22" s="51" t="s">
        <v>82</v>
      </c>
    </row>
    <row r="23" spans="1:29">
      <c r="A23" s="24" t="s">
        <v>16</v>
      </c>
      <c r="B23" s="5"/>
      <c r="C23" s="5"/>
      <c r="D23" s="5"/>
      <c r="E23" s="5"/>
      <c r="F23" s="5"/>
      <c r="G23" s="5"/>
      <c r="H23" s="5"/>
      <c r="I23" s="5"/>
      <c r="J23" s="5"/>
      <c r="K23" s="5"/>
      <c r="L23" s="5"/>
      <c r="M23" s="3"/>
      <c r="AB23" s="27"/>
    </row>
    <row r="24" spans="1:29" s="21" customFormat="1">
      <c r="A24" s="28" t="s">
        <v>35</v>
      </c>
      <c r="B24" s="3">
        <f>Assumptions!$B$26</f>
        <v>3300000</v>
      </c>
      <c r="C24" s="3">
        <f>Assumptions!$B$27/(1+Assumptions!B5)^'Work Requirements'!C22</f>
        <v>2803738.3177570091</v>
      </c>
      <c r="D24" s="3">
        <f>Assumptions!$B$28/(1+Assumptions!$B$5)^'Work Requirements'!D22</f>
        <v>1048126.473927854</v>
      </c>
      <c r="E24" s="3">
        <f>Assumptions!$B$28/(1+Assumptions!$B$5)^'Work Requirements'!E22</f>
        <v>979557.45226902235</v>
      </c>
      <c r="F24" s="3">
        <f>Assumptions!$B$28/(1+Assumptions!$B$5)^'Work Requirements'!F22</f>
        <v>915474.25445703021</v>
      </c>
      <c r="G24" s="3">
        <f>Assumptions!$B$28/(1+Assumptions!$B$5)^'Work Requirements'!G22</f>
        <v>855583.415380402</v>
      </c>
      <c r="H24" s="3">
        <f>Assumptions!$B$28/(1+Assumptions!$B$5)^'Work Requirements'!H22</f>
        <v>799610.66857981507</v>
      </c>
      <c r="I24" s="3">
        <f>Assumptions!$B$28/(1+Assumptions!$B$5)^'Work Requirements'!I22</f>
        <v>747299.69026150939</v>
      </c>
      <c r="J24" s="3">
        <f>Assumptions!$B$28/(1+Assumptions!$B$5)^'Work Requirements'!J22</f>
        <v>698410.92547804618</v>
      </c>
      <c r="K24" s="3">
        <f>Assumptions!$B$28/(1+Assumptions!$B$5)^'Work Requirements'!K22</f>
        <v>652720.49110097764</v>
      </c>
      <c r="L24" s="3">
        <f>Assumptions!$B$29/(1+Assumptions!$B$5)^'Work Requirements'!L22</f>
        <v>1677552.6640445688</v>
      </c>
      <c r="M24" s="3">
        <f>Assumptions!$B$28/(1+Assumptions!$B$5)^'Work Requirements'!M22</f>
        <v>570111.355665104</v>
      </c>
      <c r="N24" s="3">
        <f>Assumptions!$B$28/(1+Assumptions!$B$5)^'Work Requirements'!N22</f>
        <v>532814.35108888231</v>
      </c>
      <c r="O24" s="3">
        <f>Assumptions!$B$28/(1+Assumptions!$B$5)^'Work Requirements'!O22</f>
        <v>497957.33746624511</v>
      </c>
      <c r="P24" s="3">
        <f>Assumptions!$B$28/(1+Assumptions!$B$5)^'Work Requirements'!P22</f>
        <v>465380.68922078988</v>
      </c>
      <c r="Q24" s="3">
        <f>Assumptions!$B$28/(1+Assumptions!$B$5)^'Work Requirements'!Q22</f>
        <v>434935.22357083159</v>
      </c>
      <c r="R24" s="3">
        <f>Assumptions!$B$28/(1+Assumptions!$B$5)^'Work Requirements'!R22</f>
        <v>406481.51735591743</v>
      </c>
      <c r="S24" s="3">
        <f>Assumptions!$B$28/(1+Assumptions!$B$5)^'Work Requirements'!S22</f>
        <v>379889.26855693216</v>
      </c>
      <c r="T24" s="3">
        <f>Assumptions!$B$28/(1+Assumptions!$B$5)^'Work Requirements'!T22</f>
        <v>355036.69958591793</v>
      </c>
      <c r="U24" s="3">
        <f>Assumptions!$B$28/(1+Assumptions!$B$5)^'Work Requirements'!U22</f>
        <v>331809.99961300741</v>
      </c>
      <c r="V24" s="3">
        <f>Assumptions!$B$29/(1+Assumptions!$B$5)^'Work Requirements'!V22</f>
        <v>852782.7092857667</v>
      </c>
      <c r="W24" s="3">
        <f>Assumptions!$B$28/(1+Assumptions!$B$5)^'Work Requirements'!W22</f>
        <v>289815.70409032004</v>
      </c>
      <c r="X24" s="3">
        <f>Assumptions!$B$28/(1+Assumptions!$B$5)^'Work Requirements'!X22</f>
        <v>270855.79821525235</v>
      </c>
      <c r="Y24" s="3">
        <f>Assumptions!$B$28/(1+Assumptions!$B$5)^'Work Requirements'!Y22</f>
        <v>253136.26001425454</v>
      </c>
      <c r="Z24" s="3">
        <f>Assumptions!$B$28/(1+Assumptions!$B$5)^'Work Requirements'!Z22</f>
        <v>236575.94393855563</v>
      </c>
      <c r="AA24" s="3">
        <f>Assumptions!$B$28/(1+Assumptions!$B$5)^'Work Requirements'!AA22</f>
        <v>221099.01302668749</v>
      </c>
      <c r="AB24" s="52">
        <f>SUM(B24:AA24)</f>
        <v>20576756.223950699</v>
      </c>
    </row>
    <row r="25" spans="1:29" s="21" customFormat="1">
      <c r="A25" s="2" t="s">
        <v>36</v>
      </c>
      <c r="B25" s="3"/>
      <c r="C25" s="3"/>
      <c r="D25" s="3"/>
      <c r="E25" s="3"/>
      <c r="F25" s="3"/>
      <c r="G25" s="3"/>
      <c r="H25" s="3"/>
      <c r="I25" s="3"/>
      <c r="J25" s="3"/>
      <c r="K25" s="3"/>
      <c r="L25" s="3"/>
      <c r="M25" s="3"/>
      <c r="AB25" s="52"/>
    </row>
    <row r="26" spans="1:29">
      <c r="A26" s="2" t="s">
        <v>37</v>
      </c>
      <c r="B26" s="3"/>
      <c r="C26" s="3"/>
      <c r="D26" s="3"/>
      <c r="E26" s="3"/>
      <c r="F26" s="3"/>
      <c r="G26" s="3"/>
      <c r="H26" s="3"/>
      <c r="I26" s="3"/>
      <c r="J26" s="3"/>
      <c r="K26" s="3"/>
      <c r="L26" s="3"/>
      <c r="M26" s="23"/>
      <c r="AB26" s="52"/>
    </row>
    <row r="27" spans="1:29">
      <c r="A27" s="2" t="s">
        <v>38</v>
      </c>
      <c r="B27" s="3"/>
      <c r="C27" s="3"/>
      <c r="D27" s="3"/>
      <c r="E27" s="3"/>
      <c r="F27" s="3"/>
      <c r="G27" s="3"/>
      <c r="H27" s="3"/>
      <c r="I27" s="3"/>
      <c r="J27" s="3"/>
      <c r="K27" s="3"/>
      <c r="L27" s="3"/>
      <c r="M27" s="3"/>
      <c r="AB27" s="52"/>
    </row>
    <row r="28" spans="1:29">
      <c r="A28" s="2" t="s">
        <v>39</v>
      </c>
      <c r="B28" s="3"/>
      <c r="C28" s="3"/>
      <c r="D28" s="3"/>
      <c r="E28" s="3"/>
      <c r="F28" s="3"/>
      <c r="G28" s="3"/>
      <c r="H28" s="3"/>
      <c r="I28" s="3"/>
      <c r="J28" s="3"/>
      <c r="K28" s="3"/>
      <c r="L28" s="3"/>
      <c r="M28" s="3"/>
      <c r="AB28" s="52"/>
    </row>
    <row r="29" spans="1:29">
      <c r="C29" s="3"/>
      <c r="D29" s="3"/>
      <c r="E29" s="3"/>
      <c r="F29" s="3"/>
      <c r="G29" s="3"/>
      <c r="H29" s="3"/>
      <c r="I29" s="3"/>
      <c r="J29" s="3"/>
      <c r="K29" s="3"/>
      <c r="L29" s="3"/>
      <c r="M29" s="3"/>
      <c r="AB29" s="52"/>
    </row>
    <row r="30" spans="1:29">
      <c r="A30" s="24" t="s">
        <v>50</v>
      </c>
      <c r="B30" s="3"/>
      <c r="C30" s="3"/>
      <c r="D30" s="3"/>
      <c r="E30" s="3"/>
      <c r="F30" s="3"/>
      <c r="G30" s="3"/>
      <c r="H30" s="3"/>
      <c r="I30" s="3"/>
      <c r="J30" s="3"/>
      <c r="K30" s="3"/>
      <c r="L30" s="3"/>
      <c r="M30" s="3"/>
      <c r="AB30" s="52"/>
    </row>
    <row r="31" spans="1:29">
      <c r="A31" s="29" t="s">
        <v>42</v>
      </c>
      <c r="B31" s="3">
        <f>Assumptions!B22*(0.5*(Assumptions!B20+Assumptions!B21))/(1+Assumptions!B5)^'Work Requirements'!B22</f>
        <v>46392097.5</v>
      </c>
      <c r="C31" s="3">
        <f>0.5*(Assumptions!B20+Assumptions!B21)*(Assumptions!B23-Assumptions!B24)/(1+Assumptions!B5)^'Work Requirements'!C22</f>
        <v>59324757.943925232</v>
      </c>
      <c r="D31" s="39">
        <f>(Assumptions!B23-Assumptions!B25)*(0.5*(Assumptions!B20+Assumptions!B21))/(1+Assumptions!B5)^'Work Requirements'!D22</f>
        <v>50347510.699624419</v>
      </c>
      <c r="E31" s="3">
        <f>(Assumptions!$B$30-Assumptions!$B$33)*(0.5*(Assumptions!$B$20+Assumptions!$B$21))/(1+Assumptions!$B$5)^'Work Requirements'!E22</f>
        <v>66240054.838891365</v>
      </c>
      <c r="F31" s="3">
        <f>(Assumptions!$B$30-Assumptions!$B$33)*(0.5*(Assumptions!$B$20+Assumptions!$B$21))/(1+Assumptions!$B$5)^'Work Requirements'!F22</f>
        <v>61906593.307375111</v>
      </c>
      <c r="G31" s="3">
        <f>(Assumptions!$B$30-Assumptions!$B$33)*(0.5*(Assumptions!$B$20+Assumptions!$B$21))/(1+Assumptions!$B$5)^'Work Requirements'!G22</f>
        <v>57856629.259229071</v>
      </c>
      <c r="H31" s="3">
        <f>(Assumptions!$B$30-Assumptions!$B$33)*(0.5*(Assumptions!$B$20+Assumptions!$B$21))/(1+Assumptions!$B$5)^'Work Requirements'!H22</f>
        <v>54071616.130120628</v>
      </c>
      <c r="I31" s="3">
        <f>(Assumptions!$B$30-Assumptions!$B$33)*(0.5*(Assumptions!$B$20+Assumptions!$B$21))/(1+Assumptions!$B$5)^'Work Requirements'!I22</f>
        <v>50534220.682355724</v>
      </c>
      <c r="J31" s="3">
        <f>(Assumptions!$B$30-Assumptions!$B$33)*(0.5*(Assumptions!$B$20+Assumptions!$B$21))/(1+Assumptions!$B$5)^'Work Requirements'!J22</f>
        <v>47228243.628369838</v>
      </c>
      <c r="K31" s="3">
        <f>(Assumptions!$B$30-Assumptions!$B$33)*(0.5*(Assumptions!$B$20+Assumptions!$B$21))/(1+Assumptions!$B$5)^'Work Requirements'!K22</f>
        <v>44138545.447074607</v>
      </c>
      <c r="L31" s="3">
        <f>(Assumptions!$B$30-Assumptions!$B$33)*(0.5*(Assumptions!$B$20+Assumptions!$B$21))/(1+Assumptions!$B$5)^'Work Requirements'!L22</f>
        <v>41250977.053340763</v>
      </c>
      <c r="M31" s="3">
        <f>(Assumptions!$B$30-Assumptions!$B$33)*(0.5*(Assumptions!$B$20+Assumptions!$B$21))/(1+Assumptions!$B$5)^'Work Requirements'!M22</f>
        <v>38552315.003122203</v>
      </c>
      <c r="N31" s="3">
        <f>(Assumptions!$B$30-Assumptions!$B$33)*(0.5*(Assumptions!$B$20+Assumptions!$B$21))/(1+Assumptions!$B$5)^'Work Requirements'!N22</f>
        <v>36030200.937497392</v>
      </c>
      <c r="O31" s="3">
        <f>(Assumptions!$B$30-Assumptions!$B$33)*(0.5*(Assumptions!$B$20+Assumptions!$B$21))/(1+Assumptions!$B$5)^'Work Requirements'!O22</f>
        <v>33673084.988315314</v>
      </c>
      <c r="P31" s="3">
        <f>(Assumptions!$B$30-Assumptions!$B$33)*(0.5*(Assumptions!$B$20+Assumptions!$B$21))/(1+Assumptions!$B$5)^'Work Requirements'!P22</f>
        <v>31470172.886275999</v>
      </c>
      <c r="Q31" s="3">
        <f>(Assumptions!$B$30-Assumptions!$B$33)*(0.5*(Assumptions!$B$20+Assumptions!$B$21))/(1+Assumptions!$B$5)^'Work Requirements'!Q22</f>
        <v>29411376.529229902</v>
      </c>
      <c r="R31" s="3">
        <f>(Assumptions!$B$30-Assumptions!$B$33)*(0.5*(Assumptions!$B$20+Assumptions!$B$21))/(1+Assumptions!$B$5)^'Work Requirements'!R22</f>
        <v>27487267.784327015</v>
      </c>
      <c r="S31" s="3">
        <f>(Assumptions!$B$30-Assumptions!$B$33)*(0.5*(Assumptions!$B$20+Assumptions!$B$21))/(1+Assumptions!$B$5)^'Work Requirements'!S22</f>
        <v>25689035.312455151</v>
      </c>
      <c r="T31" s="3">
        <f>(Assumptions!$B$30-Assumptions!$B$33)*(0.5*(Assumptions!$B$20+Assumptions!$B$21))/(1+Assumptions!$B$5)^'Work Requirements'!T22</f>
        <v>24008444.217247806</v>
      </c>
      <c r="U31" s="3">
        <f>(Assumptions!$B$30-Assumptions!$B$33)*(0.5*(Assumptions!$B$20+Assumptions!$B$21))/(1+Assumptions!$B$5)^'Work Requirements'!U22</f>
        <v>22437798.333876453</v>
      </c>
      <c r="V31" s="3">
        <f>(Assumptions!$B$30-Assumptions!$B$33)*(0.5*(Assumptions!$B$20+Assumptions!$B$21))/(1+Assumptions!$B$5)^'Work Requirements'!V22</f>
        <v>20969904.984931264</v>
      </c>
      <c r="W31" s="3">
        <f>(Assumptions!$B$30-Assumptions!$B$33)*(0.5*(Assumptions!$B$20+Assumptions!$B$21))/(1+Assumptions!$B$5)^'Work Requirements'!W22</f>
        <v>19598042.041991837</v>
      </c>
      <c r="X31" s="3">
        <f>(Assumptions!$B$30-Assumptions!$B$33)*(0.5*(Assumptions!$B$20+Assumptions!$B$21))/(1+Assumptions!$B$5)^'Work Requirements'!X22</f>
        <v>18315927.142048445</v>
      </c>
      <c r="Y31" s="3">
        <f>(Assumptions!$B$30-Assumptions!$B$33)*(0.5*(Assumptions!$B$20+Assumptions!$B$21))/(1+Assumptions!$B$5)^'Work Requirements'!Y22</f>
        <v>17117688.917802285</v>
      </c>
      <c r="Z31" s="3">
        <f>(Assumptions!$B$30-Assumptions!$B$33)*(0.5*(Assumptions!$B$20+Assumptions!$B$21))/(1+Assumptions!$B$5)^'Work Requirements'!Z22</f>
        <v>15997840.110095592</v>
      </c>
      <c r="AA31" s="3">
        <f>(Assumptions!$B$30-Assumptions!$B$33)*(0.5*(Assumptions!$B$20+Assumptions!$B$21))/(1+Assumptions!$B$5)^'Work Requirements'!AA22</f>
        <v>14951252.439341674</v>
      </c>
      <c r="AB31" s="52">
        <f t="shared" ref="AB31:AB36" si="0">SUM(B31:AA31)</f>
        <v>955001598.11886537</v>
      </c>
    </row>
    <row r="32" spans="1:29">
      <c r="A32" s="22" t="s">
        <v>57</v>
      </c>
      <c r="B32" s="3">
        <f>Assumptions!B22*(Assumptions!B15*Assumptions!B32)/(1+Assumptions!B5)^'Work Requirements'!B23</f>
        <v>3382281.0000000005</v>
      </c>
      <c r="C32" s="3">
        <f>(Assumptions!B23-Assumptions!B24)*Assumptions!B15*Assumptions!B32/(1+Assumptions!B5)^'Work Requirements'!C22</f>
        <v>4325154.7663551401</v>
      </c>
      <c r="D32" s="3">
        <f>(Assumptions!B23-Assumptions!B25)*Assumptions!B15*Assumptions!B32/(1+Assumptions!B5)^'Work Requirements'!D22</f>
        <v>3670655.9524849332</v>
      </c>
      <c r="E32" s="3">
        <f>(Assumptions!$B$30-Assumptions!$B$33)*Assumptions!$B$15*Assumptions!$B$32/(1+Assumptions!$B$5)^'Work Requirements'!E22</f>
        <v>4829324.1951507004</v>
      </c>
      <c r="F32" s="3">
        <f>(Assumptions!$B$30-Assumptions!$B$33)*Assumptions!$B$15*Assumptions!$B$32/(1+Assumptions!$B$5)^'Work Requirements'!F22</f>
        <v>4513387.0982716829</v>
      </c>
      <c r="G32" s="3">
        <f>(Assumptions!$B$30-Assumptions!$B$33)*Assumptions!$B$15*Assumptions!$B$32/(1+Assumptions!$B$5)^'Work Requirements'!G22</f>
        <v>4218118.7834314788</v>
      </c>
      <c r="H32" s="3">
        <f>(Assumptions!$B$30-Assumptions!$B$33)*Assumptions!$B$15*Assumptions!$B$32/(1+Assumptions!$B$5)^'Work Requirements'!H22</f>
        <v>3942167.0873191394</v>
      </c>
      <c r="I32" s="3">
        <f>(Assumptions!$B$30-Assumptions!$B$33)*Assumptions!$B$15*Assumptions!$B$32/(1+Assumptions!$B$5)^'Work Requirements'!I22</f>
        <v>3684268.3059057374</v>
      </c>
      <c r="J32" s="3">
        <f>(Assumptions!$B$30-Assumptions!$B$33)*Assumptions!$B$15*Assumptions!$B$32/(1+Assumptions!$B$5)^'Work Requirements'!J22</f>
        <v>3443241.40738854</v>
      </c>
      <c r="K32" s="3">
        <f>(Assumptions!$B$30-Assumptions!$B$33)*Assumptions!$B$15*Assumptions!$B$32/(1+Assumptions!$B$5)^'Work Requirements'!K22</f>
        <v>3217982.6237276071</v>
      </c>
      <c r="L32" s="3">
        <f>(Assumptions!$B$30-Assumptions!$B$33)*Assumptions!$B$15*Assumptions!$B$32/(1+Assumptions!$B$5)^'Work Requirements'!L22</f>
        <v>3007460.3960071094</v>
      </c>
      <c r="M32" s="3">
        <f>(Assumptions!$B$30-Assumptions!$B$33)*Assumptions!$B$15*Assumptions!$B$32/(1+Assumptions!$B$5)^'Work Requirements'!M22</f>
        <v>2810710.6504739337</v>
      </c>
      <c r="N32" s="3">
        <f>(Assumptions!$B$30-Assumptions!$B$33)*Assumptions!$B$15*Assumptions!$B$32/(1+Assumptions!$B$5)^'Work Requirements'!N22</f>
        <v>2626832.3836204992</v>
      </c>
      <c r="O32" s="3">
        <f>(Assumptions!$B$30-Assumptions!$B$33)*Assumptions!$B$15*Assumptions!$B$32/(1+Assumptions!$B$5)^'Work Requirements'!O22</f>
        <v>2454983.5360939242</v>
      </c>
      <c r="P32" s="3">
        <f>(Assumptions!$B$30-Assumptions!$B$33)*Assumptions!$B$15*Assumptions!$B$32/(1+Assumptions!$B$5)^'Work Requirements'!P22</f>
        <v>2294377.1365363779</v>
      </c>
      <c r="Q32" s="3">
        <f>(Assumptions!$B$30-Assumptions!$B$33)*Assumptions!$B$15*Assumptions!$B$32/(1+Assumptions!$B$5)^'Work Requirements'!Q22</f>
        <v>2144277.6976975491</v>
      </c>
      <c r="R32" s="3">
        <f>(Assumptions!$B$30-Assumptions!$B$33)*Assumptions!$B$15*Assumptions!$B$32/(1+Assumptions!$B$5)^'Work Requirements'!R22</f>
        <v>2003997.8483154669</v>
      </c>
      <c r="S32" s="3">
        <f>(Assumptions!$B$30-Assumptions!$B$33)*Assumptions!$B$15*Assumptions!$B$32/(1+Assumptions!$B$5)^'Work Requirements'!S22</f>
        <v>1872895.185341558</v>
      </c>
      <c r="T32" s="3">
        <f>(Assumptions!$B$30-Assumptions!$B$33)*Assumptions!$B$15*Assumptions!$B$32/(1+Assumptions!$B$5)^'Work Requirements'!T22</f>
        <v>1750369.3320949138</v>
      </c>
      <c r="U32" s="3">
        <f>(Assumptions!$B$30-Assumptions!$B$33)*Assumptions!$B$15*Assumptions!$B$32/(1+Assumptions!$B$5)^'Work Requirements'!U22</f>
        <v>1635859.1888737511</v>
      </c>
      <c r="V32" s="3">
        <f>(Assumptions!$B$30-Assumptions!$B$33)*Assumptions!$B$15*Assumptions!$B$32/(1+Assumptions!$B$5)^'Work Requirements'!V22</f>
        <v>1528840.3634334125</v>
      </c>
      <c r="W32" s="3">
        <f>(Assumptions!$B$30-Assumptions!$B$33)*Assumptions!$B$15*Assumptions!$B$32/(1+Assumptions!$B$5)^'Work Requirements'!W22</f>
        <v>1428822.7695639369</v>
      </c>
      <c r="X32" s="3">
        <f>(Assumptions!$B$30-Assumptions!$B$33)*Assumptions!$B$15*Assumptions!$B$32/(1+Assumptions!$B$5)^'Work Requirements'!X22</f>
        <v>1335348.3827700345</v>
      </c>
      <c r="Y32" s="3">
        <f>(Assumptions!$B$30-Assumptions!$B$33)*Assumptions!$B$15*Assumptions!$B$32/(1+Assumptions!$B$5)^'Work Requirements'!Y22</f>
        <v>1247989.142775733</v>
      </c>
      <c r="Z32" s="3">
        <f>(Assumptions!$B$30-Assumptions!$B$33)*Assumptions!$B$15*Assumptions!$B$32/(1+Assumptions!$B$5)^'Work Requirements'!Z22</f>
        <v>1166344.9932483486</v>
      </c>
      <c r="AA32" s="3">
        <f>(Assumptions!$B$30-Assumptions!$B$33)*Assumptions!$B$15*Assumptions!$B$32/(1+Assumptions!$B$5)^'Work Requirements'!AA22</f>
        <v>1090042.0497648118</v>
      </c>
      <c r="AB32" s="52">
        <f t="shared" si="0"/>
        <v>69625732.276646316</v>
      </c>
    </row>
    <row r="33" spans="1:29">
      <c r="A33" s="22"/>
      <c r="B33" s="3"/>
      <c r="C33" s="3"/>
      <c r="D33" s="3"/>
      <c r="E33" s="3"/>
      <c r="F33" s="3"/>
      <c r="G33" s="3"/>
      <c r="H33" s="3"/>
      <c r="I33" s="3"/>
      <c r="J33" s="3"/>
      <c r="K33" s="3"/>
      <c r="L33" s="3"/>
      <c r="M33" s="3"/>
      <c r="AB33" s="52"/>
    </row>
    <row r="34" spans="1:29">
      <c r="A34" s="20" t="s">
        <v>80</v>
      </c>
      <c r="B34" s="3"/>
      <c r="C34" s="3"/>
      <c r="D34" s="3"/>
      <c r="E34" s="3"/>
      <c r="F34" s="3"/>
      <c r="G34" s="3"/>
      <c r="H34" s="3"/>
      <c r="I34" s="3"/>
      <c r="J34" s="3"/>
      <c r="K34" s="3"/>
      <c r="L34" s="3"/>
      <c r="M34" s="3"/>
      <c r="AB34" s="52"/>
    </row>
    <row r="35" spans="1:29">
      <c r="A35" s="22" t="s">
        <v>186</v>
      </c>
      <c r="B35" s="3">
        <v>0</v>
      </c>
      <c r="C35" s="3">
        <f>Assumptions!B13*Assumptions!B24/(1+Assumptions!B5)^'Work Requirements'!C22</f>
        <v>33297592.523364484</v>
      </c>
      <c r="D35" s="3">
        <f>(Assumptions!B25*Assumptions!B13)/(1+Assumptions!B5)^'Work Requirements'!D22</f>
        <v>50241607.127260022</v>
      </c>
      <c r="E35" s="3">
        <f>(Assumptions!$B$13*Assumptions!$B$33)/(1+Assumptions!$B$5)^'Work Requirements'!E22</f>
        <v>62232048.997463755</v>
      </c>
      <c r="F35" s="3">
        <f>(Assumptions!$B$13*Assumptions!$B$33)/(1+Assumptions!$B$5)^'Work Requirements'!F22</f>
        <v>58160793.455573611</v>
      </c>
      <c r="G35" s="3">
        <f>(Assumptions!$B$13*Assumptions!$B$33)/(1+Assumptions!$B$5)^'Work Requirements'!G22</f>
        <v>54355881.734180935</v>
      </c>
      <c r="H35" s="3">
        <f>(Assumptions!$B$13*Assumptions!$B$33)/(1+Assumptions!$B$5)^'Work Requirements'!H22</f>
        <v>50799889.471197143</v>
      </c>
      <c r="I35" s="3">
        <f>(Assumptions!$B$13*Assumptions!$B$33)/(1+Assumptions!$B$5)^'Work Requirements'!I22</f>
        <v>47476532.21607209</v>
      </c>
      <c r="J35" s="3">
        <f>(Assumptions!$B$13*Assumptions!$B$33)/(1+Assumptions!$B$5)^'Work Requirements'!J22</f>
        <v>44370590.856142141</v>
      </c>
      <c r="K35" s="3">
        <f>(Assumptions!$B$13*Assumptions!$B$33)/(1+Assumptions!$B$5)^'Work Requirements'!K22</f>
        <v>41467841.92162817</v>
      </c>
      <c r="L35" s="3">
        <f>(Assumptions!$B$13*Assumptions!$B$33)/(1+Assumptions!$B$5)^'Work Requirements'!L22</f>
        <v>38754992.450119786</v>
      </c>
      <c r="M35" s="3">
        <f>(Assumptions!$B$13*Assumptions!$B$33)/(1+Assumptions!$B$5)^'Work Requirements'!M22</f>
        <v>36219619.112261474</v>
      </c>
      <c r="N35" s="3">
        <f>(Assumptions!$B$13*Assumptions!$B$33)/(1+Assumptions!$B$5)^'Work Requirements'!N22</f>
        <v>33850111.319870546</v>
      </c>
      <c r="O35" s="3">
        <f>(Assumptions!$B$13*Assumptions!$B$33)/(1+Assumptions!$B$5)^'Work Requirements'!O22</f>
        <v>31635618.055953778</v>
      </c>
      <c r="P35" s="3">
        <f>(Assumptions!$B$13*Assumptions!$B$33)/(1+Assumptions!$B$5)^'Work Requirements'!P22</f>
        <v>29565998.183134373</v>
      </c>
      <c r="Q35" s="3">
        <f>(Assumptions!$B$13*Assumptions!$B$33)/(1+Assumptions!$B$5)^'Work Requirements'!Q22</f>
        <v>27631774.002929319</v>
      </c>
      <c r="R35" s="3">
        <f>(Assumptions!$B$13*Assumptions!$B$33)/(1+Assumptions!$B$5)^'Work Requirements'!R22</f>
        <v>25824087.853204973</v>
      </c>
      <c r="S35" s="3">
        <f>(Assumptions!$B$13*Assumptions!$B$33)/(1+Assumptions!$B$5)^'Work Requirements'!S22</f>
        <v>24134661.545051377</v>
      </c>
      <c r="T35" s="3">
        <f>(Assumptions!$B$13*Assumptions!$B$33)/(1+Assumptions!$B$5)^'Work Requirements'!T22</f>
        <v>22555758.453319043</v>
      </c>
      <c r="U35" s="3">
        <f>(Assumptions!$B$13*Assumptions!$B$33)/(1+Assumptions!$B$5)^'Work Requirements'!U22</f>
        <v>21080148.087214056</v>
      </c>
      <c r="V35" s="3">
        <f>(Assumptions!$B$13*Assumptions!$B$33)/(1+Assumptions!$B$5)^'Work Requirements'!V22</f>
        <v>19701072.978704728</v>
      </c>
      <c r="W35" s="3">
        <f>(Assumptions!$B$13*Assumptions!$B$33)/(1+Assumptions!$B$5)^'Work Requirements'!W22</f>
        <v>18412217.737107221</v>
      </c>
      <c r="X35" s="3">
        <f>(Assumptions!$B$13*Assumptions!$B$33)/(1+Assumptions!$B$5)^'Work Requirements'!X22</f>
        <v>17207680.128137589</v>
      </c>
      <c r="Y35" s="3">
        <f>(Assumptions!$B$13*Assumptions!$B$33)/(1+Assumptions!$B$5)^'Work Requirements'!Y22</f>
        <v>16081944.044988401</v>
      </c>
      <c r="Z35" s="3">
        <f>(Assumptions!$B$13*Assumptions!$B$33)/(1+Assumptions!$B$5)^'Work Requirements'!Z22</f>
        <v>15029854.247652711</v>
      </c>
      <c r="AA35" s="3">
        <f>(Assumptions!$B$13*Assumptions!$B$33)/(1+Assumptions!$B$5)^'Work Requirements'!AA22</f>
        <v>14046592.754815618</v>
      </c>
      <c r="AB35" s="52">
        <f t="shared" si="0"/>
        <v>834134909.25734735</v>
      </c>
    </row>
    <row r="36" spans="1:29">
      <c r="A36" s="22" t="s">
        <v>81</v>
      </c>
      <c r="B36" s="3">
        <v>0</v>
      </c>
      <c r="C36" s="3">
        <f>Assumptions!B24*(Assumptions!B14*8*Assumptions!B15*12)/(1+Assumptions!B5)^'Work Requirements'!C22</f>
        <v>10647236.186915888</v>
      </c>
      <c r="D36" s="3">
        <f>(Assumptions!B25*Assumptions!B15*8*Assumptions!B14*12)/(1+Assumptions!B5)^'Work Requirements'!D22</f>
        <v>16065253.279762421</v>
      </c>
      <c r="E36" s="3">
        <f>Assumptions!$B$33*(8*Assumptions!$B$15*Assumptions!$B$14*12)/(1+Assumptions!$B$5)^'Work Requirements'!E22</f>
        <v>19899316.252572358</v>
      </c>
      <c r="F36" s="3">
        <f>Assumptions!$B$33*(8*Assumptions!$B$15*Assumptions!$B$14*12)/(1+Assumptions!$B$5)^'Work Requirements'!F22</f>
        <v>18597491.824833982</v>
      </c>
      <c r="G36" s="3">
        <f>Assumptions!$B$33*(8*Assumptions!$B$15*Assumptions!$B$14*12)/(1+Assumptions!$B$5)^'Work Requirements'!G22</f>
        <v>17380833.481153253</v>
      </c>
      <c r="H36" s="3">
        <f>Assumptions!$B$33*(8*Assumptions!$B$15*Assumptions!$B$14*12)/(1+Assumptions!$B$5)^'Work Requirements'!H22</f>
        <v>16243769.608554441</v>
      </c>
      <c r="I36" s="3">
        <f>Assumptions!$B$33*(8*Assumptions!$B$15*Assumptions!$B$14*12)/(1+Assumptions!$B$5)^'Work Requirements'!I22</f>
        <v>15181093.092106955</v>
      </c>
      <c r="J36" s="3">
        <f>Assumptions!$B$33*(8*Assumptions!$B$15*Assumptions!$B$14*12)/(1+Assumptions!$B$5)^'Work Requirements'!J22</f>
        <v>14187937.469258836</v>
      </c>
      <c r="K36" s="3">
        <f>Assumptions!$B$33*(8*Assumptions!$B$15*Assumptions!$B$14*12)/(1+Assumptions!$B$5)^'Work Requirements'!K22</f>
        <v>13259754.644167135</v>
      </c>
      <c r="L36" s="3">
        <f>Assumptions!$B$33*(8*Assumptions!$B$15*Assumptions!$B$14*12)/(1+Assumptions!$B$5)^'Work Requirements'!L22</f>
        <v>12392294.059969286</v>
      </c>
      <c r="M36" s="3">
        <f>Assumptions!$B$33*(8*Assumptions!$B$15*Assumptions!$B$14*12)/(1+Assumptions!$B$5)^'Work Requirements'!M22</f>
        <v>11581583.233616153</v>
      </c>
      <c r="N36" s="3">
        <f>Assumptions!$B$33*(8*Assumptions!$B$15*Assumptions!$B$14*12)/(1+Assumptions!$B$5)^'Work Requirements'!N22</f>
        <v>10823909.564127248</v>
      </c>
      <c r="O36" s="3">
        <f>Assumptions!$B$33*(8*Assumptions!$B$15*Assumptions!$B$14*12)/(1+Assumptions!$B$5)^'Work Requirements'!O22</f>
        <v>10115803.330960045</v>
      </c>
      <c r="P36" s="3">
        <f>Assumptions!$B$33*(8*Assumptions!$B$15*Assumptions!$B$14*12)/(1+Assumptions!$B$5)^'Work Requirements'!P22</f>
        <v>9454021.8046355564</v>
      </c>
      <c r="Q36" s="3">
        <f>Assumptions!$B$33*(8*Assumptions!$B$15*Assumptions!$B$14*12)/(1+Assumptions!$B$5)^'Work Requirements'!Q22</f>
        <v>8835534.3968556579</v>
      </c>
      <c r="R36" s="3">
        <f>Assumptions!$B$33*(8*Assumptions!$B$15*Assumptions!$B$14*12)/(1+Assumptions!$B$5)^'Work Requirements'!R22</f>
        <v>8257508.7821080936</v>
      </c>
      <c r="S36" s="3">
        <f>Assumptions!$B$33*(8*Assumptions!$B$15*Assumptions!$B$14*12)/(1+Assumptions!$B$5)^'Work Requirements'!S22</f>
        <v>7717297.9272038257</v>
      </c>
      <c r="T36" s="3">
        <f>Assumptions!$B$33*(8*Assumptions!$B$15*Assumptions!$B$14*12)/(1+Assumptions!$B$5)^'Work Requirements'!T22</f>
        <v>7212427.9693493694</v>
      </c>
      <c r="U36" s="3">
        <f>Assumptions!$B$33*(8*Assumptions!$B$15*Assumptions!$B$14*12)/(1+Assumptions!$B$5)^'Work Requirements'!U22</f>
        <v>6740586.887242401</v>
      </c>
      <c r="V36" s="3">
        <f>Assumptions!$B$33*(8*Assumptions!$B$15*Assumptions!$B$14*12)/(1+Assumptions!$B$5)^'Work Requirements'!V22</f>
        <v>6299613.9133106554</v>
      </c>
      <c r="W36" s="3">
        <f>Assumptions!$B$33*(8*Assumptions!$B$15*Assumptions!$B$14*12)/(1+Assumptions!$B$5)^'Work Requirements'!W22</f>
        <v>5887489.6386080887</v>
      </c>
      <c r="X36" s="3">
        <f>Assumptions!$B$33*(8*Assumptions!$B$15*Assumptions!$B$14*12)/(1+Assumptions!$B$5)^'Work Requirements'!X22</f>
        <v>5502326.7650542893</v>
      </c>
      <c r="Y36" s="3">
        <f>Assumptions!$B$33*(8*Assumptions!$B$15*Assumptions!$B$14*12)/(1+Assumptions!$B$5)^'Work Requirements'!Y22</f>
        <v>5142361.4626675593</v>
      </c>
      <c r="Z36" s="3">
        <f>Assumptions!$B$33*(8*Assumptions!$B$15*Assumptions!$B$14*12)/(1+Assumptions!$B$5)^'Work Requirements'!Z22</f>
        <v>4805945.2922126725</v>
      </c>
      <c r="AA36" s="3">
        <f>Assumptions!$B$33*(8*Assumptions!$B$15*Assumptions!$B$14*12)/(1+Assumptions!$B$5)^'Work Requirements'!AA22</f>
        <v>4491537.6562735252</v>
      </c>
      <c r="AB36" s="52">
        <f t="shared" si="0"/>
        <v>266722928.52351961</v>
      </c>
    </row>
    <row r="37" spans="1:29">
      <c r="A37" s="22"/>
      <c r="B37" s="3"/>
      <c r="C37" s="3"/>
      <c r="D37" s="3"/>
      <c r="E37" s="3"/>
      <c r="F37" s="3"/>
      <c r="G37" s="3"/>
      <c r="H37" s="3"/>
      <c r="I37" s="3"/>
      <c r="J37" s="3"/>
      <c r="K37" s="3"/>
      <c r="L37" s="3"/>
      <c r="M37" s="3"/>
      <c r="N37" s="3"/>
      <c r="O37" s="3"/>
      <c r="P37" s="3"/>
      <c r="Q37" s="3"/>
      <c r="R37" s="3"/>
      <c r="S37" s="3"/>
      <c r="T37" s="3"/>
      <c r="U37" s="3"/>
      <c r="V37" s="3"/>
      <c r="W37" s="3"/>
      <c r="X37" s="3"/>
      <c r="Y37" s="3"/>
      <c r="Z37" s="3"/>
      <c r="AA37" s="3"/>
      <c r="AB37" s="52"/>
    </row>
    <row r="38" spans="1:29">
      <c r="A38" s="22"/>
      <c r="B38" s="3"/>
      <c r="C38" s="3"/>
      <c r="D38" s="3"/>
      <c r="E38" s="3"/>
      <c r="F38" s="3"/>
      <c r="G38" s="3"/>
      <c r="H38" s="3"/>
      <c r="I38" s="3"/>
      <c r="J38" s="3"/>
      <c r="K38" s="3"/>
      <c r="L38" s="3"/>
      <c r="M38" s="3"/>
      <c r="N38" s="3"/>
      <c r="O38" s="3"/>
      <c r="P38" s="3"/>
      <c r="Q38" s="3"/>
      <c r="R38" s="3"/>
      <c r="S38" s="3"/>
      <c r="T38" s="3"/>
      <c r="U38" s="3"/>
      <c r="V38" s="3"/>
      <c r="W38" s="3"/>
      <c r="X38" s="3"/>
      <c r="Y38" s="3"/>
      <c r="Z38" s="3"/>
      <c r="AA38" s="3"/>
      <c r="AB38" s="27"/>
    </row>
    <row r="39" spans="1:29">
      <c r="A39" s="22"/>
      <c r="B39" s="3"/>
      <c r="C39" s="3"/>
      <c r="D39" s="3"/>
      <c r="E39" s="3"/>
      <c r="F39" s="3"/>
      <c r="G39" s="3"/>
      <c r="H39" s="3"/>
      <c r="I39" s="3"/>
      <c r="J39" s="3"/>
      <c r="K39" s="3"/>
      <c r="L39" s="3"/>
      <c r="M39" s="3"/>
      <c r="N39" s="3"/>
      <c r="O39" s="3"/>
      <c r="P39" s="3"/>
      <c r="Q39" s="3"/>
      <c r="R39" s="3"/>
      <c r="S39" s="3"/>
      <c r="T39" s="3"/>
      <c r="U39" s="3"/>
      <c r="V39" s="3"/>
      <c r="W39" s="3"/>
      <c r="X39" s="3"/>
      <c r="Y39" s="3"/>
      <c r="Z39" s="3"/>
      <c r="AA39" s="3"/>
      <c r="AB39" s="9"/>
    </row>
    <row r="40" spans="1:29">
      <c r="A40" s="69" t="s">
        <v>82</v>
      </c>
      <c r="B40" s="54">
        <f>SUM(B24:B36)</f>
        <v>53074378.5</v>
      </c>
      <c r="C40" s="54">
        <f t="shared" ref="C40:AA40" si="1">SUM(C24:C36)</f>
        <v>110398479.73831776</v>
      </c>
      <c r="D40" s="54">
        <f t="shared" si="1"/>
        <v>121373153.53305966</v>
      </c>
      <c r="E40" s="54">
        <f t="shared" si="1"/>
        <v>154180301.7363472</v>
      </c>
      <c r="F40" s="54">
        <f t="shared" si="1"/>
        <v>144093739.94051144</v>
      </c>
      <c r="G40" s="54">
        <f t="shared" si="1"/>
        <v>134667046.67337513</v>
      </c>
      <c r="H40" s="54">
        <f t="shared" si="1"/>
        <v>125857052.96577117</v>
      </c>
      <c r="I40" s="54">
        <f t="shared" si="1"/>
        <v>117623413.98670201</v>
      </c>
      <c r="J40" s="54">
        <f t="shared" si="1"/>
        <v>109928424.2866374</v>
      </c>
      <c r="K40" s="54">
        <f t="shared" si="1"/>
        <v>102736845.1276985</v>
      </c>
      <c r="L40" s="54">
        <f t="shared" si="1"/>
        <v>97083276.623481527</v>
      </c>
      <c r="M40" s="54">
        <f t="shared" si="1"/>
        <v>89734339.355138868</v>
      </c>
      <c r="N40" s="54">
        <f t="shared" si="1"/>
        <v>83863868.556204572</v>
      </c>
      <c r="O40" s="54">
        <f t="shared" si="1"/>
        <v>78377447.248789325</v>
      </c>
      <c r="P40" s="54">
        <f t="shared" si="1"/>
        <v>73249950.699803099</v>
      </c>
      <c r="Q40" s="54">
        <f t="shared" si="1"/>
        <v>68457897.85028325</v>
      </c>
      <c r="R40" s="54">
        <f t="shared" si="1"/>
        <v>63979343.785311468</v>
      </c>
      <c r="S40" s="54">
        <f t="shared" si="1"/>
        <v>59793779.238608845</v>
      </c>
      <c r="T40" s="54">
        <f t="shared" si="1"/>
        <v>55882036.671597049</v>
      </c>
      <c r="U40" s="54">
        <f t="shared" si="1"/>
        <v>52226202.496819668</v>
      </c>
      <c r="V40" s="54">
        <f t="shared" si="1"/>
        <v>49352214.949665822</v>
      </c>
      <c r="W40" s="54">
        <f t="shared" si="1"/>
        <v>45616387.891361408</v>
      </c>
      <c r="X40" s="54">
        <f t="shared" si="1"/>
        <v>42632138.216225609</v>
      </c>
      <c r="Y40" s="54">
        <f t="shared" si="1"/>
        <v>39843119.82824824</v>
      </c>
      <c r="Z40" s="54">
        <f t="shared" si="1"/>
        <v>37236560.587147877</v>
      </c>
      <c r="AA40" s="54">
        <f t="shared" si="1"/>
        <v>34800523.913222313</v>
      </c>
      <c r="AB40" s="58">
        <f>SUM(AB23:AB38)</f>
        <v>2146061924.4003294</v>
      </c>
    </row>
    <row r="41" spans="1:29" s="50" customFormat="1">
      <c r="A41" s="74"/>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1"/>
    </row>
    <row r="42" spans="1:29" s="50" customFormat="1">
      <c r="A42" s="74"/>
      <c r="B42" s="75"/>
      <c r="C42" s="75"/>
      <c r="D42" s="148" t="s">
        <v>176</v>
      </c>
      <c r="E42" s="148"/>
      <c r="F42" s="148"/>
      <c r="G42" s="23">
        <f>AB40</f>
        <v>2146061924.4003294</v>
      </c>
      <c r="H42" s="75"/>
      <c r="I42" s="75"/>
      <c r="J42" s="75"/>
      <c r="K42" s="75"/>
      <c r="L42" s="75"/>
      <c r="M42" s="75"/>
      <c r="N42" s="75"/>
      <c r="O42" s="75"/>
      <c r="P42" s="75"/>
      <c r="Q42" s="75"/>
      <c r="R42" s="75"/>
      <c r="S42" s="75"/>
      <c r="T42" s="75"/>
      <c r="U42" s="75"/>
      <c r="V42" s="75"/>
      <c r="W42" s="75"/>
      <c r="X42" s="75"/>
      <c r="Y42" s="75"/>
      <c r="Z42" s="75"/>
      <c r="AA42" s="75"/>
      <c r="AB42" s="71"/>
    </row>
    <row r="43" spans="1:29" s="21" customFormat="1">
      <c r="A43" s="41"/>
      <c r="B43" s="3"/>
      <c r="C43" s="3"/>
      <c r="D43" s="3"/>
      <c r="E43" s="3"/>
      <c r="F43" s="3"/>
      <c r="G43" s="3"/>
      <c r="H43" s="3"/>
      <c r="I43" s="3"/>
      <c r="J43" s="3"/>
      <c r="K43" s="3"/>
      <c r="L43" s="3"/>
      <c r="M43" s="3"/>
    </row>
    <row r="44" spans="1:29">
      <c r="A44" s="22"/>
      <c r="B44" s="3"/>
      <c r="C44" s="3"/>
      <c r="D44" s="3"/>
      <c r="E44" s="3"/>
      <c r="F44" s="3"/>
      <c r="G44" s="3"/>
      <c r="H44" s="3"/>
      <c r="I44" s="3"/>
      <c r="J44" s="3"/>
      <c r="K44" s="3"/>
      <c r="L44" s="3"/>
    </row>
    <row r="45" spans="1:29">
      <c r="A45" s="67"/>
      <c r="B45" s="3"/>
      <c r="C45" s="3"/>
      <c r="D45" s="3"/>
      <c r="E45" s="3"/>
      <c r="F45" s="3"/>
      <c r="G45" s="3"/>
      <c r="H45" s="3"/>
      <c r="I45" s="3"/>
      <c r="J45" s="3"/>
      <c r="K45" s="3"/>
      <c r="L45" s="3"/>
      <c r="M45" s="16"/>
    </row>
    <row r="46" spans="1:29" ht="21">
      <c r="A46" s="13" t="s">
        <v>34</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spans="1:29">
      <c r="A47" s="15"/>
      <c r="B47" s="16"/>
      <c r="C47" s="16"/>
      <c r="D47" s="16"/>
      <c r="E47" s="16"/>
      <c r="F47" s="16"/>
      <c r="G47" s="16"/>
      <c r="H47" s="16"/>
      <c r="I47" s="16"/>
      <c r="J47" s="16"/>
      <c r="K47" s="16"/>
      <c r="L47" s="16"/>
      <c r="M47" s="40"/>
      <c r="N47" s="16"/>
      <c r="O47" s="16"/>
      <c r="P47" s="16"/>
      <c r="Q47" s="16"/>
      <c r="R47" s="16"/>
      <c r="S47" s="16"/>
      <c r="T47" s="16"/>
      <c r="U47" s="16"/>
      <c r="V47" s="16"/>
      <c r="W47" s="16"/>
      <c r="X47" s="16"/>
      <c r="Y47" s="16"/>
      <c r="Z47" s="16"/>
      <c r="AA47" s="16"/>
      <c r="AB47" s="16"/>
      <c r="AC47" s="16"/>
    </row>
    <row r="48" spans="1:29" ht="19">
      <c r="A48" s="17" t="s">
        <v>12</v>
      </c>
      <c r="B48" s="17" t="s">
        <v>22</v>
      </c>
      <c r="C48" s="17" t="s">
        <v>23</v>
      </c>
      <c r="D48" s="17" t="s">
        <v>24</v>
      </c>
      <c r="E48" s="17" t="s">
        <v>25</v>
      </c>
      <c r="F48" s="17" t="s">
        <v>26</v>
      </c>
      <c r="G48" s="17" t="s">
        <v>27</v>
      </c>
      <c r="H48" s="17" t="s">
        <v>28</v>
      </c>
      <c r="I48" s="17" t="s">
        <v>29</v>
      </c>
      <c r="J48" s="17" t="s">
        <v>30</v>
      </c>
      <c r="K48" s="17" t="s">
        <v>31</v>
      </c>
      <c r="L48" s="17" t="s">
        <v>83</v>
      </c>
      <c r="M48" s="17" t="s">
        <v>84</v>
      </c>
      <c r="N48" s="17" t="s">
        <v>85</v>
      </c>
      <c r="O48" s="17" t="s">
        <v>86</v>
      </c>
      <c r="P48" s="17" t="s">
        <v>87</v>
      </c>
      <c r="Q48" s="17" t="s">
        <v>88</v>
      </c>
      <c r="R48" s="17" t="s">
        <v>89</v>
      </c>
      <c r="S48" s="17" t="s">
        <v>90</v>
      </c>
      <c r="T48" s="17" t="s">
        <v>91</v>
      </c>
      <c r="U48" s="17" t="s">
        <v>92</v>
      </c>
      <c r="V48" s="17" t="s">
        <v>93</v>
      </c>
      <c r="W48" s="17" t="s">
        <v>94</v>
      </c>
      <c r="X48" s="17" t="s">
        <v>95</v>
      </c>
      <c r="Y48" s="17" t="s">
        <v>96</v>
      </c>
      <c r="Z48" s="17" t="s">
        <v>97</v>
      </c>
      <c r="AA48" s="17" t="s">
        <v>99</v>
      </c>
    </row>
    <row r="49" spans="1:28" ht="21">
      <c r="A49" s="19" t="s">
        <v>6</v>
      </c>
      <c r="B49" s="19">
        <v>0</v>
      </c>
      <c r="C49" s="19">
        <v>1</v>
      </c>
      <c r="D49" s="19">
        <v>2</v>
      </c>
      <c r="E49" s="19">
        <v>3</v>
      </c>
      <c r="F49" s="19">
        <v>4</v>
      </c>
      <c r="G49" s="19">
        <v>5</v>
      </c>
      <c r="H49" s="19">
        <v>6</v>
      </c>
      <c r="I49" s="19">
        <v>7</v>
      </c>
      <c r="J49" s="19">
        <v>8</v>
      </c>
      <c r="K49" s="19">
        <v>9</v>
      </c>
      <c r="L49" s="19">
        <v>10</v>
      </c>
      <c r="M49" s="19">
        <v>11</v>
      </c>
      <c r="N49" s="19">
        <v>12</v>
      </c>
      <c r="O49" s="19">
        <v>13</v>
      </c>
      <c r="P49" s="19">
        <v>14</v>
      </c>
      <c r="Q49" s="19">
        <v>15</v>
      </c>
      <c r="R49" s="19">
        <v>16</v>
      </c>
      <c r="S49" s="19">
        <v>17</v>
      </c>
      <c r="T49" s="19">
        <v>18</v>
      </c>
      <c r="U49" s="19">
        <v>19</v>
      </c>
      <c r="V49" s="19">
        <v>20</v>
      </c>
      <c r="W49" s="19">
        <v>21</v>
      </c>
      <c r="X49" s="19">
        <v>22</v>
      </c>
      <c r="Y49" s="19">
        <v>23</v>
      </c>
      <c r="Z49" s="19">
        <v>24</v>
      </c>
      <c r="AA49" s="19">
        <v>25</v>
      </c>
      <c r="AB49" s="51" t="s">
        <v>82</v>
      </c>
    </row>
    <row r="50" spans="1:28">
      <c r="A50" s="46" t="s">
        <v>185</v>
      </c>
      <c r="AB50" s="27"/>
    </row>
    <row r="51" spans="1:28">
      <c r="A51" s="4" t="s">
        <v>104</v>
      </c>
      <c r="B51">
        <v>0</v>
      </c>
      <c r="C51" s="9">
        <f>Assumptions!B16*Assumptions!B12*Assumptions!B24/(1+Assumptions!B5)^'Work Requirements'!C49</f>
        <v>7937216.8224299056</v>
      </c>
      <c r="D51" s="9">
        <f>Assumptions!B16*Assumptions!B12*Assumptions!B25/(1+Assumptions!B5)^'Work Requirements'!D49</f>
        <v>11976197.047777098</v>
      </c>
      <c r="E51" s="9">
        <f>Assumptions!$B$33*Assumptions!$B$16*Assumptions!$B$12/(1+Assumptions!$B$5)^'Work Requirements'!E49</f>
        <v>14834383.772651244</v>
      </c>
      <c r="F51" s="9">
        <f>Assumptions!$B$33*Assumptions!$B$16*Assumptions!$B$12/(1+Assumptions!$B$5)^'Work Requirements'!F49</f>
        <v>13863910.067898361</v>
      </c>
      <c r="G51" s="9">
        <f>Assumptions!$B$33*Assumptions!$B$16*Assumptions!$B$12/(1+Assumptions!$B$5)^'Work Requirements'!G49</f>
        <v>12956925.29710127</v>
      </c>
      <c r="H51" s="9">
        <f>Assumptions!$B$33*Assumptions!$B$16*Assumptions!$B$12/(1+Assumptions!$B$5)^'Work Requirements'!H49</f>
        <v>12109275.978599319</v>
      </c>
      <c r="I51" s="9">
        <f>Assumptions!$B$33*Assumptions!$B$16*Assumptions!$B$12/(1+Assumptions!$B$5)^'Work Requirements'!I49</f>
        <v>11317080.353831138</v>
      </c>
      <c r="J51" s="9">
        <f>Assumptions!$B$33*Assumptions!$B$16*Assumptions!$B$12/(1+Assumptions!$B$5)^'Work Requirements'!J49</f>
        <v>10576710.611057138</v>
      </c>
      <c r="K51" s="9">
        <f>Assumptions!$B$33*Assumptions!$B$16*Assumptions!$B$12/(1+Assumptions!$B$5)^'Work Requirements'!K49</f>
        <v>9884776.2720160168</v>
      </c>
      <c r="L51" s="9">
        <f>Assumptions!$B$33*Assumptions!$B$16*Assumptions!$B$12/(1+Assumptions!$B$5)^'Work Requirements'!L49</f>
        <v>9238108.6654355302</v>
      </c>
      <c r="M51" s="9">
        <f>Assumptions!$B$33*Assumptions!$B$16*Assumptions!$B$12/(1+Assumptions!$B$5)^'Work Requirements'!M49</f>
        <v>8633746.4162948858</v>
      </c>
      <c r="N51" s="9">
        <f>Assumptions!$B$33*Assumptions!$B$16*Assumptions!$B$12/(1+Assumptions!$B$5)^'Work Requirements'!N49</f>
        <v>8068921.8843877465</v>
      </c>
      <c r="O51" s="9">
        <f>Assumptions!$B$33*Assumptions!$B$16*Assumptions!$B$12/(1+Assumptions!$B$5)^'Work Requirements'!O49</f>
        <v>7541048.490082005</v>
      </c>
      <c r="P51" s="9">
        <f>Assumptions!$B$33*Assumptions!$B$16*Assumptions!$B$12/(1+Assumptions!$B$5)^'Work Requirements'!P49</f>
        <v>7047708.8692355193</v>
      </c>
      <c r="Q51" s="9">
        <f>Assumptions!$B$33*Assumptions!$B$16*Assumptions!$B$12/(1+Assumptions!$B$5)^'Work Requirements'!Q49</f>
        <v>6586643.8030238487</v>
      </c>
      <c r="R51" s="9">
        <f>Assumptions!$B$33*Assumptions!$B$16*Assumptions!$B$12/(1+Assumptions!$B$5)^'Work Requirements'!R49</f>
        <v>6155741.8719849065</v>
      </c>
      <c r="S51" s="9">
        <f>Assumptions!$B$33*Assumptions!$B$16*Assumptions!$B$12/(1+Assumptions!$B$5)^'Work Requirements'!S49</f>
        <v>5753029.7869017813</v>
      </c>
      <c r="T51" s="9">
        <f>Assumptions!$B$33*Assumptions!$B$16*Assumptions!$B$12/(1+Assumptions!$B$5)^'Work Requirements'!T49</f>
        <v>5376663.3522446556</v>
      </c>
      <c r="U51" s="9">
        <f>Assumptions!$B$33*Assumptions!$B$16*Assumptions!$B$12/(1+Assumptions!$B$5)^'Work Requirements'!U49</f>
        <v>5024919.0207893969</v>
      </c>
      <c r="V51" s="9">
        <f>Assumptions!$B$33*Assumptions!$B$16*Assumptions!$B$12/(1+Assumptions!$B$5)^'Work Requirements'!V49</f>
        <v>4696186.0007377546</v>
      </c>
      <c r="W51" s="9">
        <f>Assumptions!$B$33*Assumptions!$B$16*Assumptions!$B$12/(1+Assumptions!$B$5)^'Work Requirements'!W49</f>
        <v>4388958.8791941628</v>
      </c>
      <c r="X51" s="9">
        <f>Assumptions!$B$33*Assumptions!$B$16*Assumptions!$B$12/(1+Assumptions!$B$5)^'Work Requirements'!X49</f>
        <v>4101830.7282188442</v>
      </c>
      <c r="Y51" s="9">
        <f>Assumptions!$B$33*Assumptions!$B$16*Assumptions!$B$12/(1+Assumptions!$B$5)^'Work Requirements'!Y49</f>
        <v>3833486.6618867703</v>
      </c>
      <c r="Z51" s="9">
        <f>Assumptions!$B$33*Assumptions!$B$16*Assumptions!$B$12/(1+Assumptions!$B$5)^'Work Requirements'!Z49</f>
        <v>3582697.8148474488</v>
      </c>
      <c r="AA51" s="9">
        <f>Assumptions!$B$33*Assumptions!$B$16*Assumptions!$B$12/(1+Assumptions!$B$5)^'Work Requirements'!AA49</f>
        <v>3348315.7148106992</v>
      </c>
      <c r="AB51" s="52">
        <f>SUM(B51:AA51)</f>
        <v>198834484.18343744</v>
      </c>
    </row>
    <row r="52" spans="1:28">
      <c r="A52" t="s">
        <v>51</v>
      </c>
      <c r="AB52" s="27"/>
    </row>
    <row r="53" spans="1:28">
      <c r="A53" s="46"/>
    </row>
    <row r="54" spans="1:28">
      <c r="A54" s="70" t="s">
        <v>82</v>
      </c>
      <c r="B54" s="52">
        <f>SUM(B50:B52)</f>
        <v>0</v>
      </c>
      <c r="C54" s="52">
        <f t="shared" ref="C54:AA54" si="2">SUM(C50:C52)</f>
        <v>7937216.8224299056</v>
      </c>
      <c r="D54" s="52">
        <f t="shared" si="2"/>
        <v>11976197.047777098</v>
      </c>
      <c r="E54" s="52">
        <f t="shared" si="2"/>
        <v>14834383.772651244</v>
      </c>
      <c r="F54" s="52">
        <f t="shared" si="2"/>
        <v>13863910.067898361</v>
      </c>
      <c r="G54" s="52">
        <f t="shared" si="2"/>
        <v>12956925.29710127</v>
      </c>
      <c r="H54" s="52">
        <f t="shared" si="2"/>
        <v>12109275.978599319</v>
      </c>
      <c r="I54" s="52">
        <f t="shared" si="2"/>
        <v>11317080.353831138</v>
      </c>
      <c r="J54" s="52">
        <f t="shared" si="2"/>
        <v>10576710.611057138</v>
      </c>
      <c r="K54" s="52">
        <f t="shared" si="2"/>
        <v>9884776.2720160168</v>
      </c>
      <c r="L54" s="52">
        <f t="shared" si="2"/>
        <v>9238108.6654355302</v>
      </c>
      <c r="M54" s="52">
        <f t="shared" si="2"/>
        <v>8633746.4162948858</v>
      </c>
      <c r="N54" s="52">
        <f t="shared" si="2"/>
        <v>8068921.8843877465</v>
      </c>
      <c r="O54" s="52">
        <f t="shared" si="2"/>
        <v>7541048.490082005</v>
      </c>
      <c r="P54" s="52">
        <f>SUM(P50:P52)</f>
        <v>7047708.8692355193</v>
      </c>
      <c r="Q54" s="52">
        <f t="shared" si="2"/>
        <v>6586643.8030238487</v>
      </c>
      <c r="R54" s="52">
        <f t="shared" si="2"/>
        <v>6155741.8719849065</v>
      </c>
      <c r="S54" s="52">
        <f t="shared" si="2"/>
        <v>5753029.7869017813</v>
      </c>
      <c r="T54" s="52">
        <f t="shared" si="2"/>
        <v>5376663.3522446556</v>
      </c>
      <c r="U54" s="52">
        <f t="shared" si="2"/>
        <v>5024919.0207893969</v>
      </c>
      <c r="V54" s="52">
        <f t="shared" si="2"/>
        <v>4696186.0007377546</v>
      </c>
      <c r="W54" s="52">
        <f t="shared" si="2"/>
        <v>4388958.8791941628</v>
      </c>
      <c r="X54" s="52">
        <f t="shared" si="2"/>
        <v>4101830.7282188442</v>
      </c>
      <c r="Y54" s="52">
        <f t="shared" si="2"/>
        <v>3833486.6618867703</v>
      </c>
      <c r="Z54" s="52">
        <f t="shared" si="2"/>
        <v>3582697.8148474488</v>
      </c>
      <c r="AA54" s="52">
        <f t="shared" si="2"/>
        <v>3348315.7148106992</v>
      </c>
      <c r="AB54" s="71">
        <f>SUM(AB50:AB52)</f>
        <v>198834484.18343744</v>
      </c>
    </row>
    <row r="55" spans="1:28" s="50" customFormat="1">
      <c r="A55" s="72"/>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1"/>
    </row>
    <row r="56" spans="1:28" s="50" customFormat="1">
      <c r="A56" s="72"/>
      <c r="B56" s="73"/>
      <c r="C56" s="73"/>
      <c r="D56" s="149" t="s">
        <v>177</v>
      </c>
      <c r="E56" s="149"/>
      <c r="F56" s="149"/>
      <c r="G56" s="23">
        <f>AB54</f>
        <v>198834484.18343744</v>
      </c>
      <c r="H56" s="73"/>
      <c r="I56" s="73"/>
      <c r="J56" s="73"/>
      <c r="K56" s="73"/>
      <c r="L56" s="73"/>
      <c r="M56" s="73"/>
      <c r="N56" s="73"/>
      <c r="O56" s="73"/>
      <c r="P56" s="73"/>
      <c r="Q56" s="73"/>
      <c r="R56" s="73"/>
      <c r="S56" s="73"/>
      <c r="T56" s="73"/>
      <c r="U56" s="73"/>
      <c r="V56" s="73"/>
      <c r="W56" s="73"/>
      <c r="X56" s="73"/>
      <c r="Y56" s="73"/>
      <c r="Z56" s="73"/>
      <c r="AA56" s="73"/>
      <c r="AB56" s="71"/>
    </row>
  </sheetData>
  <mergeCells count="5">
    <mergeCell ref="D2:E2"/>
    <mergeCell ref="D7:E7"/>
    <mergeCell ref="A1:B2"/>
    <mergeCell ref="D42:F42"/>
    <mergeCell ref="D56:F5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54"/>
  <sheetViews>
    <sheetView workbookViewId="0">
      <selection activeCell="A25" sqref="A25"/>
    </sheetView>
  </sheetViews>
  <sheetFormatPr baseColWidth="10" defaultRowHeight="16"/>
  <cols>
    <col min="1" max="1" width="55" bestFit="1" customWidth="1"/>
    <col min="2" max="2" width="19.6640625" customWidth="1"/>
    <col min="3" max="3" width="15.33203125" bestFit="1" customWidth="1"/>
    <col min="4" max="4" width="43.5" bestFit="1" customWidth="1"/>
    <col min="5" max="5" width="22.33203125" bestFit="1" customWidth="1"/>
    <col min="6" max="6" width="14" bestFit="1" customWidth="1"/>
    <col min="7" max="7" width="16.1640625" bestFit="1" customWidth="1"/>
    <col min="8" max="11" width="14" bestFit="1" customWidth="1"/>
    <col min="12" max="12" width="14" customWidth="1"/>
    <col min="13" max="27" width="14" bestFit="1" customWidth="1"/>
    <col min="28" max="28" width="33.5" customWidth="1"/>
  </cols>
  <sheetData>
    <row r="1" spans="1:10">
      <c r="A1" s="147" t="s">
        <v>158</v>
      </c>
      <c r="B1" s="147"/>
      <c r="C1" s="16"/>
      <c r="D1" s="16"/>
      <c r="E1" s="16"/>
      <c r="F1" s="16"/>
      <c r="G1" s="16"/>
      <c r="H1" s="16"/>
      <c r="I1" s="16"/>
      <c r="J1" s="16"/>
    </row>
    <row r="2" spans="1:10">
      <c r="A2" s="147"/>
      <c r="B2" s="147"/>
      <c r="C2" s="16"/>
      <c r="D2" s="16"/>
      <c r="E2" s="16"/>
      <c r="F2" s="16"/>
      <c r="G2" s="16"/>
      <c r="H2" s="16"/>
      <c r="I2" s="16"/>
      <c r="J2" s="16"/>
    </row>
    <row r="3" spans="1:10" ht="31">
      <c r="A3" s="25" t="s">
        <v>1</v>
      </c>
      <c r="B3" s="26"/>
      <c r="D3" s="150" t="s">
        <v>116</v>
      </c>
      <c r="E3" s="150"/>
    </row>
    <row r="4" spans="1:10">
      <c r="A4" s="94" t="s">
        <v>2</v>
      </c>
      <c r="B4" s="95">
        <v>7.0000000000000007E-2</v>
      </c>
      <c r="D4" s="60"/>
      <c r="E4" s="60"/>
    </row>
    <row r="5" spans="1:10" ht="21">
      <c r="A5" s="94" t="s">
        <v>3</v>
      </c>
      <c r="B5" s="96" t="s">
        <v>4</v>
      </c>
      <c r="D5" s="61" t="s">
        <v>106</v>
      </c>
      <c r="E5" s="104">
        <f>$G$42-$G$30</f>
        <v>-150111769.45071957</v>
      </c>
    </row>
    <row r="6" spans="1:10" ht="21">
      <c r="A6" s="94" t="s">
        <v>7</v>
      </c>
      <c r="B6" s="97">
        <v>423000</v>
      </c>
      <c r="D6" s="61"/>
      <c r="E6" s="62"/>
    </row>
    <row r="7" spans="1:10">
      <c r="A7" s="98" t="s">
        <v>8</v>
      </c>
      <c r="B7" s="97">
        <v>190694</v>
      </c>
      <c r="D7" s="60"/>
      <c r="E7" s="60"/>
    </row>
    <row r="8" spans="1:10">
      <c r="A8" s="98" t="s">
        <v>10</v>
      </c>
      <c r="B8" s="97">
        <v>298658</v>
      </c>
    </row>
    <row r="9" spans="1:10">
      <c r="A9" s="98" t="s">
        <v>11</v>
      </c>
      <c r="B9" s="97">
        <v>342000</v>
      </c>
    </row>
    <row r="10" spans="1:10">
      <c r="A10" s="98" t="s">
        <v>52</v>
      </c>
      <c r="B10" s="99">
        <v>7.0000000000000007E-2</v>
      </c>
    </row>
    <row r="11" spans="1:10">
      <c r="A11" s="98" t="s">
        <v>53</v>
      </c>
      <c r="B11" s="99">
        <v>0.1</v>
      </c>
    </row>
    <row r="12" spans="1:10">
      <c r="A12" s="98" t="s">
        <v>54</v>
      </c>
      <c r="B12" s="100">
        <v>2666</v>
      </c>
    </row>
    <row r="13" spans="1:10">
      <c r="A13" s="98" t="s">
        <v>62</v>
      </c>
      <c r="B13" s="101">
        <v>1.2</v>
      </c>
    </row>
    <row r="14" spans="1:10">
      <c r="A14" s="98" t="s">
        <v>63</v>
      </c>
      <c r="B14" s="100">
        <v>7.4</v>
      </c>
    </row>
    <row r="15" spans="1:10">
      <c r="A15" s="98" t="s">
        <v>98</v>
      </c>
      <c r="B15" s="100">
        <v>6355</v>
      </c>
    </row>
    <row r="16" spans="1:10">
      <c r="A16" s="98" t="s">
        <v>111</v>
      </c>
      <c r="B16" s="97">
        <v>8470020</v>
      </c>
    </row>
    <row r="19" spans="1:29" ht="21">
      <c r="A19" s="13" t="s">
        <v>20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29">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9">
      <c r="A21" s="17" t="s">
        <v>18</v>
      </c>
      <c r="B21" s="17" t="s">
        <v>22</v>
      </c>
      <c r="C21" s="17" t="s">
        <v>23</v>
      </c>
      <c r="D21" s="17" t="s">
        <v>24</v>
      </c>
      <c r="E21" s="17" t="s">
        <v>25</v>
      </c>
      <c r="F21" s="17" t="s">
        <v>26</v>
      </c>
      <c r="G21" s="17" t="s">
        <v>27</v>
      </c>
      <c r="H21" s="17" t="s">
        <v>28</v>
      </c>
      <c r="I21" s="17" t="s">
        <v>29</v>
      </c>
      <c r="J21" s="17" t="s">
        <v>30</v>
      </c>
      <c r="K21" s="17" t="s">
        <v>31</v>
      </c>
      <c r="L21" s="17" t="s">
        <v>83</v>
      </c>
      <c r="M21" s="17" t="s">
        <v>84</v>
      </c>
      <c r="N21" s="17" t="s">
        <v>85</v>
      </c>
      <c r="O21" s="17" t="s">
        <v>86</v>
      </c>
      <c r="P21" s="17" t="s">
        <v>87</v>
      </c>
      <c r="Q21" s="17" t="s">
        <v>88</v>
      </c>
      <c r="R21" s="17" t="s">
        <v>89</v>
      </c>
      <c r="S21" s="17" t="s">
        <v>90</v>
      </c>
      <c r="T21" s="17" t="s">
        <v>91</v>
      </c>
      <c r="U21" s="17" t="s">
        <v>92</v>
      </c>
      <c r="V21" s="17" t="s">
        <v>93</v>
      </c>
      <c r="W21" s="17" t="s">
        <v>94</v>
      </c>
      <c r="X21" s="17" t="s">
        <v>95</v>
      </c>
      <c r="Y21" s="17" t="s">
        <v>96</v>
      </c>
      <c r="Z21" s="17" t="s">
        <v>97</v>
      </c>
      <c r="AA21" s="17" t="s">
        <v>99</v>
      </c>
    </row>
    <row r="22" spans="1:29" ht="21">
      <c r="A22" s="19" t="s">
        <v>6</v>
      </c>
      <c r="B22" s="19">
        <v>0</v>
      </c>
      <c r="C22" s="19">
        <v>1</v>
      </c>
      <c r="D22" s="19">
        <v>2</v>
      </c>
      <c r="E22" s="19">
        <v>3</v>
      </c>
      <c r="F22" s="19">
        <v>4</v>
      </c>
      <c r="G22" s="19">
        <v>5</v>
      </c>
      <c r="H22" s="19">
        <v>6</v>
      </c>
      <c r="I22" s="19">
        <v>7</v>
      </c>
      <c r="J22" s="19">
        <v>8</v>
      </c>
      <c r="K22" s="19">
        <v>9</v>
      </c>
      <c r="L22" s="19">
        <v>10</v>
      </c>
      <c r="M22" s="19">
        <v>11</v>
      </c>
      <c r="N22" s="19">
        <v>12</v>
      </c>
      <c r="O22" s="19">
        <v>13</v>
      </c>
      <c r="P22" s="19">
        <v>14</v>
      </c>
      <c r="Q22" s="19">
        <v>15</v>
      </c>
      <c r="R22" s="19">
        <v>16</v>
      </c>
      <c r="S22" s="19">
        <v>17</v>
      </c>
      <c r="T22" s="19">
        <v>18</v>
      </c>
      <c r="U22" s="19">
        <v>19</v>
      </c>
      <c r="V22" s="19">
        <v>20</v>
      </c>
      <c r="W22" s="19">
        <v>21</v>
      </c>
      <c r="X22" s="19">
        <v>22</v>
      </c>
      <c r="Y22" s="19">
        <v>23</v>
      </c>
      <c r="Z22" s="19">
        <v>24</v>
      </c>
      <c r="AA22" s="19">
        <v>25</v>
      </c>
      <c r="AB22" s="51" t="s">
        <v>82</v>
      </c>
    </row>
    <row r="23" spans="1:29">
      <c r="A23" s="24" t="s">
        <v>16</v>
      </c>
      <c r="B23" s="5"/>
      <c r="C23" s="5"/>
      <c r="D23" s="5"/>
      <c r="E23" s="5"/>
      <c r="F23" s="5"/>
      <c r="G23" s="5"/>
      <c r="H23" s="5"/>
      <c r="I23" s="5"/>
      <c r="J23" s="5"/>
      <c r="K23" s="5"/>
      <c r="L23" s="5"/>
      <c r="AB23" s="27"/>
    </row>
    <row r="24" spans="1:29" s="21" customFormat="1">
      <c r="A24" s="21" t="s">
        <v>60</v>
      </c>
      <c r="B24" s="3">
        <f>Assumptions!$B$52/(1+Assumptions!$B$5)^'Co-Pays'!B22</f>
        <v>10000000</v>
      </c>
      <c r="C24" s="3">
        <f>Assumptions!$B$52/(1+Assumptions!$B$5)^'Co-Pays'!C22</f>
        <v>9345794.3925233632</v>
      </c>
      <c r="D24" s="3">
        <f>Assumptions!$B$52/(1+Assumptions!$B$5)^'Co-Pays'!D22</f>
        <v>8734387.2827321161</v>
      </c>
      <c r="E24" s="3">
        <f>Assumptions!$B$52/(1+Assumptions!$B$5)^'Co-Pays'!E22</f>
        <v>8162978.7689085193</v>
      </c>
      <c r="F24" s="3">
        <f>Assumptions!$B$52/(1+Assumptions!$B$5)^'Co-Pays'!F22</f>
        <v>7628952.1204752522</v>
      </c>
      <c r="G24" s="3">
        <f>Assumptions!$B$52/(1+Assumptions!$B$5)^'Co-Pays'!G22</f>
        <v>7129861.7948366832</v>
      </c>
      <c r="H24" s="3">
        <f>Assumptions!$B$52/(1+Assumptions!$B$5)^'Co-Pays'!H22</f>
        <v>6663422.2381651253</v>
      </c>
      <c r="I24" s="3">
        <f>Assumptions!$B$52/(1+Assumptions!$B$5)^'Co-Pays'!I22</f>
        <v>6227497.4188459115</v>
      </c>
      <c r="J24" s="3">
        <f>Assumptions!$B$52/(1+Assumptions!$B$5)^'Co-Pays'!J22</f>
        <v>5820091.0456503844</v>
      </c>
      <c r="K24" s="3">
        <f>Assumptions!$B$52/(1+Assumptions!$B$5)^'Co-Pays'!K22</f>
        <v>5439337.4258414805</v>
      </c>
      <c r="L24" s="3">
        <f>Assumptions!$B$52/(1+Assumptions!$B$5)^'Co-Pays'!L22</f>
        <v>5083492.9213471776</v>
      </c>
      <c r="M24" s="3">
        <f>Assumptions!$B$52/(1+Assumptions!$B$5)^'Co-Pays'!M22</f>
        <v>4750927.9638758665</v>
      </c>
      <c r="N24" s="3">
        <f>Assumptions!$B$52/(1+Assumptions!$B$5)^'Co-Pays'!N22</f>
        <v>4440119.5924073532</v>
      </c>
      <c r="O24" s="3">
        <f>Assumptions!$B$52/(1+Assumptions!$B$5)^'Co-Pays'!O22</f>
        <v>4149644.4788853764</v>
      </c>
      <c r="P24" s="3">
        <f>Assumptions!$B$52/(1+Assumptions!$B$5)^'Co-Pays'!P22</f>
        <v>3878172.410173249</v>
      </c>
      <c r="Q24" s="3">
        <f>Assumptions!$B$52/(1+Assumptions!$B$5)^'Co-Pays'!Q22</f>
        <v>3624460.1964235967</v>
      </c>
      <c r="R24" s="3">
        <f>Assumptions!$B$52/(1+Assumptions!$B$5)^'Co-Pays'!R22</f>
        <v>3387345.9779659789</v>
      </c>
      <c r="S24" s="3">
        <f>Assumptions!$B$52/(1+Assumptions!$B$5)^'Co-Pays'!S22</f>
        <v>3165743.9046411016</v>
      </c>
      <c r="T24" s="3">
        <f>Assumptions!$B$52/(1+Assumptions!$B$5)^'Co-Pays'!T22</f>
        <v>2958639.1632159827</v>
      </c>
      <c r="U24" s="3">
        <f>Assumptions!$B$52/(1+Assumptions!$B$5)^'Co-Pays'!U22</f>
        <v>2765083.3301083948</v>
      </c>
      <c r="V24" s="3">
        <f>Assumptions!$B$52/(1+Assumptions!$B$5)^'Co-Pays'!V22</f>
        <v>2584190.0281386869</v>
      </c>
      <c r="W24" s="3">
        <f>Assumptions!$B$52/(1+Assumptions!$B$5)^'Co-Pays'!W22</f>
        <v>2415130.8674193337</v>
      </c>
      <c r="X24" s="3">
        <f>Assumptions!$B$52/(1+Assumptions!$B$5)^'Co-Pays'!X22</f>
        <v>2257131.6517937696</v>
      </c>
      <c r="Y24" s="3">
        <f>Assumptions!$B$52/(1+Assumptions!$B$5)^'Co-Pays'!Y22</f>
        <v>2109468.8334521214</v>
      </c>
      <c r="Z24" s="3">
        <f>Assumptions!$B$52/(1+Assumptions!$B$5)^'Co-Pays'!Z22</f>
        <v>1971466.1994879637</v>
      </c>
      <c r="AA24" s="3">
        <f>Assumptions!$B$52/(1+Assumptions!$B$5)^'Co-Pays'!AA22</f>
        <v>1842491.7752223958</v>
      </c>
      <c r="AB24" s="52">
        <f>SUM(B24:AA24)</f>
        <v>126535831.78253716</v>
      </c>
    </row>
    <row r="25" spans="1:29">
      <c r="A25" s="45" t="s">
        <v>184</v>
      </c>
      <c r="B25" s="3">
        <f>Assumptions!$B$44*Assumptions!$B$46/(1+Assumptions!$B$5)^'Co-Pays'!B22</f>
        <v>3047814</v>
      </c>
      <c r="C25" s="3">
        <f>Assumptions!$B$44*Assumptions!$B$46/(1+Assumptions!$B$5)^'Co-Pays'!C22</f>
        <v>2848424.2990654204</v>
      </c>
      <c r="D25" s="3">
        <f>Assumptions!$B$44*Assumptions!$B$46/(1+Assumptions!$B$5)^'Co-Pays'!D22</f>
        <v>2662078.7841732902</v>
      </c>
      <c r="E25" s="3">
        <f>Assumptions!$B$44*Assumptions!$B$46/(1+Assumptions!$B$5)^'Co-Pays'!E22</f>
        <v>2487924.0973582151</v>
      </c>
      <c r="F25" s="3">
        <f>Assumptions!$B$44*Assumptions!$B$46/(1+Assumptions!$B$5)^'Co-Pays'!F22</f>
        <v>2325162.7078114161</v>
      </c>
      <c r="G25" s="3">
        <f>Assumptions!$B$44*Assumptions!$B$46/(1+Assumptions!$B$5)^'Co-Pays'!G22</f>
        <v>2173049.2596368371</v>
      </c>
      <c r="H25" s="3">
        <f>Assumptions!$B$44*Assumptions!$B$46/(1+Assumptions!$B$5)^'Co-Pays'!H22</f>
        <v>2030887.1585391003</v>
      </c>
      <c r="I25" s="3">
        <f>Assumptions!$B$44*Assumptions!$B$46/(1+Assumptions!$B$5)^'Co-Pays'!I22</f>
        <v>1898025.3818122433</v>
      </c>
      <c r="J25" s="3">
        <f>Assumptions!$B$44*Assumptions!$B$46/(1+Assumptions!$B$5)^'Co-Pays'!J22</f>
        <v>1773855.497020788</v>
      </c>
      <c r="K25" s="3">
        <f>Assumptions!$B$44*Assumptions!$B$46/(1+Assumptions!$B$5)^'Co-Pays'!K22</f>
        <v>1657808.8757203624</v>
      </c>
      <c r="L25" s="3">
        <f>Assumptions!$B$44*Assumptions!$B$46/(1+Assumptions!$B$5)^'Co-Pays'!L22</f>
        <v>1549354.0894582828</v>
      </c>
      <c r="M25" s="3">
        <f>Assumptions!$B$44*Assumptions!$B$46/(1+Assumptions!$B$5)^'Co-Pays'!M22</f>
        <v>1447994.4761292362</v>
      </c>
      <c r="N25" s="3">
        <f>Assumptions!$B$44*Assumptions!$B$46/(1+Assumptions!$B$5)^'Co-Pays'!N22</f>
        <v>1353265.8655413424</v>
      </c>
      <c r="O25" s="3">
        <f>Assumptions!$B$44*Assumptions!$B$46/(1+Assumptions!$B$5)^'Co-Pays'!O22</f>
        <v>1264734.4537769554</v>
      </c>
      <c r="P25" s="3">
        <f>Assumptions!$B$44*Assumptions!$B$46/(1+Assumptions!$B$5)^'Co-Pays'!P22</f>
        <v>1181994.8166139771</v>
      </c>
      <c r="Q25" s="3">
        <f>Assumptions!$B$44*Assumptions!$B$46/(1+Assumptions!$B$5)^'Co-Pays'!Q22</f>
        <v>1104668.0529102588</v>
      </c>
      <c r="R25" s="3">
        <f>Assumptions!$B$44*Assumptions!$B$46/(1+Assumptions!$B$5)^'Co-Pays'!R22</f>
        <v>1032400.0494488401</v>
      </c>
      <c r="S25" s="3">
        <f>Assumptions!$B$44*Assumptions!$B$46/(1+Assumptions!$B$5)^'Co-Pays'!S22</f>
        <v>964859.85929798149</v>
      </c>
      <c r="T25" s="3">
        <f>Assumptions!$B$44*Assumptions!$B$46/(1+Assumptions!$B$5)^'Co-Pays'!T22</f>
        <v>901738.18625979568</v>
      </c>
      <c r="U25" s="3">
        <f>Assumptions!$B$44*Assumptions!$B$46/(1+Assumptions!$B$5)^'Co-Pays'!U22</f>
        <v>842745.96846709878</v>
      </c>
      <c r="V25" s="3">
        <f>Assumptions!$B$44*Assumptions!$B$46/(1+Assumptions!$B$5)^'Co-Pays'!V22</f>
        <v>787613.05464214843</v>
      </c>
      <c r="W25" s="3">
        <f>Assumptions!$B$44*Assumptions!$B$46/(1+Assumptions!$B$5)^'Co-Pays'!W22</f>
        <v>736086.96695527888</v>
      </c>
      <c r="X25" s="3">
        <f>Assumptions!$B$44*Assumptions!$B$46/(1+Assumptions!$B$5)^'Co-Pays'!X22</f>
        <v>687931.74481801759</v>
      </c>
      <c r="Y25" s="3">
        <f>Assumptions!$B$44*Assumptions!$B$46/(1+Assumptions!$B$5)^'Co-Pays'!Y22</f>
        <v>642926.86431590433</v>
      </c>
      <c r="Z25" s="3">
        <f>Assumptions!$B$44*Assumptions!$B$46/(1+Assumptions!$B$5)^'Co-Pays'!Z22</f>
        <v>600866.22833262081</v>
      </c>
      <c r="AA25" s="3">
        <f>Assumptions!$B$44*Assumptions!$B$46/(1+Assumptions!$B$5)^'Co-Pays'!AA22</f>
        <v>561557.22274076706</v>
      </c>
      <c r="AB25" s="52">
        <f>SUM(B25:AA25)</f>
        <v>38565767.960846193</v>
      </c>
    </row>
    <row r="26" spans="1:29">
      <c r="A26" s="22"/>
      <c r="B26" s="3"/>
      <c r="C26" s="3"/>
      <c r="D26" s="3"/>
      <c r="E26" s="3"/>
      <c r="F26" s="3"/>
      <c r="G26" s="3"/>
      <c r="H26" s="3"/>
      <c r="I26" s="3"/>
      <c r="J26" s="3"/>
      <c r="K26" s="3"/>
      <c r="L26" s="3"/>
      <c r="M26" s="3"/>
      <c r="AB26" s="27"/>
    </row>
    <row r="27" spans="1:29">
      <c r="A27" s="69" t="s">
        <v>113</v>
      </c>
      <c r="B27" s="54">
        <f>SUM(B24:B25)</f>
        <v>13047814</v>
      </c>
      <c r="C27" s="54">
        <f t="shared" ref="C27:AA27" si="0">SUM(C24:C25)</f>
        <v>12194218.691588784</v>
      </c>
      <c r="D27" s="54">
        <f t="shared" si="0"/>
        <v>11396466.066905405</v>
      </c>
      <c r="E27" s="54">
        <f t="shared" si="0"/>
        <v>10650902.866266735</v>
      </c>
      <c r="F27" s="54">
        <f t="shared" si="0"/>
        <v>9954114.8282866683</v>
      </c>
      <c r="G27" s="54">
        <f t="shared" si="0"/>
        <v>9302911.0544735193</v>
      </c>
      <c r="H27" s="54">
        <f t="shared" si="0"/>
        <v>8694309.3967042249</v>
      </c>
      <c r="I27" s="54">
        <f t="shared" si="0"/>
        <v>8125522.8006581552</v>
      </c>
      <c r="J27" s="54">
        <f t="shared" si="0"/>
        <v>7593946.5426711719</v>
      </c>
      <c r="K27" s="54">
        <f t="shared" si="0"/>
        <v>7097146.3015618427</v>
      </c>
      <c r="L27" s="54">
        <f t="shared" si="0"/>
        <v>6632847.0108054606</v>
      </c>
      <c r="M27" s="54">
        <f t="shared" si="0"/>
        <v>6198922.4400051031</v>
      </c>
      <c r="N27" s="54">
        <f t="shared" si="0"/>
        <v>5793385.4579486959</v>
      </c>
      <c r="O27" s="54">
        <f t="shared" si="0"/>
        <v>5414378.9326623315</v>
      </c>
      <c r="P27" s="54">
        <f>SUM(P24:P25)</f>
        <v>5060167.2267872263</v>
      </c>
      <c r="Q27" s="54">
        <f t="shared" si="0"/>
        <v>4729128.2493338557</v>
      </c>
      <c r="R27" s="54">
        <f t="shared" si="0"/>
        <v>4419746.0274148192</v>
      </c>
      <c r="S27" s="54">
        <f t="shared" si="0"/>
        <v>4130603.7639390831</v>
      </c>
      <c r="T27" s="54">
        <f t="shared" si="0"/>
        <v>3860377.3494757786</v>
      </c>
      <c r="U27" s="54">
        <f t="shared" si="0"/>
        <v>3607829.2985754935</v>
      </c>
      <c r="V27" s="54">
        <f t="shared" si="0"/>
        <v>3371803.0827808352</v>
      </c>
      <c r="W27" s="54">
        <f t="shared" si="0"/>
        <v>3151217.8343746127</v>
      </c>
      <c r="X27" s="54">
        <f t="shared" si="0"/>
        <v>2945063.3966117874</v>
      </c>
      <c r="Y27" s="54">
        <f t="shared" si="0"/>
        <v>2752395.6977680256</v>
      </c>
      <c r="Z27" s="54">
        <f t="shared" si="0"/>
        <v>2572332.4278205847</v>
      </c>
      <c r="AA27" s="54">
        <f t="shared" si="0"/>
        <v>2404048.9979631631</v>
      </c>
      <c r="AB27" s="35">
        <f>SUM(AB24:AB26)</f>
        <v>165101599.74338335</v>
      </c>
    </row>
    <row r="28" spans="1:29" s="50" customFormat="1">
      <c r="A28" s="74"/>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8"/>
    </row>
    <row r="29" spans="1:29" s="50" customFormat="1">
      <c r="A29" s="74"/>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8"/>
    </row>
    <row r="30" spans="1:29">
      <c r="D30" s="148" t="s">
        <v>176</v>
      </c>
      <c r="E30" s="148"/>
      <c r="F30" s="148"/>
      <c r="G30" s="23">
        <f>AB27</f>
        <v>165101599.74338335</v>
      </c>
    </row>
    <row r="31" spans="1:29">
      <c r="A31" s="22"/>
      <c r="B31" s="3"/>
      <c r="C31" s="3"/>
      <c r="D31" s="3"/>
      <c r="E31" s="3"/>
      <c r="F31" s="3"/>
      <c r="G31" s="3"/>
      <c r="H31" s="3"/>
      <c r="I31" s="3"/>
      <c r="J31" s="3"/>
      <c r="K31" s="3"/>
      <c r="L31" s="3"/>
      <c r="M31" s="3"/>
    </row>
    <row r="32" spans="1:29" ht="21">
      <c r="A32" s="13" t="s">
        <v>34</v>
      </c>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ht="19">
      <c r="A34" s="17" t="s">
        <v>18</v>
      </c>
      <c r="B34" s="17" t="s">
        <v>22</v>
      </c>
      <c r="C34" s="17" t="s">
        <v>23</v>
      </c>
      <c r="D34" s="17" t="s">
        <v>24</v>
      </c>
      <c r="E34" s="17" t="s">
        <v>25</v>
      </c>
      <c r="F34" s="17" t="s">
        <v>26</v>
      </c>
      <c r="G34" s="17" t="s">
        <v>27</v>
      </c>
      <c r="H34" s="17" t="s">
        <v>28</v>
      </c>
      <c r="I34" s="17" t="s">
        <v>29</v>
      </c>
      <c r="J34" s="17" t="s">
        <v>30</v>
      </c>
      <c r="K34" s="17" t="s">
        <v>31</v>
      </c>
      <c r="L34" s="17" t="s">
        <v>83</v>
      </c>
      <c r="M34" s="17" t="s">
        <v>84</v>
      </c>
      <c r="N34" s="17" t="s">
        <v>85</v>
      </c>
      <c r="O34" s="17" t="s">
        <v>86</v>
      </c>
      <c r="P34" s="17" t="s">
        <v>87</v>
      </c>
      <c r="Q34" s="17" t="s">
        <v>88</v>
      </c>
      <c r="R34" s="17" t="s">
        <v>89</v>
      </c>
      <c r="S34" s="17" t="s">
        <v>90</v>
      </c>
      <c r="T34" s="17" t="s">
        <v>91</v>
      </c>
      <c r="U34" s="17" t="s">
        <v>92</v>
      </c>
      <c r="V34" s="17" t="s">
        <v>93</v>
      </c>
      <c r="W34" s="17" t="s">
        <v>94</v>
      </c>
      <c r="X34" s="17" t="s">
        <v>95</v>
      </c>
      <c r="Y34" s="17" t="s">
        <v>96</v>
      </c>
      <c r="Z34" s="17" t="s">
        <v>97</v>
      </c>
      <c r="AA34" s="17" t="s">
        <v>99</v>
      </c>
    </row>
    <row r="35" spans="1:29" ht="21">
      <c r="A35" s="19" t="s">
        <v>6</v>
      </c>
      <c r="B35" s="19">
        <v>0</v>
      </c>
      <c r="C35" s="19">
        <v>1</v>
      </c>
      <c r="D35" s="19">
        <v>2</v>
      </c>
      <c r="E35" s="19">
        <v>3</v>
      </c>
      <c r="F35" s="19">
        <v>4</v>
      </c>
      <c r="G35" s="19">
        <v>5</v>
      </c>
      <c r="H35" s="19">
        <v>6</v>
      </c>
      <c r="I35" s="19">
        <v>7</v>
      </c>
      <c r="J35" s="19">
        <v>8</v>
      </c>
      <c r="K35" s="19">
        <v>9</v>
      </c>
      <c r="L35" s="19">
        <v>10</v>
      </c>
      <c r="M35" s="19">
        <v>11</v>
      </c>
      <c r="N35" s="19">
        <v>12</v>
      </c>
      <c r="O35" s="19">
        <v>13</v>
      </c>
      <c r="P35" s="19">
        <v>14</v>
      </c>
      <c r="Q35" s="19">
        <v>15</v>
      </c>
      <c r="R35" s="19">
        <v>16</v>
      </c>
      <c r="S35" s="19">
        <v>17</v>
      </c>
      <c r="T35" s="19">
        <v>18</v>
      </c>
      <c r="U35" s="19">
        <v>19</v>
      </c>
      <c r="V35" s="19">
        <v>20</v>
      </c>
      <c r="W35" s="19">
        <v>21</v>
      </c>
      <c r="X35" s="19">
        <v>22</v>
      </c>
      <c r="Y35" s="19">
        <v>23</v>
      </c>
      <c r="Z35" s="19">
        <v>24</v>
      </c>
      <c r="AA35" s="19">
        <v>25</v>
      </c>
      <c r="AB35" s="51" t="s">
        <v>82</v>
      </c>
    </row>
    <row r="36" spans="1:29">
      <c r="A36" s="46" t="s">
        <v>101</v>
      </c>
      <c r="AB36" s="27"/>
    </row>
    <row r="37" spans="1:29">
      <c r="A37" t="s">
        <v>102</v>
      </c>
      <c r="B37" s="9">
        <f>Assumptions!$B$53*Assumptions!$B$54*Assumptions!$B$55*Assumptions!$B$56/(1+Assumptions!$B$5)^'Co-Pays'!B35</f>
        <v>1184631.2685900002</v>
      </c>
      <c r="C37" s="9">
        <f>Assumptions!$B$53*Assumptions!$B$54*Assumptions!$B$55*Assumptions!$B$56/(1+Assumptions!$B$5)^'Co-Pays'!C35</f>
        <v>1107132.0267196263</v>
      </c>
      <c r="D37" s="9">
        <f>Assumptions!$B$53*Assumptions!$B$54*Assumptions!$B$55*Assumptions!$B$56/(1+Assumptions!$B$5)^'Co-Pays'!D35</f>
        <v>1034702.8287099311</v>
      </c>
      <c r="E37" s="9">
        <f>Assumptions!$B$53*Assumptions!$B$54*Assumptions!$B$55*Assumptions!$B$56/(1+Assumptions!$B$5)^'Co-Pays'!E35</f>
        <v>967011.98944853374</v>
      </c>
      <c r="F37" s="9">
        <f>Assumptions!$B$53*Assumptions!$B$54*Assumptions!$B$55*Assumptions!$B$56/(1+Assumptions!$B$5)^'Co-Pays'!F35</f>
        <v>903749.52284909703</v>
      </c>
      <c r="G37" s="9">
        <f>Assumptions!$B$53*Assumptions!$B$54*Assumptions!$B$55*Assumptions!$B$56/(1+Assumptions!$B$5)^'Co-Pays'!G35</f>
        <v>844625.72228887561</v>
      </c>
      <c r="H37" s="9">
        <f>Assumptions!$B$53*Assumptions!$B$54*Assumptions!$B$55*Assumptions!$B$56/(1+Assumptions!$B$5)^'Co-Pays'!H35</f>
        <v>789369.8339148371</v>
      </c>
      <c r="I37" s="9">
        <f>Assumptions!$B$53*Assumptions!$B$54*Assumptions!$B$55*Assumptions!$B$56/(1+Assumptions!$B$5)^'Co-Pays'!I35</f>
        <v>737728.81674283836</v>
      </c>
      <c r="J37" s="9">
        <f>Assumptions!$B$53*Assumptions!$B$54*Assumptions!$B$55*Assumptions!$B$56/(1+Assumptions!$B$5)^'Co-Pays'!J35</f>
        <v>689466.18387181161</v>
      </c>
      <c r="K37" s="9">
        <f>Assumptions!$B$53*Assumptions!$B$54*Assumptions!$B$55*Assumptions!$B$56/(1+Assumptions!$B$5)^'Co-Pays'!K35</f>
        <v>644360.9195063659</v>
      </c>
      <c r="L37" s="9">
        <f>Assumptions!$B$53*Assumptions!$B$54*Assumptions!$B$55*Assumptions!$B$56/(1+Assumptions!$B$5)^'Co-Pays'!L35</f>
        <v>602206.46682837931</v>
      </c>
      <c r="M37" s="9">
        <f>Assumptions!$B$53*Assumptions!$B$54*Assumptions!$B$55*Assumptions!$B$56/(1+Assumptions!$B$5)^'Co-Pays'!M35</f>
        <v>562809.78208259749</v>
      </c>
      <c r="N37" s="9">
        <f>Assumptions!$B$53*Assumptions!$B$54*Assumptions!$B$55*Assumptions!$B$56/(1+Assumptions!$B$5)^'Co-Pays'!N35</f>
        <v>525990.45054448373</v>
      </c>
      <c r="O37" s="9">
        <f>Assumptions!$B$53*Assumptions!$B$54*Assumptions!$B$55*Assumptions!$B$56/(1+Assumptions!$B$5)^'Co-Pays'!O35</f>
        <v>491579.86032194737</v>
      </c>
      <c r="P37" s="9">
        <f>Assumptions!$B$53*Assumptions!$B$54*Assumptions!$B$55*Assumptions!$B$56/(1+Assumptions!$B$5)^'Co-Pays'!P35</f>
        <v>459420.43020742747</v>
      </c>
      <c r="Q37" s="9">
        <f>Assumptions!$B$53*Assumptions!$B$54*Assumptions!$B$55*Assumptions!$B$56/(1+Assumptions!$B$5)^'Co-Pays'!Q35</f>
        <v>429364.8880443247</v>
      </c>
      <c r="R37" s="9">
        <f>Assumptions!$B$53*Assumptions!$B$54*Assumptions!$B$55*Assumptions!$B$56/(1+Assumptions!$B$5)^'Co-Pays'!R35</f>
        <v>401275.59630310722</v>
      </c>
      <c r="S37" s="9">
        <f>Assumptions!$B$53*Assumptions!$B$54*Assumptions!$B$55*Assumptions!$B$56/(1+Assumptions!$B$5)^'Co-Pays'!S35</f>
        <v>375023.92177860491</v>
      </c>
      <c r="T37" s="9">
        <f>Assumptions!$B$53*Assumptions!$B$54*Assumptions!$B$55*Assumptions!$B$56/(1+Assumptions!$B$5)^'Co-Pays'!T35</f>
        <v>350489.64652206062</v>
      </c>
      <c r="U37" s="9">
        <f>Assumptions!$B$53*Assumptions!$B$54*Assumptions!$B$55*Assumptions!$B$56/(1+Assumptions!$B$5)^'Co-Pays'!U35</f>
        <v>327560.41731033701</v>
      </c>
      <c r="V37" s="9">
        <f>Assumptions!$B$53*Assumptions!$B$54*Assumptions!$B$55*Assumptions!$B$56/(1+Assumptions!$B$5)^'Co-Pays'!V35</f>
        <v>306131.23113115609</v>
      </c>
      <c r="W37" s="9">
        <f>Assumptions!$B$53*Assumptions!$B$54*Assumptions!$B$55*Assumptions!$B$56/(1+Assumptions!$B$5)^'Co-Pays'!W35</f>
        <v>286103.95432818326</v>
      </c>
      <c r="X37" s="9">
        <f>Assumptions!$B$53*Assumptions!$B$54*Assumptions!$B$55*Assumptions!$B$56/(1+Assumptions!$B$5)^'Co-Pays'!X35</f>
        <v>267386.87320390961</v>
      </c>
      <c r="Y37" s="9">
        <f>Assumptions!$B$53*Assumptions!$B$54*Assumptions!$B$55*Assumptions!$B$56/(1+Assumptions!$B$5)^'Co-Pays'!Y35</f>
        <v>249894.27402234543</v>
      </c>
      <c r="Z37" s="9">
        <f>Assumptions!$B$53*Assumptions!$B$54*Assumptions!$B$55*Assumptions!$B$56/(1+Assumptions!$B$5)^'Co-Pays'!Z35</f>
        <v>233546.05048817326</v>
      </c>
      <c r="AA37" s="9">
        <f>Assumptions!$B$53*Assumptions!$B$54*Assumptions!$B$55*Assumptions!$B$56/(1+Assumptions!$B$5)^'Co-Pays'!AA35</f>
        <v>218267.33690483481</v>
      </c>
      <c r="AB37" s="76">
        <f>SUM(B37:AA37)</f>
        <v>14989830.292663787</v>
      </c>
    </row>
    <row r="38" spans="1:29">
      <c r="AB38" s="27"/>
    </row>
    <row r="39" spans="1:29">
      <c r="A39" s="70" t="s">
        <v>82</v>
      </c>
      <c r="B39" s="76">
        <f>B37</f>
        <v>1184631.2685900002</v>
      </c>
      <c r="C39" s="76">
        <f t="shared" ref="C39:AA39" si="1">C37</f>
        <v>1107132.0267196263</v>
      </c>
      <c r="D39" s="76">
        <f t="shared" si="1"/>
        <v>1034702.8287099311</v>
      </c>
      <c r="E39" s="76">
        <f t="shared" si="1"/>
        <v>967011.98944853374</v>
      </c>
      <c r="F39" s="76">
        <f t="shared" si="1"/>
        <v>903749.52284909703</v>
      </c>
      <c r="G39" s="76">
        <f t="shared" si="1"/>
        <v>844625.72228887561</v>
      </c>
      <c r="H39" s="76">
        <f t="shared" si="1"/>
        <v>789369.8339148371</v>
      </c>
      <c r="I39" s="76">
        <f t="shared" si="1"/>
        <v>737728.81674283836</v>
      </c>
      <c r="J39" s="76">
        <f t="shared" si="1"/>
        <v>689466.18387181161</v>
      </c>
      <c r="K39" s="76">
        <f t="shared" si="1"/>
        <v>644360.9195063659</v>
      </c>
      <c r="L39" s="76">
        <f t="shared" si="1"/>
        <v>602206.46682837931</v>
      </c>
      <c r="M39" s="76">
        <f t="shared" si="1"/>
        <v>562809.78208259749</v>
      </c>
      <c r="N39" s="76">
        <f t="shared" si="1"/>
        <v>525990.45054448373</v>
      </c>
      <c r="O39" s="76">
        <f t="shared" si="1"/>
        <v>491579.86032194737</v>
      </c>
      <c r="P39" s="76">
        <f t="shared" si="1"/>
        <v>459420.43020742747</v>
      </c>
      <c r="Q39" s="76">
        <f t="shared" si="1"/>
        <v>429364.8880443247</v>
      </c>
      <c r="R39" s="76">
        <f t="shared" si="1"/>
        <v>401275.59630310722</v>
      </c>
      <c r="S39" s="76">
        <f t="shared" si="1"/>
        <v>375023.92177860491</v>
      </c>
      <c r="T39" s="76">
        <f t="shared" si="1"/>
        <v>350489.64652206062</v>
      </c>
      <c r="U39" s="76">
        <f t="shared" si="1"/>
        <v>327560.41731033701</v>
      </c>
      <c r="V39" s="76">
        <f t="shared" si="1"/>
        <v>306131.23113115609</v>
      </c>
      <c r="W39" s="76">
        <f t="shared" si="1"/>
        <v>286103.95432818326</v>
      </c>
      <c r="X39" s="76">
        <f t="shared" si="1"/>
        <v>267386.87320390961</v>
      </c>
      <c r="Y39" s="76">
        <f t="shared" si="1"/>
        <v>249894.27402234543</v>
      </c>
      <c r="Z39" s="76">
        <f t="shared" si="1"/>
        <v>233546.05048817326</v>
      </c>
      <c r="AA39" s="76">
        <f t="shared" si="1"/>
        <v>218267.33690483481</v>
      </c>
      <c r="AB39" s="35">
        <f>SUM(AB37:AB38)</f>
        <v>14989830.292663787</v>
      </c>
    </row>
    <row r="40" spans="1:29" s="50" customFormat="1">
      <c r="A40" s="72"/>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row>
    <row r="41" spans="1:29" s="50" customFormat="1">
      <c r="A41" s="72"/>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row>
    <row r="42" spans="1:29">
      <c r="D42" s="149" t="s">
        <v>177</v>
      </c>
      <c r="E42" s="149"/>
      <c r="F42" s="149"/>
      <c r="G42" s="23">
        <f>AB39</f>
        <v>14989830.292663787</v>
      </c>
    </row>
    <row r="50" spans="1:2" ht="15" customHeight="1">
      <c r="A50" s="102"/>
      <c r="B50" s="102"/>
    </row>
    <row r="51" spans="1:2">
      <c r="A51" s="77"/>
      <c r="B51" s="78"/>
    </row>
    <row r="52" spans="1:2">
      <c r="A52" s="79"/>
      <c r="B52" s="80"/>
    </row>
    <row r="53" spans="1:2">
      <c r="A53" s="79"/>
      <c r="B53" s="80"/>
    </row>
    <row r="54" spans="1:2">
      <c r="A54" s="77"/>
      <c r="B54" s="80"/>
    </row>
  </sheetData>
  <mergeCells count="4">
    <mergeCell ref="A1:B2"/>
    <mergeCell ref="D30:F30"/>
    <mergeCell ref="D42:F42"/>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7"/>
  <sheetViews>
    <sheetView topLeftCell="A4" workbookViewId="0">
      <selection activeCell="A39" sqref="A39"/>
    </sheetView>
  </sheetViews>
  <sheetFormatPr baseColWidth="10" defaultRowHeight="16"/>
  <cols>
    <col min="1" max="1" width="43.5" bestFit="1" customWidth="1"/>
    <col min="2" max="2" width="19.33203125" bestFit="1" customWidth="1"/>
    <col min="3" max="3" width="15" bestFit="1" customWidth="1"/>
    <col min="4" max="4" width="43.5" bestFit="1" customWidth="1"/>
    <col min="5" max="5" width="22" bestFit="1" customWidth="1"/>
    <col min="6" max="6" width="15" bestFit="1" customWidth="1"/>
    <col min="7" max="7" width="16.1640625" bestFit="1" customWidth="1"/>
    <col min="8" max="16" width="15" bestFit="1" customWidth="1"/>
    <col min="17" max="27" width="14" bestFit="1" customWidth="1"/>
    <col min="28" max="28" width="17.5" bestFit="1" customWidth="1"/>
  </cols>
  <sheetData>
    <row r="1" spans="1:10">
      <c r="A1" s="147" t="s">
        <v>19</v>
      </c>
      <c r="B1" s="147"/>
      <c r="C1" s="16"/>
      <c r="D1" s="16"/>
      <c r="E1" s="16"/>
      <c r="F1" s="16"/>
      <c r="G1" s="16"/>
      <c r="H1" s="16"/>
      <c r="I1" s="16"/>
      <c r="J1" s="16"/>
    </row>
    <row r="2" spans="1:10">
      <c r="A2" s="147"/>
      <c r="B2" s="147"/>
      <c r="C2" s="16"/>
      <c r="D2" s="16"/>
      <c r="E2" s="16"/>
      <c r="F2" s="16"/>
      <c r="G2" s="16"/>
      <c r="H2" s="16"/>
      <c r="I2" s="16"/>
      <c r="J2" s="16"/>
    </row>
    <row r="3" spans="1:10" ht="19">
      <c r="A3" s="25" t="s">
        <v>1</v>
      </c>
      <c r="B3" s="26"/>
    </row>
    <row r="4" spans="1:10" ht="31">
      <c r="A4" s="94" t="s">
        <v>2</v>
      </c>
      <c r="B4" s="95">
        <v>7.0000000000000007E-2</v>
      </c>
      <c r="D4" s="150" t="s">
        <v>116</v>
      </c>
      <c r="E4" s="150"/>
    </row>
    <row r="5" spans="1:10">
      <c r="A5" s="94" t="s">
        <v>3</v>
      </c>
      <c r="B5" s="96" t="s">
        <v>4</v>
      </c>
      <c r="D5" s="60"/>
      <c r="E5" s="60"/>
    </row>
    <row r="6" spans="1:10" ht="21">
      <c r="A6" s="94" t="s">
        <v>7</v>
      </c>
      <c r="B6" s="97">
        <v>423000</v>
      </c>
      <c r="D6" s="61" t="s">
        <v>106</v>
      </c>
      <c r="E6" s="104">
        <f>$G$47-$G$31</f>
        <v>-236836144.11177915</v>
      </c>
    </row>
    <row r="7" spans="1:10" ht="21">
      <c r="A7" s="98" t="s">
        <v>8</v>
      </c>
      <c r="B7" s="97">
        <v>190694</v>
      </c>
      <c r="D7" s="61"/>
      <c r="E7" s="62"/>
    </row>
    <row r="8" spans="1:10">
      <c r="A8" s="98" t="s">
        <v>10</v>
      </c>
      <c r="B8" s="97">
        <v>298658</v>
      </c>
      <c r="D8" s="60"/>
      <c r="E8" s="60"/>
    </row>
    <row r="9" spans="1:10">
      <c r="A9" s="98" t="s">
        <v>11</v>
      </c>
      <c r="B9" s="97">
        <v>342000</v>
      </c>
    </row>
    <row r="10" spans="1:10">
      <c r="A10" s="98" t="s">
        <v>52</v>
      </c>
      <c r="B10" s="99">
        <v>7.0000000000000007E-2</v>
      </c>
    </row>
    <row r="11" spans="1:10">
      <c r="A11" s="98" t="s">
        <v>53</v>
      </c>
      <c r="B11" s="99">
        <v>0.1</v>
      </c>
    </row>
    <row r="12" spans="1:10">
      <c r="A12" s="98" t="s">
        <v>54</v>
      </c>
      <c r="B12" s="100">
        <v>2666</v>
      </c>
    </row>
    <row r="13" spans="1:10">
      <c r="A13" s="98" t="s">
        <v>62</v>
      </c>
      <c r="B13" s="101">
        <v>1.2</v>
      </c>
    </row>
    <row r="14" spans="1:10">
      <c r="A14" s="98" t="s">
        <v>63</v>
      </c>
      <c r="B14" s="100">
        <v>7.4</v>
      </c>
    </row>
    <row r="15" spans="1:10">
      <c r="A15" s="98" t="s">
        <v>98</v>
      </c>
      <c r="B15" s="100">
        <v>6355</v>
      </c>
    </row>
    <row r="16" spans="1:10">
      <c r="A16" s="98" t="s">
        <v>111</v>
      </c>
      <c r="B16" s="97">
        <v>8470020</v>
      </c>
    </row>
    <row r="19" spans="1:29" ht="21">
      <c r="A19" s="13" t="s">
        <v>20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29">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9">
      <c r="A21" s="17" t="s">
        <v>19</v>
      </c>
      <c r="B21" s="17" t="s">
        <v>22</v>
      </c>
      <c r="C21" s="17" t="s">
        <v>23</v>
      </c>
      <c r="D21" s="17" t="s">
        <v>24</v>
      </c>
      <c r="E21" s="17" t="s">
        <v>25</v>
      </c>
      <c r="F21" s="17" t="s">
        <v>26</v>
      </c>
      <c r="G21" s="17" t="s">
        <v>27</v>
      </c>
      <c r="H21" s="17" t="s">
        <v>28</v>
      </c>
      <c r="I21" s="17" t="s">
        <v>29</v>
      </c>
      <c r="J21" s="17" t="s">
        <v>30</v>
      </c>
      <c r="K21" s="17" t="s">
        <v>31</v>
      </c>
      <c r="L21" s="17" t="s">
        <v>83</v>
      </c>
      <c r="M21" s="17" t="s">
        <v>84</v>
      </c>
      <c r="N21" s="17" t="s">
        <v>85</v>
      </c>
      <c r="O21" s="17" t="s">
        <v>86</v>
      </c>
      <c r="P21" s="17" t="s">
        <v>87</v>
      </c>
      <c r="Q21" s="17" t="s">
        <v>88</v>
      </c>
      <c r="R21" s="17" t="s">
        <v>89</v>
      </c>
      <c r="S21" s="17" t="s">
        <v>90</v>
      </c>
      <c r="T21" s="17" t="s">
        <v>91</v>
      </c>
      <c r="U21" s="17" t="s">
        <v>92</v>
      </c>
      <c r="V21" s="17" t="s">
        <v>93</v>
      </c>
      <c r="W21" s="17" t="s">
        <v>94</v>
      </c>
      <c r="X21" s="17" t="s">
        <v>95</v>
      </c>
      <c r="Y21" s="17" t="s">
        <v>96</v>
      </c>
      <c r="Z21" s="17" t="s">
        <v>97</v>
      </c>
      <c r="AA21" s="17" t="s">
        <v>99</v>
      </c>
    </row>
    <row r="22" spans="1:29" ht="21">
      <c r="A22" s="19" t="s">
        <v>6</v>
      </c>
      <c r="B22" s="19">
        <v>0</v>
      </c>
      <c r="C22" s="19">
        <v>1</v>
      </c>
      <c r="D22" s="19">
        <v>2</v>
      </c>
      <c r="E22" s="19">
        <v>3</v>
      </c>
      <c r="F22" s="19">
        <v>4</v>
      </c>
      <c r="G22" s="19">
        <v>5</v>
      </c>
      <c r="H22" s="19">
        <v>6</v>
      </c>
      <c r="I22" s="19">
        <v>7</v>
      </c>
      <c r="J22" s="19">
        <v>8</v>
      </c>
      <c r="K22" s="19">
        <v>9</v>
      </c>
      <c r="L22" s="19">
        <v>10</v>
      </c>
      <c r="M22" s="19">
        <v>11</v>
      </c>
      <c r="N22" s="19">
        <v>12</v>
      </c>
      <c r="O22" s="19">
        <v>13</v>
      </c>
      <c r="P22" s="19">
        <v>14</v>
      </c>
      <c r="Q22" s="19">
        <v>15</v>
      </c>
      <c r="R22" s="19">
        <v>16</v>
      </c>
      <c r="S22" s="19">
        <v>17</v>
      </c>
      <c r="T22" s="19">
        <v>18</v>
      </c>
      <c r="U22" s="19">
        <v>19</v>
      </c>
      <c r="V22" s="19">
        <v>20</v>
      </c>
      <c r="W22" s="19">
        <v>21</v>
      </c>
      <c r="X22" s="19">
        <v>22</v>
      </c>
      <c r="Y22" s="19">
        <v>23</v>
      </c>
      <c r="Z22" s="19">
        <v>24</v>
      </c>
      <c r="AA22" s="19">
        <v>25</v>
      </c>
      <c r="AB22" s="51" t="s">
        <v>82</v>
      </c>
    </row>
    <row r="23" spans="1:29">
      <c r="A23" s="24" t="s">
        <v>16</v>
      </c>
      <c r="B23" s="5"/>
      <c r="C23" s="5"/>
      <c r="D23" s="5"/>
      <c r="E23" s="5"/>
      <c r="F23" s="5"/>
      <c r="G23" s="5"/>
      <c r="H23" s="5"/>
      <c r="I23" s="5"/>
      <c r="J23" s="5"/>
      <c r="K23" s="5"/>
      <c r="L23" s="5"/>
      <c r="AB23" s="27"/>
    </row>
    <row r="24" spans="1:29" s="21" customFormat="1">
      <c r="A24" s="31" t="s">
        <v>43</v>
      </c>
      <c r="B24" s="3">
        <f>Assumptions!$B$63/(1+Assumptions!$B$5)^'Healthy Behavior Incentives'!B22</f>
        <v>9500000</v>
      </c>
      <c r="C24" s="3">
        <f>Assumptions!$B$63/(1+Assumptions!$B$5)^'Healthy Behavior Incentives'!C22</f>
        <v>8878504.6728971954</v>
      </c>
      <c r="D24" s="3">
        <f>Assumptions!$B$63/(1+Assumptions!$B$5)^'Healthy Behavior Incentives'!D22</f>
        <v>8297667.9185955105</v>
      </c>
      <c r="E24" s="3">
        <f>Assumptions!$B$63/(1+Assumptions!$B$5)^'Healthy Behavior Incentives'!E22</f>
        <v>7754829.8304630937</v>
      </c>
      <c r="F24" s="3">
        <f>Assumptions!$B$63/(1+Assumptions!$B$5)^'Healthy Behavior Incentives'!F22</f>
        <v>7247504.5144514898</v>
      </c>
      <c r="G24" s="3">
        <f>Assumptions!$B$63/(1+Assumptions!$B$5)^'Healthy Behavior Incentives'!G22</f>
        <v>6773368.7050948497</v>
      </c>
      <c r="H24" s="3">
        <f>Assumptions!$B$63/(1+Assumptions!$B$5)^'Healthy Behavior Incentives'!H22</f>
        <v>6330251.1262568692</v>
      </c>
      <c r="I24" s="3">
        <f>Assumptions!$B$63/(1+Assumptions!$B$5)^'Healthy Behavior Incentives'!I22</f>
        <v>5916122.547903616</v>
      </c>
      <c r="J24" s="3">
        <f>Assumptions!$B$63/(1+Assumptions!$B$5)^'Healthy Behavior Incentives'!J22</f>
        <v>5529086.4933678648</v>
      </c>
      <c r="K24" s="3">
        <f>Assumptions!$B$63/(1+Assumptions!$B$5)^'Healthy Behavior Incentives'!K22</f>
        <v>5167370.5545494063</v>
      </c>
      <c r="L24" s="3">
        <f>Assumptions!$B$63/(1+Assumptions!$B$5)^'Healthy Behavior Incentives'!L22</f>
        <v>4829318.275279819</v>
      </c>
      <c r="M24" s="3">
        <f>Assumptions!$B$63/(1+Assumptions!$B$5)^'Healthy Behavior Incentives'!M22</f>
        <v>4513381.5656820731</v>
      </c>
      <c r="N24" s="3">
        <f>Assumptions!$B$63/(1+Assumptions!$B$5)^'Healthy Behavior Incentives'!N22</f>
        <v>4218113.612786985</v>
      </c>
      <c r="O24" s="3">
        <f>Assumptions!$B$63/(1+Assumptions!$B$5)^'Healthy Behavior Incentives'!O22</f>
        <v>3942162.2549411072</v>
      </c>
      <c r="P24" s="3">
        <f>Assumptions!$B$63/(1+Assumptions!$B$5)^'Healthy Behavior Incentives'!P22</f>
        <v>3684263.7896645865</v>
      </c>
      <c r="Q24" s="3">
        <f>Assumptions!$B$63/(1+Assumptions!$B$5)^'Healthy Behavior Incentives'!Q22</f>
        <v>3443237.1866024169</v>
      </c>
      <c r="R24" s="3">
        <f>Assumptions!$B$63/(1+Assumptions!$B$5)^'Healthy Behavior Incentives'!R22</f>
        <v>3217978.6790676797</v>
      </c>
      <c r="S24" s="3">
        <f>Assumptions!$B$63/(1+Assumptions!$B$5)^'Healthy Behavior Incentives'!S22</f>
        <v>3007456.7094090465</v>
      </c>
      <c r="T24" s="3">
        <f>Assumptions!$B$63/(1+Assumptions!$B$5)^'Healthy Behavior Incentives'!T22</f>
        <v>2810707.2050551837</v>
      </c>
      <c r="U24" s="3">
        <f>Assumptions!$B$63/(1+Assumptions!$B$5)^'Healthy Behavior Incentives'!U22</f>
        <v>2626829.1636029752</v>
      </c>
      <c r="V24" s="3">
        <f>Assumptions!$B$63/(1+Assumptions!$B$5)^'Healthy Behavior Incentives'!V22</f>
        <v>2454980.5267317528</v>
      </c>
      <c r="W24" s="3">
        <f>Assumptions!$B$63/(1+Assumptions!$B$5)^'Healthy Behavior Incentives'!W22</f>
        <v>2294374.3240483669</v>
      </c>
      <c r="X24" s="3">
        <f>Assumptions!$B$63/(1+Assumptions!$B$5)^'Healthy Behavior Incentives'!X22</f>
        <v>2144275.0692040813</v>
      </c>
      <c r="Y24" s="3">
        <f>Assumptions!$B$63/(1+Assumptions!$B$5)^'Healthy Behavior Incentives'!Y22</f>
        <v>2003995.3917795152</v>
      </c>
      <c r="Z24" s="3">
        <f>Assumptions!$B$63/(1+Assumptions!$B$5)^'Healthy Behavior Incentives'!Z22</f>
        <v>1872892.8895135655</v>
      </c>
      <c r="AA24" s="3">
        <f>Assumptions!$B$63/(1+Assumptions!$B$5)^'Healthy Behavior Incentives'!AA22</f>
        <v>1750367.1864612759</v>
      </c>
      <c r="AB24" s="52">
        <f>SUM(B24:AA24)</f>
        <v>120209040.19341031</v>
      </c>
    </row>
    <row r="25" spans="1:29" s="21" customFormat="1">
      <c r="A25" s="2" t="s">
        <v>44</v>
      </c>
      <c r="B25" s="3">
        <f>Assumptions!B62*Assumptions!B8/(1+Assumptions!B5)^'Healthy Behavior Incentives'!B22</f>
        <v>572082</v>
      </c>
      <c r="C25" s="3">
        <f>Assumptions!B9*Assumptions!B62/(1+Assumptions!B5)^'Healthy Behavior Incentives'!C22</f>
        <v>837358.8785046729</v>
      </c>
      <c r="D25" s="3">
        <f>Assumptions!$B$10*Assumptions!$B$62/(1+Assumptions!$B$5)^'Healthy Behavior Incentives'!D22</f>
        <v>896148.1352083151</v>
      </c>
      <c r="E25" s="3">
        <f>Assumptions!$B$10*Assumptions!$B$62/(1+Assumptions!$B$5)^'Healthy Behavior Incentives'!E22</f>
        <v>837521.62169001403</v>
      </c>
      <c r="F25" s="3">
        <f>Assumptions!$B$10*Assumptions!$B$62/(1+Assumptions!$B$5)^'Healthy Behavior Incentives'!F22</f>
        <v>782730.48756076093</v>
      </c>
      <c r="G25" s="3">
        <f>Assumptions!$B$10*Assumptions!$B$62/(1+Assumptions!$B$5)^'Healthy Behavior Incentives'!G22</f>
        <v>731523.8201502437</v>
      </c>
      <c r="H25" s="3">
        <f>Assumptions!$B$10*Assumptions!$B$62/(1+Assumptions!$B$5)^'Healthy Behavior Incentives'!H22</f>
        <v>683667.1216357419</v>
      </c>
      <c r="I25" s="3">
        <f>Assumptions!$B$10*Assumptions!$B$62/(1+Assumptions!$B$5)^'Healthy Behavior Incentives'!I22</f>
        <v>638941.23517359048</v>
      </c>
      <c r="J25" s="3">
        <f>Assumptions!$B$10*Assumptions!$B$62/(1+Assumptions!$B$5)^'Healthy Behavior Incentives'!J22</f>
        <v>597141.34128372942</v>
      </c>
      <c r="K25" s="3">
        <f>Assumptions!$B$10*Assumptions!$B$62/(1+Assumptions!$B$5)^'Healthy Behavior Incentives'!K22</f>
        <v>558076.01989133586</v>
      </c>
      <c r="L25" s="3">
        <f>Assumptions!$B$10*Assumptions!$B$62/(1+Assumptions!$B$5)^'Healthy Behavior Incentives'!L22</f>
        <v>521566.37373022048</v>
      </c>
      <c r="M25" s="3">
        <f>Assumptions!$B$10*Assumptions!$B$62/(1+Assumptions!$B$5)^'Healthy Behavior Incentives'!M22</f>
        <v>487445.2090936639</v>
      </c>
      <c r="N25" s="3">
        <f>Assumptions!$B$10*Assumptions!$B$62/(1+Assumptions!$B$5)^'Healthy Behavior Incentives'!N22</f>
        <v>455556.27018099441</v>
      </c>
      <c r="O25" s="3">
        <f>Assumptions!$B$10*Assumptions!$B$62/(1+Assumptions!$B$5)^'Healthy Behavior Incentives'!O22</f>
        <v>425753.52353363961</v>
      </c>
      <c r="P25" s="3">
        <f>Assumptions!$B$10*Assumptions!$B$62/(1+Assumptions!$B$5)^'Healthy Behavior Incentives'!P22</f>
        <v>397900.48928377533</v>
      </c>
      <c r="Q25" s="3">
        <f>Assumptions!$B$10*Assumptions!$B$62/(1+Assumptions!$B$5)^'Healthy Behavior Incentives'!Q22</f>
        <v>371869.61615306104</v>
      </c>
      <c r="R25" s="3">
        <f>Assumptions!$B$10*Assumptions!$B$62/(1+Assumptions!$B$5)^'Healthy Behavior Incentives'!R22</f>
        <v>347541.69733930944</v>
      </c>
      <c r="S25" s="3">
        <f>Assumptions!$B$10*Assumptions!$B$62/(1+Assumptions!$B$5)^'Healthy Behavior Incentives'!S22</f>
        <v>324805.32461617701</v>
      </c>
      <c r="T25" s="3">
        <f>Assumptions!$B$10*Assumptions!$B$62/(1+Assumptions!$B$5)^'Healthy Behavior Incentives'!T22</f>
        <v>303556.37814595981</v>
      </c>
      <c r="U25" s="3">
        <f>Assumptions!$B$10*Assumptions!$B$62/(1+Assumptions!$B$5)^'Healthy Behavior Incentives'!U22</f>
        <v>283697.54966912133</v>
      </c>
      <c r="V25" s="3">
        <f>Assumptions!$B$10*Assumptions!$B$62/(1+Assumptions!$B$5)^'Healthy Behavior Incentives'!V22</f>
        <v>265137.89688702929</v>
      </c>
      <c r="W25" s="3">
        <f>Assumptions!$B$10*Assumptions!$B$62/(1+Assumptions!$B$5)^'Healthy Behavior Incentives'!W22</f>
        <v>247792.42699722361</v>
      </c>
      <c r="X25" s="3">
        <f>Assumptions!$B$10*Assumptions!$B$62/(1+Assumptions!$B$5)^'Healthy Behavior Incentives'!X22</f>
        <v>231581.70747404077</v>
      </c>
      <c r="Y25" s="3">
        <f>Assumptions!$B$10*Assumptions!$B$62/(1+Assumptions!$B$5)^'Healthy Behavior Incentives'!Y22</f>
        <v>216431.50231218763</v>
      </c>
      <c r="Z25" s="3">
        <f>Assumptions!$B$10*Assumptions!$B$62/(1+Assumptions!$B$5)^'Healthy Behavior Incentives'!Z22</f>
        <v>202272.43206746507</v>
      </c>
      <c r="AA25" s="3">
        <f>Assumptions!$B$10*Assumptions!$B$62/(1+Assumptions!$B$5)^'Healthy Behavior Incentives'!AA22</f>
        <v>189039.6561378178</v>
      </c>
      <c r="AB25" s="52">
        <f t="shared" ref="AB25:AB27" si="0">SUM(B25:AA25)</f>
        <v>12407138.714720089</v>
      </c>
    </row>
    <row r="26" spans="1:29">
      <c r="A26" s="24" t="s">
        <v>46</v>
      </c>
      <c r="B26" s="3"/>
      <c r="C26" s="3"/>
      <c r="D26" s="3"/>
      <c r="E26" s="3"/>
      <c r="F26" s="3"/>
      <c r="G26" s="3"/>
      <c r="H26" s="3"/>
      <c r="I26" s="3"/>
      <c r="J26" s="3"/>
      <c r="K26" s="3"/>
      <c r="L26" s="3"/>
      <c r="M26" s="3"/>
      <c r="AB26" s="52"/>
    </row>
    <row r="27" spans="1:29">
      <c r="A27" s="2" t="s">
        <v>45</v>
      </c>
      <c r="B27" s="3">
        <f>Assumptions!B8*Assumptions!B61*Assumptions!B65/(1+Assumptions!B5)^'Healthy Behavior Incentives'!B22</f>
        <v>8729971.3200000003</v>
      </c>
      <c r="C27" s="3">
        <f>Assumptions!B9*Assumptions!B61*Assumptions!B65/(1+Assumptions!B5)^'Healthy Behavior Incentives'!C22</f>
        <v>12778096.485981308</v>
      </c>
      <c r="D27" s="3">
        <f>Assumptions!$B$10*Assumptions!$B$61*Assumptions!$B$65/(1+Assumptions!$B$5)^'Healthy Behavior Incentives'!D22</f>
        <v>13675220.54327889</v>
      </c>
      <c r="E27" s="3">
        <f>Assumptions!$B$10*Assumptions!$B$61*Assumptions!$B$65/(1+Assumptions!$B$5)^'Healthy Behavior Incentives'!E22</f>
        <v>12780579.946989616</v>
      </c>
      <c r="F27" s="3">
        <f>Assumptions!$B$10*Assumptions!$B$61*Assumptions!$B$65/(1+Assumptions!$B$5)^'Healthy Behavior Incentives'!F22</f>
        <v>11944467.240177212</v>
      </c>
      <c r="G27" s="3">
        <f>Assumptions!$B$10*Assumptions!$B$61*Assumptions!$B$65/(1+Assumptions!$B$5)^'Healthy Behavior Incentives'!G22</f>
        <v>11163053.495492721</v>
      </c>
      <c r="H27" s="3">
        <f>Assumptions!$B$10*Assumptions!$B$61*Assumptions!$B$65/(1+Assumptions!$B$5)^'Healthy Behavior Incentives'!H22</f>
        <v>10432760.276161423</v>
      </c>
      <c r="I27" s="3">
        <f>Assumptions!$B$10*Assumptions!$B$61*Assumptions!$B$65/(1+Assumptions!$B$5)^'Healthy Behavior Incentives'!I22</f>
        <v>9750243.2487489916</v>
      </c>
      <c r="J27" s="3">
        <f>Assumptions!$B$10*Assumptions!$B$61*Assumptions!$B$65/(1+Assumptions!$B$5)^'Healthy Behavior Incentives'!J22</f>
        <v>9112376.8679897115</v>
      </c>
      <c r="K27" s="3">
        <f>Assumptions!$B$10*Assumptions!$B$61*Assumptions!$B$65/(1+Assumptions!$B$5)^'Healthy Behavior Incentives'!K22</f>
        <v>8516240.0635417867</v>
      </c>
      <c r="L27" s="3">
        <f>Assumptions!$B$10*Assumptions!$B$61*Assumptions!$B$65/(1+Assumptions!$B$5)^'Healthy Behavior Incentives'!L22</f>
        <v>7959102.8631231654</v>
      </c>
      <c r="M27" s="3">
        <f>Assumptions!$B$10*Assumptions!$B$61*Assumptions!$B$65/(1+Assumptions!$B$5)^'Healthy Behavior Incentives'!M22</f>
        <v>7438413.8907693122</v>
      </c>
      <c r="N27" s="3">
        <f>Assumptions!$B$10*Assumptions!$B$61*Assumptions!$B$65/(1+Assumptions!$B$5)^'Healthy Behavior Incentives'!N22</f>
        <v>6951788.6829619752</v>
      </c>
      <c r="O27" s="3">
        <f>Assumptions!$B$10*Assumptions!$B$61*Assumptions!$B$65/(1+Assumptions!$B$5)^'Healthy Behavior Incentives'!O22</f>
        <v>6496998.769123341</v>
      </c>
      <c r="P27" s="3">
        <f>Assumptions!$B$10*Assumptions!$B$61*Assumptions!$B$65/(1+Assumptions!$B$5)^'Healthy Behavior Incentives'!P22</f>
        <v>6071961.4664704129</v>
      </c>
      <c r="Q27" s="3">
        <f>Assumptions!$B$10*Assumptions!$B$61*Assumptions!$B$65/(1+Assumptions!$B$5)^'Healthy Behavior Incentives'!Q22</f>
        <v>5674730.3424957115</v>
      </c>
      <c r="R27" s="3">
        <f>Assumptions!$B$10*Assumptions!$B$61*Assumptions!$B$65/(1+Assumptions!$B$5)^'Healthy Behavior Incentives'!R22</f>
        <v>5303486.3013978619</v>
      </c>
      <c r="S27" s="3">
        <f>Assumptions!$B$10*Assumptions!$B$61*Assumptions!$B$65/(1+Assumptions!$B$5)^'Healthy Behavior Incentives'!S22</f>
        <v>4956529.2536428617</v>
      </c>
      <c r="T27" s="3">
        <f>Assumptions!$B$10*Assumptions!$B$61*Assumptions!$B$65/(1+Assumptions!$B$5)^'Healthy Behavior Incentives'!T22</f>
        <v>4632270.3305073474</v>
      </c>
      <c r="U27" s="3">
        <f>Assumptions!$B$10*Assumptions!$B$61*Assumptions!$B$65/(1+Assumptions!$B$5)^'Healthy Behavior Incentives'!U22</f>
        <v>4329224.6079507917</v>
      </c>
      <c r="V27" s="3">
        <f>Assumptions!$B$10*Assumptions!$B$61*Assumptions!$B$65/(1+Assumptions!$B$5)^'Healthy Behavior Incentives'!V22</f>
        <v>4046004.3064960674</v>
      </c>
      <c r="W27" s="3">
        <f>Assumptions!$B$10*Assumptions!$B$61*Assumptions!$B$65/(1+Assumptions!$B$5)^'Healthy Behavior Incentives'!W22</f>
        <v>3781312.4359776326</v>
      </c>
      <c r="X27" s="3">
        <f>Assumptions!$B$10*Assumptions!$B$61*Assumptions!$B$65/(1+Assumptions!$B$5)^'Healthy Behavior Incentives'!X22</f>
        <v>3533936.8560538627</v>
      </c>
      <c r="Y27" s="3">
        <f>Assumptions!$B$10*Assumptions!$B$61*Assumptions!$B$65/(1+Assumptions!$B$5)^'Healthy Behavior Incentives'!Y22</f>
        <v>3302744.7252839836</v>
      </c>
      <c r="Z27" s="3">
        <f>Assumptions!$B$10*Assumptions!$B$61*Assumptions!$B$65/(1+Assumptions!$B$5)^'Healthy Behavior Incentives'!Z22</f>
        <v>3086677.3133495171</v>
      </c>
      <c r="AA27" s="3">
        <f>Assumptions!$B$10*Assumptions!$B$61*Assumptions!$B$65/(1+Assumptions!$B$5)^'Healthy Behavior Incentives'!AA22</f>
        <v>2884745.1526631</v>
      </c>
      <c r="AB27" s="52">
        <f t="shared" si="0"/>
        <v>189332936.78662857</v>
      </c>
    </row>
    <row r="28" spans="1:29">
      <c r="A28" s="2"/>
      <c r="B28" s="3"/>
      <c r="C28" s="3"/>
      <c r="D28" s="3"/>
      <c r="E28" s="3"/>
      <c r="F28" s="3"/>
      <c r="G28" s="3"/>
      <c r="H28" s="3"/>
      <c r="I28" s="3"/>
      <c r="J28" s="3"/>
      <c r="K28" s="3"/>
      <c r="L28" s="3"/>
      <c r="M28" s="23"/>
      <c r="AB28" s="52"/>
    </row>
    <row r="29" spans="1:29">
      <c r="A29" s="83" t="s">
        <v>82</v>
      </c>
      <c r="B29" s="54">
        <f>SUM(B24:B27)</f>
        <v>18802053.32</v>
      </c>
      <c r="C29" s="54">
        <f t="shared" ref="C29:AA29" si="1">SUM(C24:C27)</f>
        <v>22493960.037383176</v>
      </c>
      <c r="D29" s="54">
        <f t="shared" si="1"/>
        <v>22869036.597082715</v>
      </c>
      <c r="E29" s="54">
        <f t="shared" si="1"/>
        <v>21372931.399142724</v>
      </c>
      <c r="F29" s="54">
        <f t="shared" si="1"/>
        <v>19974702.242189463</v>
      </c>
      <c r="G29" s="54">
        <f t="shared" si="1"/>
        <v>18667946.020737816</v>
      </c>
      <c r="H29" s="54">
        <f t="shared" si="1"/>
        <v>17446678.524054036</v>
      </c>
      <c r="I29" s="54">
        <f t="shared" si="1"/>
        <v>16305307.031826198</v>
      </c>
      <c r="J29" s="54">
        <f t="shared" si="1"/>
        <v>15238604.702641305</v>
      </c>
      <c r="K29" s="54">
        <f t="shared" si="1"/>
        <v>14241686.637982529</v>
      </c>
      <c r="L29" s="54">
        <f t="shared" si="1"/>
        <v>13309987.512133205</v>
      </c>
      <c r="M29" s="54">
        <f t="shared" si="1"/>
        <v>12439240.66554505</v>
      </c>
      <c r="N29" s="54">
        <f t="shared" si="1"/>
        <v>11625458.565929955</v>
      </c>
      <c r="O29" s="54">
        <f t="shared" si="1"/>
        <v>10864914.547598088</v>
      </c>
      <c r="P29" s="54">
        <f t="shared" si="1"/>
        <v>10154125.745418776</v>
      </c>
      <c r="Q29" s="54">
        <f t="shared" si="1"/>
        <v>9489837.1452511884</v>
      </c>
      <c r="R29" s="54">
        <f t="shared" si="1"/>
        <v>8869006.67780485</v>
      </c>
      <c r="S29" s="54">
        <f t="shared" si="1"/>
        <v>8288791.2876680847</v>
      </c>
      <c r="T29" s="54">
        <f t="shared" si="1"/>
        <v>7746533.9137084913</v>
      </c>
      <c r="U29" s="54">
        <f t="shared" si="1"/>
        <v>7239751.3212228883</v>
      </c>
      <c r="V29" s="54">
        <f t="shared" si="1"/>
        <v>6766122.7301148493</v>
      </c>
      <c r="W29" s="54">
        <f t="shared" si="1"/>
        <v>6323479.1870232224</v>
      </c>
      <c r="X29" s="54">
        <f>SUM(X24:X27)</f>
        <v>5909793.6327319853</v>
      </c>
      <c r="Y29" s="54">
        <f t="shared" si="1"/>
        <v>5523171.6193756871</v>
      </c>
      <c r="Z29" s="54">
        <f t="shared" si="1"/>
        <v>5161842.6349305473</v>
      </c>
      <c r="AA29" s="54">
        <f t="shared" si="1"/>
        <v>4824151.9952621935</v>
      </c>
      <c r="AB29" s="47">
        <f>SUM(AB24:AB27)</f>
        <v>321949115.69475895</v>
      </c>
    </row>
    <row r="30" spans="1:29" s="50" customFormat="1">
      <c r="A30" s="81"/>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82"/>
    </row>
    <row r="31" spans="1:29" s="50" customFormat="1">
      <c r="A31" s="81"/>
      <c r="B31" s="75"/>
      <c r="C31" s="75"/>
      <c r="D31" s="148" t="s">
        <v>176</v>
      </c>
      <c r="E31" s="148"/>
      <c r="F31" s="148"/>
      <c r="G31" s="23">
        <f>AB29</f>
        <v>321949115.69475895</v>
      </c>
      <c r="H31" s="75"/>
      <c r="I31" s="75"/>
      <c r="J31" s="75"/>
      <c r="K31" s="75"/>
      <c r="L31" s="75"/>
      <c r="M31" s="75"/>
      <c r="N31" s="75"/>
      <c r="O31" s="75"/>
      <c r="P31" s="75"/>
      <c r="Q31" s="75"/>
      <c r="R31" s="75"/>
      <c r="S31" s="75"/>
      <c r="T31" s="75"/>
      <c r="U31" s="75"/>
      <c r="V31" s="75"/>
      <c r="W31" s="75"/>
      <c r="X31" s="75"/>
      <c r="Y31" s="75"/>
      <c r="Z31" s="75"/>
      <c r="AA31" s="75"/>
      <c r="AB31" s="82"/>
    </row>
    <row r="32" spans="1:29">
      <c r="A32" s="20"/>
      <c r="B32" s="3"/>
      <c r="C32" s="3"/>
      <c r="D32" s="3"/>
      <c r="E32" s="3"/>
      <c r="F32" s="3"/>
      <c r="G32" s="3"/>
      <c r="H32" s="3"/>
      <c r="I32" s="3"/>
      <c r="J32" s="3"/>
      <c r="K32" s="3"/>
      <c r="L32" s="3"/>
      <c r="M32" s="3"/>
    </row>
    <row r="33" spans="1:30">
      <c r="A33" s="24"/>
      <c r="B33" s="3"/>
      <c r="C33" s="3"/>
      <c r="D33" s="3"/>
      <c r="E33" s="3"/>
      <c r="F33" s="3"/>
      <c r="G33" s="3"/>
      <c r="H33" s="3"/>
      <c r="I33" s="3"/>
      <c r="J33" s="3"/>
      <c r="K33" s="3"/>
      <c r="L33" s="3"/>
      <c r="M33" s="3"/>
    </row>
    <row r="34" spans="1:30" ht="21">
      <c r="A34" s="13" t="s">
        <v>34</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row>
    <row r="35" spans="1:30">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30" ht="19">
      <c r="A36" s="17" t="s">
        <v>19</v>
      </c>
      <c r="B36" s="17" t="s">
        <v>22</v>
      </c>
      <c r="C36" s="17" t="s">
        <v>23</v>
      </c>
      <c r="D36" s="17" t="s">
        <v>24</v>
      </c>
      <c r="E36" s="17" t="s">
        <v>25</v>
      </c>
      <c r="F36" s="17" t="s">
        <v>26</v>
      </c>
      <c r="G36" s="17" t="s">
        <v>27</v>
      </c>
      <c r="H36" s="17" t="s">
        <v>28</v>
      </c>
      <c r="I36" s="17" t="s">
        <v>29</v>
      </c>
      <c r="J36" s="17" t="s">
        <v>30</v>
      </c>
      <c r="K36" s="17" t="s">
        <v>31</v>
      </c>
      <c r="L36" s="17" t="s">
        <v>83</v>
      </c>
      <c r="M36" s="17" t="s">
        <v>84</v>
      </c>
      <c r="N36" s="17" t="s">
        <v>85</v>
      </c>
      <c r="O36" s="17" t="s">
        <v>86</v>
      </c>
      <c r="P36" s="17" t="s">
        <v>87</v>
      </c>
      <c r="Q36" s="17" t="s">
        <v>88</v>
      </c>
      <c r="R36" s="17" t="s">
        <v>89</v>
      </c>
      <c r="S36" s="17" t="s">
        <v>90</v>
      </c>
      <c r="T36" s="17" t="s">
        <v>91</v>
      </c>
      <c r="U36" s="17" t="s">
        <v>92</v>
      </c>
      <c r="V36" s="17" t="s">
        <v>93</v>
      </c>
      <c r="W36" s="17" t="s">
        <v>94</v>
      </c>
      <c r="X36" s="17" t="s">
        <v>95</v>
      </c>
      <c r="Y36" s="17" t="s">
        <v>96</v>
      </c>
      <c r="Z36" s="17" t="s">
        <v>97</v>
      </c>
      <c r="AA36" s="17" t="s">
        <v>99</v>
      </c>
    </row>
    <row r="37" spans="1:30" ht="21">
      <c r="A37" s="19" t="s">
        <v>6</v>
      </c>
      <c r="B37" s="19">
        <v>0</v>
      </c>
      <c r="C37" s="19">
        <v>1</v>
      </c>
      <c r="D37" s="19">
        <v>2</v>
      </c>
      <c r="E37" s="19">
        <v>3</v>
      </c>
      <c r="F37" s="19">
        <v>4</v>
      </c>
      <c r="G37" s="19">
        <v>5</v>
      </c>
      <c r="H37" s="19">
        <v>6</v>
      </c>
      <c r="I37" s="19">
        <v>7</v>
      </c>
      <c r="J37" s="19">
        <v>8</v>
      </c>
      <c r="K37" s="19">
        <v>9</v>
      </c>
      <c r="L37" s="19">
        <v>10</v>
      </c>
      <c r="M37" s="19">
        <v>11</v>
      </c>
      <c r="N37" s="19">
        <v>12</v>
      </c>
      <c r="O37" s="19">
        <v>13</v>
      </c>
      <c r="P37" s="19">
        <v>14</v>
      </c>
      <c r="Q37" s="19">
        <v>15</v>
      </c>
      <c r="R37" s="19">
        <v>16</v>
      </c>
      <c r="S37" s="19">
        <v>17</v>
      </c>
      <c r="T37" s="19">
        <v>18</v>
      </c>
      <c r="U37" s="19">
        <v>19</v>
      </c>
      <c r="V37" s="19">
        <v>20</v>
      </c>
      <c r="W37" s="19">
        <v>21</v>
      </c>
      <c r="X37" s="19">
        <v>22</v>
      </c>
      <c r="Y37" s="19">
        <v>23</v>
      </c>
      <c r="Z37" s="19">
        <v>24</v>
      </c>
      <c r="AA37" s="19">
        <v>25</v>
      </c>
      <c r="AB37" s="51" t="s">
        <v>113</v>
      </c>
    </row>
    <row r="38" spans="1:30">
      <c r="A38" s="24" t="s">
        <v>47</v>
      </c>
      <c r="B38" s="3"/>
      <c r="C38" s="3"/>
      <c r="D38" s="3"/>
      <c r="E38" s="3"/>
      <c r="F38" s="3"/>
      <c r="G38" s="3"/>
      <c r="H38" s="3"/>
      <c r="I38" s="3"/>
      <c r="J38" s="3"/>
      <c r="K38" s="3"/>
      <c r="L38" s="3"/>
      <c r="M38" s="3"/>
      <c r="AB38" s="27"/>
    </row>
    <row r="39" spans="1:30">
      <c r="A39" s="32" t="s">
        <v>48</v>
      </c>
      <c r="B39" s="3">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54">
        <f>SUM(B39:AA39)</f>
        <v>0</v>
      </c>
    </row>
    <row r="40" spans="1:30" s="21" customFormat="1">
      <c r="A40" s="33"/>
      <c r="B40" s="3"/>
      <c r="C40" s="3"/>
      <c r="D40" s="3"/>
      <c r="E40" s="3"/>
      <c r="F40" s="3"/>
      <c r="G40" s="3"/>
      <c r="H40" s="3"/>
      <c r="I40" s="3"/>
      <c r="J40" s="3"/>
      <c r="K40" s="3"/>
      <c r="L40" s="3"/>
      <c r="M40" s="3"/>
      <c r="AB40" s="84"/>
    </row>
    <row r="41" spans="1:30">
      <c r="A41" s="24" t="s">
        <v>49</v>
      </c>
      <c r="B41" s="3"/>
      <c r="C41" s="3"/>
      <c r="D41" s="3"/>
      <c r="E41" s="3"/>
      <c r="F41" s="3"/>
      <c r="G41" s="3"/>
      <c r="H41" s="3"/>
      <c r="I41" s="3"/>
      <c r="J41" s="3"/>
      <c r="K41" s="3"/>
      <c r="L41" s="3"/>
      <c r="M41" s="3"/>
      <c r="AB41" s="27"/>
    </row>
    <row r="42" spans="1:30">
      <c r="A42" s="32" t="s">
        <v>103</v>
      </c>
      <c r="B42" s="3">
        <f>Assumptions!B8*Assumptions!B61*Assumptions!B67/(1+Assumptions!B5)^'Healthy Behavior Incentives'!B37</f>
        <v>3924482.5200000005</v>
      </c>
      <c r="C42" s="3">
        <f>Assumptions!B9*Assumptions!B61*Assumptions!B67/(1+Assumptions!B5)^'Healthy Behavior Incentives'!C37</f>
        <v>5744281.9065420562</v>
      </c>
      <c r="D42" s="3">
        <f>Assumptions!$B$10*Assumptions!$B$67*Assumptions!$B$61/(1+Assumptions!$B$5)^'Healthy Behavior Incentives'!D37</f>
        <v>6147576.2075290428</v>
      </c>
      <c r="E42" s="3">
        <f>Assumptions!$B$10*Assumptions!$B$67*Assumptions!$B$61/(1+Assumptions!$B$5)^'Healthy Behavior Incentives'!E37</f>
        <v>5745398.3247934971</v>
      </c>
      <c r="F42" s="3">
        <f>Assumptions!$B$10*Assumptions!$B$67*Assumptions!$B$61/(1+Assumptions!$B$5)^'Healthy Behavior Incentives'!F37</f>
        <v>5369531.1446668208</v>
      </c>
      <c r="G42" s="3">
        <f>Assumptions!$B$10*Assumptions!$B$67*Assumptions!$B$61/(1+Assumptions!$B$5)^'Healthy Behavior Incentives'!G37</f>
        <v>5018253.4062306723</v>
      </c>
      <c r="H42" s="3">
        <f>Assumptions!$B$10*Assumptions!$B$67*Assumptions!$B$61/(1+Assumptions!$B$5)^'Healthy Behavior Incentives'!H37</f>
        <v>4689956.4544211896</v>
      </c>
      <c r="I42" s="3">
        <f>Assumptions!$B$10*Assumptions!$B$67*Assumptions!$B$61/(1+Assumptions!$B$5)^'Healthy Behavior Incentives'!I37</f>
        <v>4383136.8732908312</v>
      </c>
      <c r="J42" s="3">
        <f>Assumptions!$B$10*Assumptions!$B$67*Assumptions!$B$61/(1+Assumptions!$B$5)^'Healthy Behavior Incentives'!J37</f>
        <v>4096389.6012063846</v>
      </c>
      <c r="K42" s="3">
        <f>Assumptions!$B$10*Assumptions!$B$67*Assumptions!$B$61/(1+Assumptions!$B$5)^'Healthy Behavior Incentives'!K37</f>
        <v>3828401.4964545644</v>
      </c>
      <c r="L42" s="3">
        <f>Assumptions!$B$10*Assumptions!$B$67*Assumptions!$B$61/(1+Assumptions!$B$5)^'Healthy Behavior Incentives'!L37</f>
        <v>3577945.323789313</v>
      </c>
      <c r="M42" s="3">
        <f>Assumptions!$B$10*Assumptions!$B$67*Assumptions!$B$61/(1+Assumptions!$B$5)^'Healthy Behavior Incentives'!M37</f>
        <v>3343874.1343825348</v>
      </c>
      <c r="N42" s="3">
        <f>Assumptions!$B$10*Assumptions!$B$67*Assumptions!$B$61/(1+Assumptions!$B$5)^'Healthy Behavior Incentives'!N37</f>
        <v>3125116.0134416218</v>
      </c>
      <c r="O42" s="3">
        <f>Assumptions!$B$10*Assumptions!$B$67*Assumptions!$B$61/(1+Assumptions!$B$5)^'Healthy Behavior Incentives'!O37</f>
        <v>2920669.1714407681</v>
      </c>
      <c r="P42" s="3">
        <f>Assumptions!$B$10*Assumptions!$B$67*Assumptions!$B$61/(1+Assumptions!$B$5)^'Healthy Behavior Incentives'!P37</f>
        <v>2729597.3564866991</v>
      </c>
      <c r="Q42" s="3">
        <f>Assumptions!$B$10*Assumptions!$B$67*Assumptions!$B$61/(1+Assumptions!$B$5)^'Healthy Behavior Incentives'!Q37</f>
        <v>2551025.5668099988</v>
      </c>
      <c r="R42" s="3">
        <f>Assumptions!$B$10*Assumptions!$B$67*Assumptions!$B$61/(1+Assumptions!$B$5)^'Healthy Behavior Incentives'!R37</f>
        <v>2384136.043747663</v>
      </c>
      <c r="S42" s="3">
        <f>Assumptions!$B$10*Assumptions!$B$67*Assumptions!$B$61/(1+Assumptions!$B$5)^'Healthy Behavior Incentives'!S37</f>
        <v>2228164.5268669748</v>
      </c>
      <c r="T42" s="3">
        <f>Assumptions!$B$10*Assumptions!$B$67*Assumptions!$B$61/(1+Assumptions!$B$5)^'Healthy Behavior Incentives'!T37</f>
        <v>2082396.7540812846</v>
      </c>
      <c r="U42" s="3">
        <f>Assumptions!$B$10*Assumptions!$B$67*Assumptions!$B$61/(1+Assumptions!$B$5)^'Healthy Behavior Incentives'!U37</f>
        <v>1946165.1907301724</v>
      </c>
      <c r="V42" s="3">
        <f>Assumptions!$B$10*Assumptions!$B$67*Assumptions!$B$61/(1+Assumptions!$B$5)^'Healthy Behavior Incentives'!V37</f>
        <v>1818845.972645021</v>
      </c>
      <c r="W42" s="3">
        <f>Assumptions!$B$10*Assumptions!$B$67*Assumptions!$B$61/(1+Assumptions!$B$5)^'Healthy Behavior Incentives'!W37</f>
        <v>1699856.0492009541</v>
      </c>
      <c r="X42" s="3">
        <f>Assumptions!$B$10*Assumptions!$B$67*Assumptions!$B$61/(1+Assumptions!$B$5)^'Healthy Behavior Incentives'!X37</f>
        <v>1588650.5132719199</v>
      </c>
      <c r="Y42" s="3">
        <f>Assumptions!$B$10*Assumptions!$B$67*Assumptions!$B$61/(1+Assumptions!$B$5)^'Healthy Behavior Incentives'!Y37</f>
        <v>1484720.1058616072</v>
      </c>
      <c r="Z42" s="3">
        <f>Assumptions!$B$10*Assumptions!$B$67*Assumptions!$B$61/(1+Assumptions!$B$5)^'Healthy Behavior Incentives'!Z37</f>
        <v>1387588.8839828104</v>
      </c>
      <c r="AA42" s="3">
        <f>Assumptions!$B$10*Assumptions!$B$67*Assumptions!$B$61/(1+Assumptions!$B$5)^'Healthy Behavior Incentives'!AA37</f>
        <v>1296812.0411054303</v>
      </c>
      <c r="AB42" s="54">
        <f>SUM(B42:AA42)</f>
        <v>85112971.582979813</v>
      </c>
    </row>
    <row r="43" spans="1:30">
      <c r="AB43" s="27"/>
    </row>
    <row r="44" spans="1:30">
      <c r="A44" s="70" t="s">
        <v>82</v>
      </c>
      <c r="B44" s="54">
        <f>SUM(B39:B43)</f>
        <v>3924482.5200000005</v>
      </c>
      <c r="C44" s="54">
        <f t="shared" ref="C44:AA44" si="2">SUM(C39:C43)</f>
        <v>5744281.9065420562</v>
      </c>
      <c r="D44" s="54">
        <f t="shared" si="2"/>
        <v>6147576.2075290428</v>
      </c>
      <c r="E44" s="54">
        <f t="shared" si="2"/>
        <v>5745398.3247934971</v>
      </c>
      <c r="F44" s="54">
        <f t="shared" si="2"/>
        <v>5369531.1446668208</v>
      </c>
      <c r="G44" s="54">
        <f t="shared" si="2"/>
        <v>5018253.4062306723</v>
      </c>
      <c r="H44" s="54">
        <f t="shared" si="2"/>
        <v>4689956.4544211896</v>
      </c>
      <c r="I44" s="54">
        <f t="shared" si="2"/>
        <v>4383136.8732908312</v>
      </c>
      <c r="J44" s="54">
        <f t="shared" si="2"/>
        <v>4096389.6012063846</v>
      </c>
      <c r="K44" s="54">
        <f t="shared" si="2"/>
        <v>3828401.4964545644</v>
      </c>
      <c r="L44" s="54">
        <f t="shared" si="2"/>
        <v>3577945.323789313</v>
      </c>
      <c r="M44" s="54">
        <f t="shared" si="2"/>
        <v>3343874.1343825348</v>
      </c>
      <c r="N44" s="54">
        <f t="shared" si="2"/>
        <v>3125116.0134416218</v>
      </c>
      <c r="O44" s="54">
        <f t="shared" si="2"/>
        <v>2920669.1714407681</v>
      </c>
      <c r="P44" s="54">
        <f t="shared" si="2"/>
        <v>2729597.3564866991</v>
      </c>
      <c r="Q44" s="54">
        <f t="shared" si="2"/>
        <v>2551025.5668099988</v>
      </c>
      <c r="R44" s="54">
        <f t="shared" si="2"/>
        <v>2384136.043747663</v>
      </c>
      <c r="S44" s="54">
        <f t="shared" si="2"/>
        <v>2228164.5268669748</v>
      </c>
      <c r="T44" s="54">
        <f t="shared" si="2"/>
        <v>2082396.7540812846</v>
      </c>
      <c r="U44" s="54">
        <f t="shared" si="2"/>
        <v>1946165.1907301724</v>
      </c>
      <c r="V44" s="54">
        <f t="shared" si="2"/>
        <v>1818845.972645021</v>
      </c>
      <c r="W44" s="54">
        <f t="shared" si="2"/>
        <v>1699856.0492009541</v>
      </c>
      <c r="X44" s="54">
        <f t="shared" si="2"/>
        <v>1588650.5132719199</v>
      </c>
      <c r="Y44" s="54">
        <f t="shared" si="2"/>
        <v>1484720.1058616072</v>
      </c>
      <c r="Z44" s="54">
        <f t="shared" si="2"/>
        <v>1387588.8839828104</v>
      </c>
      <c r="AA44" s="54">
        <f t="shared" si="2"/>
        <v>1296812.0411054303</v>
      </c>
      <c r="AB44" s="23">
        <f>SUM(AB38:AB43)</f>
        <v>85112971.582979813</v>
      </c>
      <c r="AC44" s="3"/>
      <c r="AD44" s="3"/>
    </row>
    <row r="47" spans="1:30">
      <c r="D47" s="149" t="s">
        <v>177</v>
      </c>
      <c r="E47" s="149"/>
      <c r="F47" s="149"/>
      <c r="G47" s="23">
        <f>AB44</f>
        <v>85112971.582979813</v>
      </c>
    </row>
  </sheetData>
  <mergeCells count="4">
    <mergeCell ref="D4:E4"/>
    <mergeCell ref="A1:B2"/>
    <mergeCell ref="D31:F31"/>
    <mergeCell ref="D47:F47"/>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23D1D-0D5B-3C44-9733-B4763DB93962}">
  <dimension ref="A1:I83"/>
  <sheetViews>
    <sheetView workbookViewId="0">
      <selection activeCell="I67" sqref="I67"/>
    </sheetView>
  </sheetViews>
  <sheetFormatPr baseColWidth="10" defaultRowHeight="16"/>
  <cols>
    <col min="1" max="1" width="24" bestFit="1" customWidth="1"/>
    <col min="2" max="2" width="18.33203125" bestFit="1" customWidth="1"/>
    <col min="3" max="3" width="28.5" customWidth="1"/>
    <col min="4" max="4" width="32.33203125" customWidth="1"/>
    <col min="8" max="8" width="69.6640625" bestFit="1" customWidth="1"/>
  </cols>
  <sheetData>
    <row r="1" spans="1:9">
      <c r="A1" s="152" t="s">
        <v>159</v>
      </c>
      <c r="B1" s="152"/>
      <c r="C1" s="152"/>
      <c r="D1" s="152"/>
      <c r="E1" s="152"/>
      <c r="F1" s="152"/>
      <c r="G1" s="152"/>
      <c r="H1" s="152"/>
      <c r="I1" s="152"/>
    </row>
    <row r="2" spans="1:9" ht="26" customHeight="1">
      <c r="A2" s="48" t="s">
        <v>117</v>
      </c>
      <c r="B2" s="48" t="s">
        <v>21</v>
      </c>
      <c r="C2" s="87" t="s">
        <v>118</v>
      </c>
      <c r="D2" s="87" t="s">
        <v>121</v>
      </c>
      <c r="H2" s="142" t="s">
        <v>122</v>
      </c>
      <c r="I2" s="142"/>
    </row>
    <row r="3" spans="1:9">
      <c r="A3" s="85" t="s">
        <v>15</v>
      </c>
      <c r="B3" s="86">
        <v>-943809349.03349495</v>
      </c>
      <c r="C3" s="88">
        <v>6.2331707963374967</v>
      </c>
      <c r="D3" s="88">
        <v>1015.7783801518907</v>
      </c>
      <c r="H3" s="89" t="s">
        <v>123</v>
      </c>
      <c r="I3" s="90">
        <v>4.7905439532660159</v>
      </c>
    </row>
    <row r="4" spans="1:9">
      <c r="A4" s="85" t="s">
        <v>12</v>
      </c>
      <c r="B4" s="86">
        <v>-2926167354.5002079</v>
      </c>
      <c r="C4" s="88">
        <v>19.325196257003331</v>
      </c>
      <c r="D4" s="88">
        <v>1146.1959063683387</v>
      </c>
    </row>
    <row r="5" spans="1:9">
      <c r="A5" s="48" t="s">
        <v>119</v>
      </c>
      <c r="B5" s="86">
        <v>-218438535.72207132</v>
      </c>
      <c r="C5" s="48" t="s">
        <v>120</v>
      </c>
      <c r="D5" s="48" t="s">
        <v>120</v>
      </c>
    </row>
    <row r="6" spans="1:9">
      <c r="A6" s="48" t="s">
        <v>19</v>
      </c>
      <c r="B6" s="86">
        <v>-347055190.4123593</v>
      </c>
      <c r="C6" s="48" t="s">
        <v>120</v>
      </c>
      <c r="D6" s="48" t="s">
        <v>120</v>
      </c>
    </row>
    <row r="8" spans="1:9">
      <c r="A8" s="151" t="s">
        <v>160</v>
      </c>
      <c r="B8" s="151"/>
      <c r="C8" s="151"/>
      <c r="D8" s="151"/>
      <c r="E8" s="151"/>
      <c r="F8" s="151"/>
      <c r="G8" s="151"/>
      <c r="H8" s="151"/>
      <c r="I8" s="151"/>
    </row>
    <row r="9" spans="1:9" ht="17" thickBot="1">
      <c r="A9" s="105" t="s">
        <v>117</v>
      </c>
      <c r="B9" s="106" t="s">
        <v>21</v>
      </c>
      <c r="C9" s="107" t="s">
        <v>118</v>
      </c>
      <c r="D9" s="119" t="s">
        <v>121</v>
      </c>
      <c r="H9" s="142" t="s">
        <v>122</v>
      </c>
      <c r="I9" s="142"/>
    </row>
    <row r="10" spans="1:9" ht="17" thickTop="1">
      <c r="A10" s="108" t="s">
        <v>15</v>
      </c>
      <c r="B10" s="109">
        <v>-760191533.19589686</v>
      </c>
      <c r="C10" s="110">
        <v>6.2434572276680651</v>
      </c>
      <c r="D10" s="120">
        <v>1017.4546914380579</v>
      </c>
      <c r="H10" s="89" t="s">
        <v>123</v>
      </c>
      <c r="I10" s="90">
        <v>4.7728182128864587</v>
      </c>
    </row>
    <row r="11" spans="1:9">
      <c r="A11" s="111" t="s">
        <v>12</v>
      </c>
      <c r="B11" s="112">
        <v>-2361665105.8158345</v>
      </c>
      <c r="C11" s="113">
        <v>19.396368454997841</v>
      </c>
      <c r="D11" s="121">
        <v>1150.4171976247719</v>
      </c>
    </row>
    <row r="12" spans="1:9">
      <c r="A12" s="114" t="s">
        <v>119</v>
      </c>
      <c r="B12" s="109">
        <v>-179062222.52476197</v>
      </c>
      <c r="C12" s="115" t="s">
        <v>120</v>
      </c>
      <c r="D12" s="122" t="s">
        <v>120</v>
      </c>
    </row>
    <row r="13" spans="1:9">
      <c r="A13" s="116" t="s">
        <v>19</v>
      </c>
      <c r="B13" s="117">
        <v>-283533640.86447293</v>
      </c>
      <c r="C13" s="118" t="s">
        <v>120</v>
      </c>
      <c r="D13" s="123" t="s">
        <v>120</v>
      </c>
    </row>
    <row r="15" spans="1:9">
      <c r="A15" s="151" t="s">
        <v>161</v>
      </c>
      <c r="B15" s="151"/>
      <c r="C15" s="151"/>
      <c r="D15" s="151"/>
      <c r="E15" s="151"/>
      <c r="F15" s="151"/>
      <c r="G15" s="151"/>
      <c r="H15" s="151"/>
      <c r="I15" s="151"/>
    </row>
    <row r="16" spans="1:9" ht="17" thickBot="1">
      <c r="A16" s="105" t="s">
        <v>117</v>
      </c>
      <c r="B16" s="106" t="s">
        <v>21</v>
      </c>
      <c r="C16" s="107" t="s">
        <v>118</v>
      </c>
      <c r="D16" s="119" t="s">
        <v>121</v>
      </c>
      <c r="H16" s="142" t="s">
        <v>122</v>
      </c>
      <c r="I16" s="142"/>
    </row>
    <row r="17" spans="1:9" ht="17" thickTop="1">
      <c r="A17" s="108" t="s">
        <v>15</v>
      </c>
      <c r="B17" s="109">
        <v>-529663600.20347029</v>
      </c>
      <c r="C17" s="110">
        <v>5.2879330234462714</v>
      </c>
      <c r="D17" s="120">
        <v>1066.4023444583424</v>
      </c>
      <c r="H17" s="89" t="s">
        <v>123</v>
      </c>
      <c r="I17" s="90">
        <v>3.8344542404322994</v>
      </c>
    </row>
    <row r="18" spans="1:9">
      <c r="A18" s="111" t="s">
        <v>12</v>
      </c>
      <c r="B18" s="112">
        <v>-1947227440.216892</v>
      </c>
      <c r="C18" s="113">
        <v>19.440279228793774</v>
      </c>
      <c r="D18" s="121">
        <v>1153.0215876915545</v>
      </c>
    </row>
    <row r="19" spans="1:9">
      <c r="A19" s="114" t="s">
        <v>119</v>
      </c>
      <c r="B19" s="109">
        <v>-145587094.54470474</v>
      </c>
      <c r="C19" s="115" t="s">
        <v>120</v>
      </c>
      <c r="D19" s="122" t="s">
        <v>120</v>
      </c>
    </row>
    <row r="20" spans="1:9">
      <c r="A20" s="116" t="s">
        <v>19</v>
      </c>
      <c r="B20" s="117">
        <v>-236836144.11177915</v>
      </c>
      <c r="C20" s="118" t="s">
        <v>120</v>
      </c>
      <c r="D20" s="123" t="s">
        <v>120</v>
      </c>
    </row>
    <row r="22" spans="1:9">
      <c r="A22" s="151" t="s">
        <v>163</v>
      </c>
      <c r="B22" s="151"/>
      <c r="C22" s="151"/>
      <c r="D22" s="151"/>
      <c r="E22" s="151"/>
      <c r="F22" s="151"/>
      <c r="G22" s="151"/>
      <c r="H22" s="151"/>
      <c r="I22" s="151"/>
    </row>
    <row r="23" spans="1:9" ht="17" thickBot="1">
      <c r="A23" s="105" t="s">
        <v>117</v>
      </c>
      <c r="B23" s="106" t="s">
        <v>21</v>
      </c>
      <c r="C23" s="107" t="s">
        <v>118</v>
      </c>
      <c r="D23" s="119" t="s">
        <v>121</v>
      </c>
      <c r="H23" s="142" t="s">
        <v>122</v>
      </c>
      <c r="I23" s="142"/>
    </row>
    <row r="24" spans="1:9" ht="17" thickTop="1">
      <c r="A24" s="108" t="s">
        <v>15</v>
      </c>
      <c r="B24" s="109">
        <v>-625406445.20344162</v>
      </c>
      <c r="C24" s="110">
        <v>6.2437883090266997</v>
      </c>
      <c r="D24" s="120">
        <v>1017.5086455646431</v>
      </c>
      <c r="H24" s="89" t="s">
        <v>123</v>
      </c>
      <c r="I24" s="90">
        <v>4.7451371225349677</v>
      </c>
    </row>
    <row r="25" spans="1:9">
      <c r="A25" s="111" t="s">
        <v>12</v>
      </c>
      <c r="B25" s="112">
        <v>-2394127823.456871</v>
      </c>
      <c r="C25" s="113">
        <v>23.901939976894386</v>
      </c>
      <c r="D25" s="121">
        <v>1417.6469615851813</v>
      </c>
    </row>
    <row r="26" spans="1:9">
      <c r="A26" s="114" t="s">
        <v>119</v>
      </c>
      <c r="B26" s="109">
        <v>-150111769.45071957</v>
      </c>
      <c r="C26" s="115" t="s">
        <v>120</v>
      </c>
      <c r="D26" s="122" t="s">
        <v>120</v>
      </c>
    </row>
    <row r="27" spans="1:9">
      <c r="A27" s="116" t="s">
        <v>19</v>
      </c>
      <c r="B27" s="117">
        <v>-236836144.11177915</v>
      </c>
      <c r="C27" s="118" t="s">
        <v>120</v>
      </c>
      <c r="D27" s="123" t="s">
        <v>120</v>
      </c>
    </row>
    <row r="29" spans="1:9">
      <c r="A29" s="151" t="s">
        <v>164</v>
      </c>
      <c r="B29" s="151"/>
      <c r="C29" s="151"/>
      <c r="D29" s="151"/>
      <c r="E29" s="151"/>
      <c r="F29" s="151"/>
      <c r="G29" s="151"/>
      <c r="H29" s="151"/>
      <c r="I29" s="151"/>
    </row>
    <row r="30" spans="1:9" ht="17" thickBot="1">
      <c r="A30" s="105" t="s">
        <v>117</v>
      </c>
      <c r="B30" s="106" t="s">
        <v>21</v>
      </c>
      <c r="C30" s="107" t="s">
        <v>118</v>
      </c>
      <c r="D30" s="119" t="s">
        <v>121</v>
      </c>
      <c r="H30" s="142" t="s">
        <v>122</v>
      </c>
      <c r="I30" s="142"/>
    </row>
    <row r="31" spans="1:9" ht="17" thickTop="1">
      <c r="A31" s="108" t="s">
        <v>15</v>
      </c>
      <c r="B31" s="109">
        <v>-625406445.20344162</v>
      </c>
      <c r="C31" s="110">
        <v>6.2437883090266997</v>
      </c>
      <c r="D31" s="120">
        <v>1017.5086455646431</v>
      </c>
      <c r="H31" s="89" t="s">
        <v>123</v>
      </c>
      <c r="I31" s="90">
        <v>4.7451371225349677</v>
      </c>
    </row>
    <row r="32" spans="1:9">
      <c r="A32" s="111" t="s">
        <v>12</v>
      </c>
      <c r="B32" s="112">
        <v>-1947227440.216892</v>
      </c>
      <c r="C32" s="113">
        <v>19.440279228793774</v>
      </c>
      <c r="D32" s="121">
        <v>1372.1629489455652</v>
      </c>
    </row>
    <row r="33" spans="1:9">
      <c r="A33" s="114" t="s">
        <v>119</v>
      </c>
      <c r="B33" s="109">
        <v>-150111769.45071957</v>
      </c>
      <c r="C33" s="115" t="s">
        <v>120</v>
      </c>
      <c r="D33" s="122" t="s">
        <v>120</v>
      </c>
    </row>
    <row r="34" spans="1:9">
      <c r="A34" s="116" t="s">
        <v>19</v>
      </c>
      <c r="B34" s="117">
        <v>-236836144.11177915</v>
      </c>
      <c r="C34" s="118" t="s">
        <v>120</v>
      </c>
      <c r="D34" s="123" t="s">
        <v>120</v>
      </c>
    </row>
    <row r="36" spans="1:9">
      <c r="A36" s="151" t="s">
        <v>165</v>
      </c>
      <c r="B36" s="151"/>
      <c r="C36" s="151"/>
      <c r="D36" s="151"/>
      <c r="E36" s="151"/>
      <c r="F36" s="151"/>
      <c r="G36" s="151"/>
      <c r="H36" s="151"/>
      <c r="I36" s="151"/>
    </row>
    <row r="37" spans="1:9" ht="17" thickBot="1">
      <c r="A37" s="105" t="s">
        <v>117</v>
      </c>
      <c r="B37" s="106" t="s">
        <v>21</v>
      </c>
      <c r="C37" s="107" t="s">
        <v>118</v>
      </c>
      <c r="D37" s="119" t="s">
        <v>121</v>
      </c>
      <c r="H37" s="142" t="s">
        <v>122</v>
      </c>
      <c r="I37" s="142"/>
    </row>
    <row r="38" spans="1:9" ht="17" thickTop="1">
      <c r="A38" s="108" t="s">
        <v>15</v>
      </c>
      <c r="B38" s="109">
        <v>-625406445.20344162</v>
      </c>
      <c r="C38" s="110">
        <v>6.2437883090266997</v>
      </c>
      <c r="D38" s="120">
        <v>1017.5086455646431</v>
      </c>
      <c r="H38" s="89" t="s">
        <v>123</v>
      </c>
      <c r="I38" s="90">
        <v>4.7451371225349677</v>
      </c>
    </row>
    <row r="39" spans="1:9">
      <c r="A39" s="111" t="s">
        <v>12</v>
      </c>
      <c r="B39" s="112">
        <v>-1450572844.1508527</v>
      </c>
      <c r="C39" s="113">
        <v>14.481893871040109</v>
      </c>
      <c r="D39" s="121">
        <v>858.93500126455388</v>
      </c>
    </row>
    <row r="40" spans="1:9">
      <c r="A40" s="114" t="s">
        <v>119</v>
      </c>
      <c r="B40" s="109">
        <v>-150111769.45071957</v>
      </c>
      <c r="C40" s="115" t="s">
        <v>120</v>
      </c>
      <c r="D40" s="122" t="s">
        <v>120</v>
      </c>
    </row>
    <row r="41" spans="1:9">
      <c r="A41" s="116" t="s">
        <v>19</v>
      </c>
      <c r="B41" s="117">
        <v>-236836144.11177915</v>
      </c>
      <c r="C41" s="118" t="s">
        <v>120</v>
      </c>
      <c r="D41" s="123" t="s">
        <v>120</v>
      </c>
    </row>
    <row r="43" spans="1:9">
      <c r="A43" s="151" t="s">
        <v>166</v>
      </c>
      <c r="B43" s="151"/>
      <c r="C43" s="151"/>
      <c r="D43" s="151"/>
      <c r="E43" s="151"/>
      <c r="F43" s="151"/>
      <c r="G43" s="151"/>
      <c r="H43" s="151"/>
      <c r="I43" s="151"/>
    </row>
    <row r="44" spans="1:9" ht="17" thickBot="1">
      <c r="A44" s="105" t="s">
        <v>117</v>
      </c>
      <c r="B44" s="106" t="s">
        <v>21</v>
      </c>
      <c r="C44" s="107" t="s">
        <v>118</v>
      </c>
      <c r="D44" s="119" t="s">
        <v>121</v>
      </c>
      <c r="H44" s="142" t="s">
        <v>122</v>
      </c>
      <c r="I44" s="142"/>
    </row>
    <row r="45" spans="1:9" ht="17" thickTop="1">
      <c r="A45" s="108" t="s">
        <v>15</v>
      </c>
      <c r="B45" s="109">
        <v>-625406445.20344162</v>
      </c>
      <c r="C45" s="110">
        <v>6.2437883090266997</v>
      </c>
      <c r="D45" s="120">
        <v>1017.5086455646431</v>
      </c>
      <c r="H45" s="89" t="s">
        <v>123</v>
      </c>
      <c r="I45" s="90">
        <v>4.7451371225349677</v>
      </c>
    </row>
    <row r="46" spans="1:9">
      <c r="A46" s="111" t="s">
        <v>12</v>
      </c>
      <c r="B46" s="112">
        <v>-2443882036.2829304</v>
      </c>
      <c r="C46" s="113">
        <v>24.398664586547429</v>
      </c>
      <c r="D46" s="121">
        <v>1447.1081741185546</v>
      </c>
    </row>
    <row r="47" spans="1:9">
      <c r="A47" s="114" t="s">
        <v>119</v>
      </c>
      <c r="B47" s="109">
        <v>-150111769.45071957</v>
      </c>
      <c r="C47" s="115" t="s">
        <v>120</v>
      </c>
      <c r="D47" s="122" t="s">
        <v>120</v>
      </c>
    </row>
    <row r="48" spans="1:9">
      <c r="A48" s="116" t="s">
        <v>19</v>
      </c>
      <c r="B48" s="117">
        <v>-236836144.11177915</v>
      </c>
      <c r="C48" s="118" t="s">
        <v>120</v>
      </c>
      <c r="D48" s="123" t="s">
        <v>120</v>
      </c>
    </row>
    <row r="49" spans="1:9">
      <c r="A49" s="48"/>
      <c r="B49" s="86"/>
      <c r="C49" s="48"/>
      <c r="D49" s="48"/>
    </row>
    <row r="50" spans="1:9">
      <c r="A50" s="151" t="s">
        <v>167</v>
      </c>
      <c r="B50" s="151"/>
      <c r="C50" s="151"/>
      <c r="D50" s="151"/>
      <c r="E50" s="151"/>
      <c r="F50" s="151"/>
      <c r="G50" s="151"/>
      <c r="H50" s="151"/>
      <c r="I50" s="151"/>
    </row>
    <row r="51" spans="1:9" ht="17" thickBot="1">
      <c r="A51" s="105" t="s">
        <v>117</v>
      </c>
      <c r="B51" s="106" t="s">
        <v>21</v>
      </c>
      <c r="C51" s="107" t="s">
        <v>118</v>
      </c>
      <c r="D51" s="119" t="s">
        <v>121</v>
      </c>
      <c r="H51" s="142" t="s">
        <v>122</v>
      </c>
      <c r="I51" s="142"/>
    </row>
    <row r="52" spans="1:9" ht="17" thickTop="1">
      <c r="A52" s="108" t="s">
        <v>15</v>
      </c>
      <c r="B52" s="109">
        <v>-625406445.20344162</v>
      </c>
      <c r="C52" s="110">
        <v>6.2437883090266997</v>
      </c>
      <c r="D52" s="120">
        <v>1017.5086455646431</v>
      </c>
      <c r="H52" s="89" t="s">
        <v>123</v>
      </c>
      <c r="I52" s="90">
        <v>4.7451371225349677</v>
      </c>
    </row>
    <row r="53" spans="1:9">
      <c r="A53" s="111" t="s">
        <v>12</v>
      </c>
      <c r="B53" s="112">
        <v>-1947227440.216892</v>
      </c>
      <c r="C53" s="113">
        <v>19.440279228793774</v>
      </c>
      <c r="D53" s="121">
        <v>1153.0215876915545</v>
      </c>
    </row>
    <row r="54" spans="1:9">
      <c r="A54" s="114" t="s">
        <v>119</v>
      </c>
      <c r="B54" s="109">
        <v>-150111769.45071957</v>
      </c>
      <c r="C54" s="115" t="s">
        <v>120</v>
      </c>
      <c r="D54" s="122" t="s">
        <v>120</v>
      </c>
    </row>
    <row r="55" spans="1:9">
      <c r="A55" s="116" t="s">
        <v>19</v>
      </c>
      <c r="B55" s="117">
        <v>-266613277.02710742</v>
      </c>
      <c r="C55" s="118" t="s">
        <v>120</v>
      </c>
      <c r="D55" s="123" t="s">
        <v>120</v>
      </c>
    </row>
    <row r="56" spans="1:9" s="50" customFormat="1">
      <c r="A56" s="127"/>
      <c r="B56" s="128"/>
      <c r="C56" s="127"/>
      <c r="D56" s="127"/>
    </row>
    <row r="57" spans="1:9">
      <c r="A57" s="151" t="s">
        <v>168</v>
      </c>
      <c r="B57" s="151"/>
      <c r="C57" s="151"/>
      <c r="D57" s="151"/>
      <c r="E57" s="151"/>
      <c r="F57" s="151"/>
      <c r="G57" s="151"/>
      <c r="H57" s="151"/>
      <c r="I57" s="151"/>
    </row>
    <row r="58" spans="1:9" ht="17" thickBot="1">
      <c r="A58" s="105" t="s">
        <v>117</v>
      </c>
      <c r="B58" s="106" t="s">
        <v>21</v>
      </c>
      <c r="C58" s="107" t="s">
        <v>118</v>
      </c>
      <c r="D58" s="119" t="s">
        <v>121</v>
      </c>
      <c r="H58" s="142" t="s">
        <v>122</v>
      </c>
      <c r="I58" s="142"/>
    </row>
    <row r="59" spans="1:9" ht="17" thickTop="1">
      <c r="A59" s="108" t="s">
        <v>15</v>
      </c>
      <c r="B59" s="109">
        <v>-625406445.20344162</v>
      </c>
      <c r="C59" s="110">
        <v>6.2437883090266997</v>
      </c>
      <c r="D59" s="120">
        <v>1017.5086455646431</v>
      </c>
      <c r="H59" s="89" t="s">
        <v>123</v>
      </c>
      <c r="I59" s="90">
        <v>4.7451371225349677</v>
      </c>
    </row>
    <row r="60" spans="1:9">
      <c r="A60" s="111" t="s">
        <v>12</v>
      </c>
      <c r="B60" s="112">
        <v>-1947227440.216892</v>
      </c>
      <c r="C60" s="113">
        <v>19.440279228793774</v>
      </c>
      <c r="D60" s="121">
        <v>1153.0215876915545</v>
      </c>
    </row>
    <row r="61" spans="1:9">
      <c r="A61" s="114" t="s">
        <v>119</v>
      </c>
      <c r="B61" s="109">
        <v>-150111769.45071957</v>
      </c>
      <c r="C61" s="115" t="s">
        <v>120</v>
      </c>
      <c r="D61" s="122" t="s">
        <v>120</v>
      </c>
    </row>
    <row r="62" spans="1:9">
      <c r="A62" s="116" t="s">
        <v>19</v>
      </c>
      <c r="B62" s="117">
        <v>-207059011.19645098</v>
      </c>
      <c r="C62" s="118" t="s">
        <v>120</v>
      </c>
      <c r="D62" s="123" t="s">
        <v>120</v>
      </c>
    </row>
    <row r="64" spans="1:9">
      <c r="A64" s="154" t="s">
        <v>169</v>
      </c>
      <c r="B64" s="154"/>
      <c r="C64" s="154"/>
      <c r="D64" s="154"/>
      <c r="E64" s="154"/>
      <c r="F64" s="154"/>
      <c r="G64" s="154"/>
      <c r="H64" s="154"/>
      <c r="I64" s="154"/>
    </row>
    <row r="65" spans="1:9">
      <c r="A65" s="49" t="s">
        <v>117</v>
      </c>
      <c r="B65" s="49" t="s">
        <v>21</v>
      </c>
      <c r="C65" s="49" t="s">
        <v>118</v>
      </c>
      <c r="D65" s="49" t="s">
        <v>121</v>
      </c>
      <c r="H65" s="142" t="s">
        <v>122</v>
      </c>
      <c r="I65" s="142"/>
    </row>
    <row r="66" spans="1:9">
      <c r="A66" s="49" t="s">
        <v>15</v>
      </c>
      <c r="B66" s="56">
        <v>-367893232.81523603</v>
      </c>
      <c r="C66" s="125">
        <v>5.79</v>
      </c>
      <c r="D66" s="125">
        <v>943.94</v>
      </c>
      <c r="H66" s="89" t="s">
        <v>123</v>
      </c>
      <c r="I66" s="90">
        <v>4.29</v>
      </c>
    </row>
    <row r="67" spans="1:9">
      <c r="A67" s="49" t="s">
        <v>12</v>
      </c>
      <c r="B67" s="56">
        <v>-1156321528.223105</v>
      </c>
      <c r="C67" s="125">
        <v>18.21</v>
      </c>
      <c r="D67" s="125">
        <v>1079.8</v>
      </c>
    </row>
    <row r="68" spans="1:9">
      <c r="A68" s="49" t="s">
        <v>119</v>
      </c>
      <c r="B68" s="56">
        <v>-95185213.980451673</v>
      </c>
      <c r="C68" s="49" t="s">
        <v>120</v>
      </c>
      <c r="D68" s="49" t="s">
        <v>120</v>
      </c>
    </row>
    <row r="69" spans="1:9">
      <c r="A69" s="49" t="s">
        <v>19</v>
      </c>
      <c r="B69" s="56">
        <v>-148197540.76624876</v>
      </c>
      <c r="C69" s="49" t="s">
        <v>120</v>
      </c>
      <c r="D69" s="49" t="s">
        <v>120</v>
      </c>
    </row>
    <row r="71" spans="1:9">
      <c r="A71" s="151" t="s">
        <v>182</v>
      </c>
      <c r="B71" s="151"/>
      <c r="C71" s="151"/>
      <c r="D71" s="151"/>
      <c r="E71" s="151"/>
      <c r="F71" s="151"/>
      <c r="G71" s="151"/>
      <c r="H71" s="151"/>
      <c r="I71" s="151"/>
    </row>
    <row r="72" spans="1:9">
      <c r="A72" s="124" t="s">
        <v>117</v>
      </c>
      <c r="B72" s="124" t="s">
        <v>21</v>
      </c>
      <c r="C72" s="126" t="s">
        <v>118</v>
      </c>
      <c r="D72" s="126" t="s">
        <v>121</v>
      </c>
      <c r="H72" s="142" t="s">
        <v>122</v>
      </c>
      <c r="I72" s="142"/>
    </row>
    <row r="73" spans="1:9">
      <c r="A73" s="85" t="s">
        <v>15</v>
      </c>
      <c r="B73" s="86">
        <v>-621132305.10394454</v>
      </c>
      <c r="C73" s="88">
        <v>6.2011171370407752</v>
      </c>
      <c r="D73" s="88">
        <v>1010.5548085248313</v>
      </c>
      <c r="H73" s="89" t="s">
        <v>123</v>
      </c>
      <c r="I73" s="90">
        <v>4.7591952711409657</v>
      </c>
    </row>
    <row r="74" spans="1:9">
      <c r="A74" s="85" t="s">
        <v>12</v>
      </c>
      <c r="B74" s="86">
        <v>-1947227440.216892</v>
      </c>
      <c r="C74" s="88">
        <v>19.440279228793774</v>
      </c>
      <c r="D74" s="88">
        <v>1153.0215876915545</v>
      </c>
    </row>
    <row r="75" spans="1:9">
      <c r="A75" s="124" t="s">
        <v>119</v>
      </c>
      <c r="B75" s="86">
        <v>-144429500.77436021</v>
      </c>
      <c r="C75" s="124" t="s">
        <v>120</v>
      </c>
      <c r="D75" s="124" t="s">
        <v>120</v>
      </c>
    </row>
    <row r="76" spans="1:9">
      <c r="A76" s="124" t="s">
        <v>19</v>
      </c>
      <c r="B76" s="86">
        <v>-236836144.11177915</v>
      </c>
      <c r="C76" s="124" t="s">
        <v>120</v>
      </c>
      <c r="D76" s="124" t="s">
        <v>120</v>
      </c>
    </row>
    <row r="78" spans="1:9">
      <c r="A78" s="151" t="s">
        <v>183</v>
      </c>
      <c r="B78" s="151"/>
      <c r="C78" s="151"/>
      <c r="D78" s="151"/>
      <c r="E78" s="151"/>
      <c r="F78" s="151"/>
      <c r="G78" s="151"/>
      <c r="H78" s="151"/>
      <c r="I78" s="151"/>
    </row>
    <row r="79" spans="1:9">
      <c r="A79" s="126" t="s">
        <v>117</v>
      </c>
      <c r="B79" s="126" t="s">
        <v>21</v>
      </c>
      <c r="C79" s="126" t="s">
        <v>118</v>
      </c>
      <c r="D79" s="126" t="s">
        <v>121</v>
      </c>
      <c r="E79" s="6"/>
      <c r="F79" s="6"/>
      <c r="G79" s="6"/>
      <c r="H79" s="153" t="s">
        <v>122</v>
      </c>
      <c r="I79" s="153"/>
    </row>
    <row r="80" spans="1:9">
      <c r="A80" s="85" t="s">
        <v>15</v>
      </c>
      <c r="B80" s="86">
        <v>-695336126.27577019</v>
      </c>
      <c r="C80" s="88">
        <v>6.9419360951297646</v>
      </c>
      <c r="D80" s="88">
        <v>1131.2811460215682</v>
      </c>
      <c r="H80" s="89" t="s">
        <v>123</v>
      </c>
      <c r="I80" s="90">
        <v>4.5151301911757367</v>
      </c>
    </row>
    <row r="81" spans="1:4">
      <c r="A81" s="85" t="s">
        <v>12</v>
      </c>
      <c r="B81" s="86">
        <v>-1947227440.216892</v>
      </c>
      <c r="C81" s="88">
        <v>19.440279228793774</v>
      </c>
      <c r="D81" s="88">
        <v>1153.0215876915545</v>
      </c>
    </row>
    <row r="82" spans="1:4">
      <c r="A82" s="124" t="s">
        <v>119</v>
      </c>
      <c r="B82" s="86">
        <v>-243079998.62782076</v>
      </c>
      <c r="C82" s="124" t="s">
        <v>120</v>
      </c>
      <c r="D82" s="124" t="s">
        <v>120</v>
      </c>
    </row>
    <row r="83" spans="1:4">
      <c r="A83" s="124" t="s">
        <v>19</v>
      </c>
      <c r="B83" s="86">
        <v>-236836144.11177915</v>
      </c>
      <c r="C83" s="124" t="s">
        <v>120</v>
      </c>
      <c r="D83" s="124" t="s">
        <v>120</v>
      </c>
    </row>
  </sheetData>
  <mergeCells count="24">
    <mergeCell ref="H79:I79"/>
    <mergeCell ref="A71:I71"/>
    <mergeCell ref="A78:I78"/>
    <mergeCell ref="H44:I44"/>
    <mergeCell ref="A43:I43"/>
    <mergeCell ref="H51:I51"/>
    <mergeCell ref="A50:I50"/>
    <mergeCell ref="H72:I72"/>
    <mergeCell ref="H65:I65"/>
    <mergeCell ref="A64:I64"/>
    <mergeCell ref="H58:I58"/>
    <mergeCell ref="A57:I57"/>
    <mergeCell ref="H2:I2"/>
    <mergeCell ref="A1:I1"/>
    <mergeCell ref="A8:I8"/>
    <mergeCell ref="H9:I9"/>
    <mergeCell ref="A15:I15"/>
    <mergeCell ref="H37:I37"/>
    <mergeCell ref="A36:I36"/>
    <mergeCell ref="H16:I16"/>
    <mergeCell ref="H23:I23"/>
    <mergeCell ref="A22:I22"/>
    <mergeCell ref="H30:I30"/>
    <mergeCell ref="A29:I29"/>
  </mergeCells>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 Me First</vt:lpstr>
      <vt:lpstr>Punchline</vt:lpstr>
      <vt:lpstr>Assumptions</vt:lpstr>
      <vt:lpstr>Premiums</vt:lpstr>
      <vt:lpstr>Work Requirements</vt:lpstr>
      <vt:lpstr>Co-Pays</vt:lpstr>
      <vt:lpstr>Healthy Behavior Incentives</vt:lpstr>
      <vt:lpstr>Sensitivity Analysis</vt:lpstr>
      <vt:lpstr>'Healthy Behavior Incentives'!_ftn1</vt:lpstr>
      <vt:lpstr>'Healthy Behavior Incentives'!_ftnref1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2019-04-10T14:28:40Z</dcterms:created>
  <dcterms:modified xsi:type="dcterms:W3CDTF">2019-05-05T20:37:48Z</dcterms:modified>
</cp:coreProperties>
</file>