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us Fugit" sheetId="1" r:id="rId3"/>
    <sheet state="visible" name="Alpe" sheetId="2" r:id="rId4"/>
    <sheet state="visible" name="Surrey Hills" sheetId="3" r:id="rId5"/>
    <sheet state="visible" name="Sprints (Richmond)" sheetId="4" r:id="rId6"/>
    <sheet state="visible" name="Figure 8" sheetId="5" r:id="rId7"/>
    <sheet state="visible" name="Yorkshire" sheetId="6" r:id="rId8"/>
    <sheet state="visible" name="Innsbruck" sheetId="7" r:id="rId9"/>
    <sheet state="visible" name="London Loop" sheetId="8" r:id="rId10"/>
    <sheet state="visible" name="Alpe Descent" sheetId="9" r:id="rId11"/>
    <sheet state="visible" name="Jungle Circuit" sheetId="10" r:id="rId12"/>
    <sheet state="visible" name="Sand &amp; Sequoias" sheetId="11" r:id="rId13"/>
    <sheet state="visible" name="Volcano Climb" sheetId="12" r:id="rId14"/>
    <sheet state="visible" name="Bologna TT" sheetId="13" r:id="rId15"/>
    <sheet state="visible" name="Big Foot Hills" sheetId="14" r:id="rId16"/>
    <sheet state="visible" name="Mighty Metro" sheetId="15" r:id="rId17"/>
    <sheet state="visible" name="Richmond" sheetId="16" r:id="rId18"/>
    <sheet state="visible" name="Everything Bagel" sheetId="17" r:id="rId19"/>
    <sheet state="visible" name="Casse-Pattes" sheetId="18" r:id="rId20"/>
    <sheet state="visible" name="OLD Richmond" sheetId="19" r:id="rId21"/>
    <sheet state="visible" name="OLD Bologna TT" sheetId="20" r:id="rId22"/>
    <sheet state="visible" name="OLD Jungle Loop" sheetId="21" r:id="rId23"/>
    <sheet state="visible" name="Watopia 2016" sheetId="22" r:id="rId24"/>
    <sheet state="visible" name="Watopia 2017" sheetId="23" r:id="rId25"/>
    <sheet state="visible" name="Watopia 2018" sheetId="24" r:id="rId26"/>
    <sheet state="visible" name="Watopia Hilly" sheetId="25" r:id="rId27"/>
    <sheet state="visible" name="Watopia Hilly Reverse" sheetId="26" r:id="rId28"/>
    <sheet state="visible" name="Gaps" sheetId="27" r:id="rId29"/>
  </sheets>
  <definedNames>
    <definedName hidden="1" localSheetId="0" name="_xlnm._FilterDatabase">'Tempus Fugit'!$A$1:$H$191</definedName>
    <definedName hidden="1" localSheetId="1" name="_xlnm._FilterDatabase">Alpe!$A$1:$I$999</definedName>
    <definedName hidden="1" localSheetId="2" name="_xlnm._FilterDatabase">'Surrey Hills'!$A$1:$K$174</definedName>
    <definedName hidden="1" localSheetId="3" name="_xlnm._FilterDatabase">'Sprints (Richmond)'!$A$1:$H$976</definedName>
    <definedName hidden="1" localSheetId="4" name="_xlnm._FilterDatabase">'Figure 8'!$A$1:$K$1010</definedName>
    <definedName hidden="1" localSheetId="5" name="_xlnm._FilterDatabase">Yorkshire!$A$1:$J$1010</definedName>
    <definedName hidden="1" localSheetId="6" name="_xlnm._FilterDatabase">Innsbruck!$A$1:$J$1010</definedName>
    <definedName hidden="1" localSheetId="7" name="_xlnm._FilterDatabase">'London Loop'!$A$1:$J$1008</definedName>
    <definedName hidden="1" localSheetId="8" name="_xlnm._FilterDatabase">'Alpe Descent'!$A$1:$J$872</definedName>
    <definedName hidden="1" localSheetId="9" name="_xlnm._FilterDatabase">'Jungle Circuit'!$A$1:$I$47</definedName>
    <definedName hidden="1" localSheetId="10" name="_xlnm._FilterDatabase">'Sand &amp; Sequoias'!$A$1:$J$992</definedName>
    <definedName hidden="1" localSheetId="11" name="_xlnm._FilterDatabase">'Volcano Climb'!$A$1:$K$107</definedName>
    <definedName hidden="1" localSheetId="12" name="_xlnm._FilterDatabase">'Bologna TT'!$A$1:$I$92</definedName>
    <definedName hidden="1" localSheetId="13" name="_xlnm._FilterDatabase">'Big Foot Hills'!$A$1:$L$73</definedName>
    <definedName hidden="1" localSheetId="14" name="_xlnm._FilterDatabase">'Mighty Metro'!$A$1:$J$68</definedName>
    <definedName hidden="1" localSheetId="15" name="_xlnm._FilterDatabase">Richmond!$A$1:$I$72</definedName>
    <definedName hidden="1" localSheetId="16" name="_xlnm._FilterDatabase">'Everything Bagel'!$A$1:$I$38</definedName>
    <definedName hidden="1" localSheetId="17" name="_xlnm._FilterDatabase">'Casse-Pattes'!$A$1:$H$36</definedName>
    <definedName hidden="1" localSheetId="18" name="_xlnm._FilterDatabase">'OLD Richmond'!$A$1:$M$74</definedName>
    <definedName hidden="1" localSheetId="19" name="_xlnm._FilterDatabase">'OLD Bologna TT'!$A$1:$M$104</definedName>
    <definedName hidden="1" localSheetId="20" name="_xlnm._FilterDatabase">'OLD Jungle Loop'!$A$1:$H$107</definedName>
    <definedName hidden="1" localSheetId="21" name="_xlnm._FilterDatabase">'Watopia 2016'!$A$1:$N$30</definedName>
    <definedName hidden="1" localSheetId="0" name="Z_DBDE84F9_F6C7_4F52_A48E_BA40F4064F89_.wvu.FilterData">'Tempus Fugit'!$A$1:$I$116</definedName>
    <definedName hidden="1" localSheetId="21" name="Z_DBDE84F9_F6C7_4F52_A48E_BA40F4064F89_.wvu.FilterData">'Watopia 2016'!$A$1:$N$30</definedName>
    <definedName hidden="1" localSheetId="0" name="Z_131ED934_56A5_4A4B_9246_8993FA1F050E_.wvu.FilterData">'Tempus Fugit'!$A$1:$H$157</definedName>
    <definedName hidden="1" localSheetId="1" name="Z_131ED934_56A5_4A4B_9246_8993FA1F050E_.wvu.FilterData">Alpe!$A$1:$I$1000</definedName>
    <definedName hidden="1" localSheetId="2" name="Z_131ED934_56A5_4A4B_9246_8993FA1F050E_.wvu.FilterData">'Surrey Hills'!$A$1:$K$155</definedName>
    <definedName hidden="1" localSheetId="3" name="Z_131ED934_56A5_4A4B_9246_8993FA1F050E_.wvu.FilterData">'Sprints (Richmond)'!$A$1:$H$976</definedName>
    <definedName hidden="1" localSheetId="4" name="Z_131ED934_56A5_4A4B_9246_8993FA1F050E_.wvu.FilterData">'Figure 8'!$A$1:$K$1010</definedName>
    <definedName hidden="1" localSheetId="5" name="Z_131ED934_56A5_4A4B_9246_8993FA1F050E_.wvu.FilterData">Yorkshire!$A$1:$J$1010</definedName>
    <definedName hidden="1" localSheetId="6" name="Z_131ED934_56A5_4A4B_9246_8993FA1F050E_.wvu.FilterData">Innsbruck!$A$1:$J$1010</definedName>
    <definedName hidden="1" localSheetId="7" name="Z_131ED934_56A5_4A4B_9246_8993FA1F050E_.wvu.FilterData">'London Loop'!$A$1:$J$1008</definedName>
    <definedName hidden="1" localSheetId="8" name="Z_131ED934_56A5_4A4B_9246_8993FA1F050E_.wvu.FilterData">'Alpe Descent'!$A$1:$J$872</definedName>
    <definedName hidden="1" localSheetId="9" name="Z_131ED934_56A5_4A4B_9246_8993FA1F050E_.wvu.FilterData">'Jungle Circuit'!$A$1:$H$86</definedName>
    <definedName hidden="1" localSheetId="10" name="Z_131ED934_56A5_4A4B_9246_8993FA1F050E_.wvu.FilterData">'Sand &amp; Sequoias'!$A$1:$J$992</definedName>
    <definedName hidden="1" localSheetId="11" name="Z_131ED934_56A5_4A4B_9246_8993FA1F050E_.wvu.FilterData">'Volcano Climb'!$A$1:$K$107</definedName>
    <definedName hidden="1" localSheetId="12" name="Z_131ED934_56A5_4A4B_9246_8993FA1F050E_.wvu.FilterData">'Bologna TT'!$A$1:$I$92</definedName>
    <definedName hidden="1" localSheetId="13" name="Z_131ED934_56A5_4A4B_9246_8993FA1F050E_.wvu.FilterData">'Big Foot Hills'!$A$1:$L$73</definedName>
    <definedName hidden="1" localSheetId="14" name="Z_131ED934_56A5_4A4B_9246_8993FA1F050E_.wvu.FilterData">'Mighty Metro'!$A$1:$J$68</definedName>
    <definedName hidden="1" localSheetId="15" name="Z_131ED934_56A5_4A4B_9246_8993FA1F050E_.wvu.FilterData">Richmond!$A$1:$I$72</definedName>
    <definedName hidden="1" localSheetId="16" name="Z_131ED934_56A5_4A4B_9246_8993FA1F050E_.wvu.FilterData">'Everything Bagel'!$A$1:$I$38</definedName>
    <definedName hidden="1" localSheetId="17" name="Z_131ED934_56A5_4A4B_9246_8993FA1F050E_.wvu.FilterData">'Casse-Pattes'!$A$1:$H$36</definedName>
    <definedName hidden="1" localSheetId="18" name="Z_131ED934_56A5_4A4B_9246_8993FA1F050E_.wvu.FilterData">'OLD Richmond'!$A$1:$M$73</definedName>
    <definedName hidden="1" localSheetId="19" name="Z_131ED934_56A5_4A4B_9246_8993FA1F050E_.wvu.FilterData">'OLD Bologna TT'!$A$1:$M$104</definedName>
    <definedName hidden="1" localSheetId="20" name="Z_131ED934_56A5_4A4B_9246_8993FA1F050E_.wvu.FilterData">'OLD Jungle Loop'!$A$1:$H$107</definedName>
  </definedNames>
  <calcPr/>
  <customWorkbookViews>
    <customWorkbookView activeSheetId="0" maximized="1" windowHeight="0" windowWidth="0" guid="{DBDE84F9-F6C7-4F52-A48E-BA40F4064F89}" name="Filter 1"/>
    <customWorkbookView activeSheetId="0" maximized="1" windowHeight="0" windowWidth="0" guid="{131ED934-56A5-4A4B-9246-8993FA1F050E}" name="Fastest Level 10 Bike"/>
  </customWorkbookViews>
</workbook>
</file>

<file path=xl/sharedStrings.xml><?xml version="1.0" encoding="utf-8"?>
<sst xmlns="http://schemas.openxmlformats.org/spreadsheetml/2006/main" count="3581" uniqueCount="685">
  <si>
    <t>Weight</t>
  </si>
  <si>
    <t>Watts</t>
  </si>
  <si>
    <t>w/kg</t>
  </si>
  <si>
    <t>Height</t>
  </si>
  <si>
    <t>Bike</t>
  </si>
  <si>
    <t>Type</t>
  </si>
  <si>
    <t>Wheels</t>
  </si>
  <si>
    <t>Time</t>
  </si>
  <si>
    <t>Notes</t>
  </si>
  <si>
    <t>Specialized Venge S-Works</t>
  </si>
  <si>
    <t>Standard</t>
  </si>
  <si>
    <t>Zipp 858/Super9</t>
  </si>
  <si>
    <t>https://www.strava.com/activities/4969452558</t>
  </si>
  <si>
    <t>Canyon Aeroad 2021</t>
  </si>
  <si>
    <t>DT Swiss ARC 62</t>
  </si>
  <si>
    <t>https://www.strava.com/activities/4969454217</t>
  </si>
  <si>
    <t>Zwift Carbon</t>
  </si>
  <si>
    <t>32mm Carbon</t>
  </si>
  <si>
    <t>https://www.strava.com/activities/4974626852</t>
  </si>
  <si>
    <t>Zwift Aero</t>
  </si>
  <si>
    <t>https://www.strava.com/activities/2982170987</t>
  </si>
  <si>
    <t>https://www.strava.com/activities/3048470870</t>
  </si>
  <si>
    <t>Done with ~2500 riders on Watopia</t>
  </si>
  <si>
    <t>Canyon Speedmax CF SLX Disc</t>
  </si>
  <si>
    <t>TT</t>
  </si>
  <si>
    <t>https://www.strava.com/activities/4999087324</t>
  </si>
  <si>
    <t>Cervelo P5x</t>
  </si>
  <si>
    <t>https://www.strava.com/activities/2842998400</t>
  </si>
  <si>
    <t>Felt IA</t>
  </si>
  <si>
    <t>https://www.strava.com/activities/2843119261</t>
  </si>
  <si>
    <t>Specialized Shiv Disc</t>
  </si>
  <si>
    <t>https://www.strava.com/activities/2842998014</t>
  </si>
  <si>
    <t>Cervelo P5</t>
  </si>
  <si>
    <t>https://www.strava.com/activities/2842883726</t>
  </si>
  <si>
    <t>Ventum One</t>
  </si>
  <si>
    <t>https://www.strava.com/activities/2843119110</t>
  </si>
  <si>
    <t>Cube Aerium</t>
  </si>
  <si>
    <t>https://www.strava.com/activities/2843249127</t>
  </si>
  <si>
    <t>Diamondback Andean</t>
  </si>
  <si>
    <t>https://www.strava.com/activities/2843566340</t>
  </si>
  <si>
    <t>Scott Plasma</t>
  </si>
  <si>
    <t>https://www.strava.com/activities/2843401615</t>
  </si>
  <si>
    <t>Specialized Shiv S-Works</t>
  </si>
  <si>
    <t>https://www.strava.com/activities/2843566136</t>
  </si>
  <si>
    <t>BMC Time Machine</t>
  </si>
  <si>
    <t>https://www.strava.com/activities/2843120122</t>
  </si>
  <si>
    <t>Canyon Speedmax</t>
  </si>
  <si>
    <t>https://www.strava.com/activities/2842997477</t>
  </si>
  <si>
    <t>Pinarello Bolide</t>
  </si>
  <si>
    <t>https://www.strava.com/activities/2843254333</t>
  </si>
  <si>
    <t>Pinarello Bolide TT</t>
  </si>
  <si>
    <t>https://www.strava.com/activities/2843402443</t>
  </si>
  <si>
    <t>Specialized Shiv</t>
  </si>
  <si>
    <t>https://www.strava.com/activities/2843405164</t>
  </si>
  <si>
    <t>https://www.strava.com/activities/3380109091</t>
  </si>
  <si>
    <t>CeramicSpeed OSPW</t>
  </si>
  <si>
    <t>Zwift TT</t>
  </si>
  <si>
    <t>https://www.strava.com/activities/2843568393</t>
  </si>
  <si>
    <t>Cervelo S5</t>
  </si>
  <si>
    <t>https://www.strava.com/activities/2843923128</t>
  </si>
  <si>
    <t>https://www.strava.com/activities/2843922490</t>
  </si>
  <si>
    <t>Felt AR</t>
  </si>
  <si>
    <t>https://www.strava.com/activities/2843922053</t>
  </si>
  <si>
    <t>Trek Madone</t>
  </si>
  <si>
    <t>https://www.strava.com/activities/2844142801</t>
  </si>
  <si>
    <t>Zipp 808/Super9</t>
  </si>
  <si>
    <t>https://www.strava.com/activities/2848419614</t>
  </si>
  <si>
    <t>Cannondale SystemSix</t>
  </si>
  <si>
    <t>https://www.strava.com/activities/2844037803</t>
  </si>
  <si>
    <t>https://www.strava.com/activities/4130001495</t>
  </si>
  <si>
    <r>
      <rPr/>
      <t xml:space="preserve">Confirmed </t>
    </r>
    <r>
      <rPr>
        <color rgb="FF1155CC"/>
        <u/>
      </rPr>
      <t>https://www.strava.com/activities/4230888598</t>
    </r>
  </si>
  <si>
    <t>Specialized Venge</t>
  </si>
  <si>
    <t>https://www.strava.com/activities/2863313704</t>
  </si>
  <si>
    <t>Tron (Concept Z1)</t>
  </si>
  <si>
    <t>https://www.strava.com/activities/2843767829</t>
  </si>
  <si>
    <t>Canyon Aeroad</t>
  </si>
  <si>
    <t>https://www.strava.com/activities/2844038138</t>
  </si>
  <si>
    <t>Specialized Allez Sprint</t>
  </si>
  <si>
    <t>https://www.strava.com/activities/2844142473</t>
  </si>
  <si>
    <t>Zipp 858</t>
  </si>
  <si>
    <t>https://www.strava.com/activities/5702973123</t>
  </si>
  <si>
    <t>Why 3s faster than previous test?</t>
  </si>
  <si>
    <t>With ZRL winners helmet, deleted Strava activity</t>
  </si>
  <si>
    <t>https://www.strava.com/activities/5706438083</t>
  </si>
  <si>
    <t>1s faster than old time, consistently</t>
  </si>
  <si>
    <t>https://www.strava.com/activities/5707204299</t>
  </si>
  <si>
    <t>With default Zwift helmet</t>
  </si>
  <si>
    <t>https://www.strava.com/activities/4130210499</t>
  </si>
  <si>
    <t>ENVE 7.8</t>
  </si>
  <si>
    <t>https://www.strava.com/activities/4131204792</t>
  </si>
  <si>
    <t>Specialized Tarmac SL7</t>
  </si>
  <si>
    <t>Zipp 808</t>
  </si>
  <si>
    <t>https://www.strava.com/activities/4139516508</t>
  </si>
  <si>
    <t>https://www.strava.com/activities/5706839374</t>
  </si>
  <si>
    <t>Specialized Tarmac Pro</t>
  </si>
  <si>
    <t>https://www.strava.com/activities/2843767446</t>
  </si>
  <si>
    <t>Ribble Endurance</t>
  </si>
  <si>
    <t>https://www.strava.com/activities/2971157079</t>
  </si>
  <si>
    <t>https://www.strava.com/activities/2844450384</t>
  </si>
  <si>
    <t>https://www.strava.com/activities/2843766830</t>
  </si>
  <si>
    <t>https://www.strava.com/activities/4130438332</t>
  </si>
  <si>
    <t>Pinarello Dogma F</t>
  </si>
  <si>
    <t>https://www.strava.com/activities/5632925862</t>
  </si>
  <si>
    <r>
      <rPr/>
      <t xml:space="preserve">Confirmed after update </t>
    </r>
    <r>
      <rPr>
        <color rgb="FF1155CC"/>
        <u/>
      </rPr>
      <t>https://www.strava.com/activities/4230697045</t>
    </r>
  </si>
  <si>
    <t>https://www.strava.com/activities/5706434208</t>
  </si>
  <si>
    <t>Confirmed old time</t>
  </si>
  <si>
    <t>ENVE SES 7.8</t>
  </si>
  <si>
    <t>https://www.strava.com/activities/2845442341</t>
  </si>
  <si>
    <t>ENVE SES 8.9</t>
  </si>
  <si>
    <t>https://www.strava.com/activities/2845442044</t>
  </si>
  <si>
    <t>https://www.strava.com/activities/2844450138</t>
  </si>
  <si>
    <t>ENVE 3.4</t>
  </si>
  <si>
    <t>https://www.strava.com/activities/4132479899</t>
  </si>
  <si>
    <t>Zipp 454</t>
  </si>
  <si>
    <t>https://www.strava.com/activities/2844450032</t>
  </si>
  <si>
    <t>https://www.strava.com/activities/3876361384</t>
  </si>
  <si>
    <t>ENVE SES 6.7</t>
  </si>
  <si>
    <t>https://www.strava.com/activities/2845564206</t>
  </si>
  <si>
    <t>Zipp 404</t>
  </si>
  <si>
    <t>https://www.strava.com/activities/2844490492</t>
  </si>
  <si>
    <t>Roval CLX64</t>
  </si>
  <si>
    <t>https://www.strava.com/activities/2844546624</t>
  </si>
  <si>
    <t>Roval Rapide CLX</t>
  </si>
  <si>
    <t>https://www.strava.com/activities/5326133105</t>
  </si>
  <si>
    <t>Zipp 353 NSW</t>
  </si>
  <si>
    <t>https://www.strava.com/activities/5169624933</t>
  </si>
  <si>
    <t>Campagnolo Bora Ultra 50</t>
  </si>
  <si>
    <t>https://www.strava.com/activities/2845696572</t>
  </si>
  <si>
    <t>https://www.strava.com/activities/5324988410</t>
  </si>
  <si>
    <t>ENVE SES 3.4</t>
  </si>
  <si>
    <t>https://www.strava.com/activities/2845563733</t>
  </si>
  <si>
    <t>Mavic Comete Pro Carbon SL UST</t>
  </si>
  <si>
    <t>https://www.strava.com/activities/2844622447</t>
  </si>
  <si>
    <t>Lightweight Meilenstein</t>
  </si>
  <si>
    <t>https://www.strava.com/activities/4130809584</t>
  </si>
  <si>
    <t>Giant SLR 0</t>
  </si>
  <si>
    <t>https://www.strava.com/activities/2845441542</t>
  </si>
  <si>
    <t>Shimano C60</t>
  </si>
  <si>
    <t>https://www.strava.com/activities/2844490596</t>
  </si>
  <si>
    <t>Mavic Cosmic CXR60c</t>
  </si>
  <si>
    <t>https://www.strava.com/activities/2844622659</t>
  </si>
  <si>
    <t>Bontrager Aeolus5</t>
  </si>
  <si>
    <t>https://www.strava.com/activities/2845697377</t>
  </si>
  <si>
    <t>Mavic Cosmic Ultimate UST</t>
  </si>
  <si>
    <t>https://www.strava.com/activities/2844547052</t>
  </si>
  <si>
    <t>Roval Alpinist CLX</t>
  </si>
  <si>
    <t>https://www.strava.com/activities/5631422868</t>
  </si>
  <si>
    <t>https://www.strava.com/activities/2848740921</t>
  </si>
  <si>
    <t>https://www.strava.com/activities/5706932194</t>
  </si>
  <si>
    <t>With Bell Javelin helmet</t>
  </si>
  <si>
    <t>https://www.strava.com/activities/2847917929</t>
  </si>
  <si>
    <t>https://www.strava.com/activities/2849092283</t>
  </si>
  <si>
    <t>https://www.strava.com/activities/4141787901</t>
  </si>
  <si>
    <t>confirmed</t>
  </si>
  <si>
    <t>https://www.strava.com/activities/2844622992</t>
  </si>
  <si>
    <t>https://www.strava.com/activities/2844433048</t>
  </si>
  <si>
    <t>https://www.strava.com/activities/5631420820</t>
  </si>
  <si>
    <t>https://www.strava.com/activities/2848623191</t>
  </si>
  <si>
    <t>https://www.strava.com/activities/4129824734</t>
  </si>
  <si>
    <r>
      <rPr/>
      <t xml:space="preserve">Confirmed after update </t>
    </r>
    <r>
      <rPr>
        <color rgb="FF1155CC"/>
        <u/>
      </rPr>
      <t>https://www.strava.com/activities/4230697045</t>
    </r>
  </si>
  <si>
    <t>https://www.strava.com/activities/2848872112</t>
  </si>
  <si>
    <t>https://www.strava.com/activities/2863260185</t>
  </si>
  <si>
    <t>Focus Izalco Max 2020</t>
  </si>
  <si>
    <t>https://www.strava.com/activities/4381733495</t>
  </si>
  <si>
    <t>Giant Propel Advanced SL Disc</t>
  </si>
  <si>
    <t>https://www.strava.com/activities/2849133335</t>
  </si>
  <si>
    <t>Pinarello Dogma F12</t>
  </si>
  <si>
    <t>https://www.strava.com/activities/3225549320</t>
  </si>
  <si>
    <t>Cervelo S3D</t>
  </si>
  <si>
    <t>https://www.strava.com/activities/2846930114</t>
  </si>
  <si>
    <t>Shimano C40</t>
  </si>
  <si>
    <t>https://www.strava.com/activities/2844546379</t>
  </si>
  <si>
    <t>50mm Carbon</t>
  </si>
  <si>
    <t>https://www.strava.com/activities/2844333853</t>
  </si>
  <si>
    <t>Factor One</t>
  </si>
  <si>
    <t>https://www.strava.com/activities/3373409286</t>
  </si>
  <si>
    <t>https://www.strava.com/activities/2850432561</t>
  </si>
  <si>
    <t>Ridley Noah Fast Disc</t>
  </si>
  <si>
    <t>https://www.strava.com/activities/3373520200</t>
  </si>
  <si>
    <t>Pinarello Dogma F10</t>
  </si>
  <si>
    <t>https://www.strava.com/activities/2853787203</t>
  </si>
  <si>
    <t>https://www.strava.com/activities/5706413232</t>
  </si>
  <si>
    <t>https://www.strava.com/activities/2846874235</t>
  </si>
  <si>
    <t>Parlee RZ7</t>
  </si>
  <si>
    <t>https://www.strava.com/activities/3225427465</t>
  </si>
  <si>
    <t>https://www.strava.com/activities/2971724906</t>
  </si>
  <si>
    <t>Chapter2 Rere</t>
  </si>
  <si>
    <t>https://www.strava.com/activities/2848057196</t>
  </si>
  <si>
    <t>Zipp 202</t>
  </si>
  <si>
    <t>https://www.strava.com/activities/2844490409</t>
  </si>
  <si>
    <t>Scott Foil</t>
  </si>
  <si>
    <t>https://www.strava.com/activities/2850542147</t>
  </si>
  <si>
    <t>Cannondale SuperSix EVO</t>
  </si>
  <si>
    <t>https://www.strava.com/activities/2844233360</t>
  </si>
  <si>
    <t>https://www.strava.com/activities/3875892617</t>
  </si>
  <si>
    <t>Campagnolo Bora Ultra 35</t>
  </si>
  <si>
    <t>https://www.strava.com/activities/2845696136</t>
  </si>
  <si>
    <t>Giant TCR Advanced SL Disc</t>
  </si>
  <si>
    <t>https://www.strava.com/activities/5169627151</t>
  </si>
  <si>
    <t>Parlee ESX</t>
  </si>
  <si>
    <t>https://www.strava.com/activities/2850597949</t>
  </si>
  <si>
    <t>Zwift Buffalo Fahrrad</t>
  </si>
  <si>
    <t>https://www.strava.com/activities/2844334086</t>
  </si>
  <si>
    <t>Pinarello Dogma 65.1</t>
  </si>
  <si>
    <t>https://www.strava.com/activities/2853633385</t>
  </si>
  <si>
    <t>Pinarello F8</t>
  </si>
  <si>
    <t>https://www.strava.com/activities/2855268576</t>
  </si>
  <si>
    <t>Bridgestone SR9s</t>
  </si>
  <si>
    <t>https://www.strava.com/activities/5325490519</t>
  </si>
  <si>
    <t>Cannondale EVO</t>
  </si>
  <si>
    <t>https://www.strava.com/activities/2844128905</t>
  </si>
  <si>
    <t>Cervelo R5</t>
  </si>
  <si>
    <t>https://www.strava.com/activities/2846457119</t>
  </si>
  <si>
    <t>ENVE SES 2.2</t>
  </si>
  <si>
    <t>https://www.strava.com/activities/2845564512</t>
  </si>
  <si>
    <t>Chapter2 Tere</t>
  </si>
  <si>
    <t>https://www.strava.com/activities/2848551493</t>
  </si>
  <si>
    <t>Giant TCR Advanced SL</t>
  </si>
  <si>
    <t>https://www.strava.com/activities/2850203875</t>
  </si>
  <si>
    <t>Specialized Amira S-Works</t>
  </si>
  <si>
    <t>https://www.strava.com/activities/2849226911</t>
  </si>
  <si>
    <t>Specialized Tarmac</t>
  </si>
  <si>
    <t>https://www.strava.com/activities/2848960110</t>
  </si>
  <si>
    <t>https://www.strava.com/activities/2848872394</t>
  </si>
  <si>
    <t>confirmed, same time as Nov 7, 2019</t>
  </si>
  <si>
    <t>Trek Emonda</t>
  </si>
  <si>
    <t>https://www.strava.com/activities/2848740615</t>
  </si>
  <si>
    <t>Trek Emonda SL</t>
  </si>
  <si>
    <t>https://www.strava.com/activities/2848623003</t>
  </si>
  <si>
    <t>Specialized Aethos</t>
  </si>
  <si>
    <t>https://www.strava.com/activities/5631705133</t>
  </si>
  <si>
    <t>BMC SLR01</t>
  </si>
  <si>
    <t>https://www.strava.com/activities/3907451983</t>
  </si>
  <si>
    <t>Canyon Ultimate</t>
  </si>
  <si>
    <t>https://www.strava.com/activities/2845606401</t>
  </si>
  <si>
    <t>Cube Litening</t>
  </si>
  <si>
    <t>https://www.strava.com/activities/2848983672</t>
  </si>
  <si>
    <t>Liv Langma Advanced SL</t>
  </si>
  <si>
    <t>https://www.strava.com/activities/2856636675</t>
  </si>
  <si>
    <t>Specialized Amira</t>
  </si>
  <si>
    <t>https://www.strava.com/activities/2850319857</t>
  </si>
  <si>
    <t>Specialized Roubaix</t>
  </si>
  <si>
    <t>https://www.strava.com/activities/2849227145</t>
  </si>
  <si>
    <t>Specialized Roubaix S-Works</t>
  </si>
  <si>
    <t>https://www.strava.com/activities/2849097092</t>
  </si>
  <si>
    <t>Specialized Ruby</t>
  </si>
  <si>
    <t>https://www.strava.com/activities/2849096952</t>
  </si>
  <si>
    <t>Specialized Ruby S-Works</t>
  </si>
  <si>
    <t>https://www.strava.com/activities/2848959971</t>
  </si>
  <si>
    <t>Cannondale CAAD12</t>
  </si>
  <si>
    <t>https://www.strava.com/activities/2843988297</t>
  </si>
  <si>
    <t>Cannondale Synapse</t>
  </si>
  <si>
    <t>https://www.strava.com/activities/2844387671</t>
  </si>
  <si>
    <t>Zwift Safety</t>
  </si>
  <si>
    <t>https://www.strava.com/activities/2844248304</t>
  </si>
  <si>
    <t>https://www.strava.com/activities/2982033990</t>
  </si>
  <si>
    <t>Colnago V3RS</t>
  </si>
  <si>
    <t>https://www.strava.com/activities/4837947418</t>
  </si>
  <si>
    <t>Ridley Helium</t>
  </si>
  <si>
    <t>https://www.strava.com/activities/2850541998</t>
  </si>
  <si>
    <t>Zwift Big Wheel</t>
  </si>
  <si>
    <t>https://www.strava.com/activities/5047488672</t>
  </si>
  <si>
    <t>New version</t>
  </si>
  <si>
    <t>https://www.strava.com/activities/3328674576</t>
  </si>
  <si>
    <t>Specialized Allez</t>
  </si>
  <si>
    <t>https://www.strava.com/activities/2850432155</t>
  </si>
  <si>
    <t>Cervelo Aspero</t>
  </si>
  <si>
    <t>Gravel</t>
  </si>
  <si>
    <t>Zwift Gravel</t>
  </si>
  <si>
    <t>https://www.strava.com/activities/2915641156</t>
  </si>
  <si>
    <t>Canyon Grail</t>
  </si>
  <si>
    <t>https://www.strava.com/activities/2915771970</t>
  </si>
  <si>
    <t>Canyon Inflite</t>
  </si>
  <si>
    <t>https://www.strava.com/activities/2915701423</t>
  </si>
  <si>
    <t>Lauf True Grit</t>
  </si>
  <si>
    <t>https://www.strava.com/activities/4959306848</t>
  </si>
  <si>
    <t>https://www.strava.com/activities/2981583899</t>
  </si>
  <si>
    <t>https://www.strava.com/activities/2991275700</t>
  </si>
  <si>
    <t>https://www.strava.com/activities/2982170536</t>
  </si>
  <si>
    <t>https://www.strava.com/activities/2879151204</t>
  </si>
  <si>
    <t>https://www.strava.com/activities/2879150387</t>
  </si>
  <si>
    <t>https://www.strava.com/activities/2981582663</t>
  </si>
  <si>
    <t>https://www.strava.com/activities/2981862579</t>
  </si>
  <si>
    <t>https://www.strava.com/activities/2909896856</t>
  </si>
  <si>
    <t>Scott Spark RC</t>
  </si>
  <si>
    <t>MTB</t>
  </si>
  <si>
    <t>Zwift Mountain</t>
  </si>
  <si>
    <t>https://www.strava.com/activities/2909995568</t>
  </si>
  <si>
    <t>old version</t>
  </si>
  <si>
    <t>Specialized Epic S-Works</t>
  </si>
  <si>
    <t>https://www.strava.com/activities/2915887923</t>
  </si>
  <si>
    <t>Canyon Lux</t>
  </si>
  <si>
    <t>https://www.strava.com/activities/2924937789</t>
  </si>
  <si>
    <t>Trek Super Caliber</t>
  </si>
  <si>
    <t>https://www.strava.com/activities/4231359753</t>
  </si>
  <si>
    <t>https://www.strava.com/activities/4244360680</t>
  </si>
  <si>
    <t>https://www.strava.com/activities/2915800874</t>
  </si>
  <si>
    <t>https://www.strava.com/activities/4243765323</t>
  </si>
  <si>
    <t>new</t>
  </si>
  <si>
    <t>https://www.strava.com/activities/4244667313</t>
  </si>
  <si>
    <t>https://www.strava.com/activities/4244798786</t>
  </si>
  <si>
    <t>https://www.strava.com/activities/2857872039</t>
  </si>
  <si>
    <t>Zwift Classic</t>
  </si>
  <si>
    <t>https://www.strava.com/activities/2844248601</t>
  </si>
  <si>
    <t>Zwift Buffalo Farhhad</t>
  </si>
  <si>
    <t>https://www.strava.com/activities/2848420072</t>
  </si>
  <si>
    <t>Zwift Steel</t>
  </si>
  <si>
    <t>https://www.strava.com/activities/2848229065</t>
  </si>
  <si>
    <t>https://www.strava.com/activities/2971856212</t>
  </si>
  <si>
    <t>https://www.strava.com/activities/5708622707</t>
  </si>
  <si>
    <t>With ZRL helmet</t>
  </si>
  <si>
    <t>https://www.strava.com/activities/4073655273</t>
  </si>
  <si>
    <t>With CeramicSpeed OSPW</t>
  </si>
  <si>
    <t>https://www.strava.com/activities/4972728902</t>
  </si>
  <si>
    <t>need to retest, wrong cda value</t>
  </si>
  <si>
    <t>https://www.strava.com/activities/5632073670</t>
  </si>
  <si>
    <t>OLD Specialized Tarmac Pro</t>
  </si>
  <si>
    <t>old test, not accurate</t>
  </si>
  <si>
    <t>OLD Canyon Aeroad 2021</t>
  </si>
  <si>
    <t>https://www.strava.com/activities/4129825997</t>
  </si>
  <si>
    <t>old</t>
  </si>
  <si>
    <t>https://www.strava.com/activities/5632001508</t>
  </si>
  <si>
    <t>https://www.strava.com/activities/4974807550</t>
  </si>
  <si>
    <t>https://www.strava.com/activities/5325924894</t>
  </si>
  <si>
    <t>https://www.strava.com/activities/2982332159</t>
  </si>
  <si>
    <t>Cannondale Evo</t>
  </si>
  <si>
    <t>confirmed 10/2/20</t>
  </si>
  <si>
    <t>https://www.strava.com/activities/4139861753</t>
  </si>
  <si>
    <t>https://www.strava.com/activities/4139674239</t>
  </si>
  <si>
    <t>https://www.strava.com/activities/4133099448</t>
  </si>
  <si>
    <t>https://www.strava.com/activities/4132870940</t>
  </si>
  <si>
    <t>https://www.strava.com/activities/4140010185</t>
  </si>
  <si>
    <t>new, 1s slower</t>
  </si>
  <si>
    <t>https://www.strava.com/activities/5629739002</t>
  </si>
  <si>
    <t>https://www.strava.com/activities/5632930754</t>
  </si>
  <si>
    <t>https://www.strava.com/activities/4141562356</t>
  </si>
  <si>
    <t>https://www.strava.com/activities/4231025155</t>
  </si>
  <si>
    <t>https://www.strava.com/activities/4141433143</t>
  </si>
  <si>
    <t>confirmed, 1s faster in new test</t>
  </si>
  <si>
    <t>https://www.strava.com/activities/4132485150</t>
  </si>
  <si>
    <t>https://www.strava.com/activities/4141776727</t>
  </si>
  <si>
    <t>https://www.strava.com/activities/4132870041</t>
  </si>
  <si>
    <t>https://www.strava.com/activities/4129296617</t>
  </si>
  <si>
    <t>https://www.strava.com/activities/4133100038</t>
  </si>
  <si>
    <t>https://www.strava.com/activities/4140009836</t>
  </si>
  <si>
    <t>https://www.strava.com/activities/4141364131</t>
  </si>
  <si>
    <t>confirmed, 1s slower in new test</t>
  </si>
  <si>
    <t>https://www.strava.com/activities/5325492024</t>
  </si>
  <si>
    <t>https://www.strava.com/activities/4141356280</t>
  </si>
  <si>
    <t>2s faster in new test</t>
  </si>
  <si>
    <t>https://www.strava.com/activities/5631390280</t>
  </si>
  <si>
    <t>Tron</t>
  </si>
  <si>
    <t>Retested, result confirmed</t>
  </si>
  <si>
    <t>Strava</t>
  </si>
  <si>
    <t>https://www.strava.com/activities/2839446761</t>
  </si>
  <si>
    <t>https://www.strava.com/activities/4134050932</t>
  </si>
  <si>
    <t>https://www.strava.com/activities/5708178900</t>
  </si>
  <si>
    <t>https://www.strava.com/activities/5173759957</t>
  </si>
  <si>
    <t>Not accurate anymore</t>
  </si>
  <si>
    <t>https://www.strava.com/activities/4141044838</t>
  </si>
  <si>
    <t>Liv Langma Advanced SL 0</t>
  </si>
  <si>
    <t>https://www.strava.com/activities/3231811539</t>
  </si>
  <si>
    <t>https://www.strava.com/activities/4838233579</t>
  </si>
  <si>
    <t>https://www.strava.com/activities/4381778054</t>
  </si>
  <si>
    <t>Not listed in frames list?</t>
  </si>
  <si>
    <t>https://www.strava.com/activities/5172507347</t>
  </si>
  <si>
    <t>https://www.strava.com/activities/3227299862</t>
  </si>
  <si>
    <t>Campagnolo Boral Ultra 35</t>
  </si>
  <si>
    <t>https://www.strava.com/activities/3876361335</t>
  </si>
  <si>
    <t>https://www.strava.com/activities/5325983351</t>
  </si>
  <si>
    <t>https://www.strava.com/activities/2839538919</t>
  </si>
  <si>
    <t>https://www.strava.com/activities/3375260072</t>
  </si>
  <si>
    <t>https://www.strava.com/activities/2971169392</t>
  </si>
  <si>
    <t>https://www.strava.com/activities/3375270267</t>
  </si>
  <si>
    <t>https://www.strava.com/activities/2971725281</t>
  </si>
  <si>
    <t>Roval CLX 64</t>
  </si>
  <si>
    <t>https://www.strava.com/activities/2846032754</t>
  </si>
  <si>
    <t xml:space="preserve">Specialized Allez </t>
  </si>
  <si>
    <t>https://www.strava.com/activities/2846272819</t>
  </si>
  <si>
    <t>https://www.strava.com/activities/5325364361</t>
  </si>
  <si>
    <t>https://www.strava.com/activities/2840635829</t>
  </si>
  <si>
    <t>https://www.strava.com/activities/2839705311</t>
  </si>
  <si>
    <t>https://www.strava.com/activities/5050078181</t>
  </si>
  <si>
    <t>https://www.strava.com/activities/4999083114</t>
  </si>
  <si>
    <t>https://www.strava.com/activities/2839657687</t>
  </si>
  <si>
    <t>BMC Timemachine01</t>
  </si>
  <si>
    <t>https://www.strava.com/activities/2839855824</t>
  </si>
  <si>
    <t>https://www.strava.com/activities/2916155892</t>
  </si>
  <si>
    <t>https://www.strava.com/activities/2917580510</t>
  </si>
  <si>
    <t>https://www.strava.com/activities/2982687364</t>
  </si>
  <si>
    <t>https://www.strava.com/activities/2917162204</t>
  </si>
  <si>
    <t>https://www.strava.com/activities/2982524539</t>
  </si>
  <si>
    <t>https://www.strava.com/activities/2982940031</t>
  </si>
  <si>
    <t>https://www.strava.com/activities/4972706452</t>
  </si>
  <si>
    <t>https://www.strava.com/activities/4972721985</t>
  </si>
  <si>
    <t>https://www.strava.com/activities/2917161218</t>
  </si>
  <si>
    <t>https://www.strava.com/activities/2982415610</t>
  </si>
  <si>
    <t>https://www.strava.com/activities/2982687850</t>
  </si>
  <si>
    <t>https://www.strava.com/activities/4962331134</t>
  </si>
  <si>
    <t>https://www.strava.com/activities/2917878503</t>
  </si>
  <si>
    <t>retest needed?</t>
  </si>
  <si>
    <t>https://www.strava.com/activities/2982939872</t>
  </si>
  <si>
    <t>https://www.strava.com/activities/2918287187</t>
  </si>
  <si>
    <t>https://www.strava.com/activities/2917878146</t>
  </si>
  <si>
    <t>https://www.strava.com/activities/2917581262</t>
  </si>
  <si>
    <t>https://www.strava.com/activities/2975941828</t>
  </si>
  <si>
    <t>Trek Supercaliber</t>
  </si>
  <si>
    <t>https://www.strava.com/activities/4233998935</t>
  </si>
  <si>
    <t>https://www.strava.com/activities/4244360959</t>
  </si>
  <si>
    <t>https://www.strava.com/activities/4243764756</t>
  </si>
  <si>
    <t>https://www.strava.com/activities/4244667164</t>
  </si>
  <si>
    <t>https://www.strava.com/activities/4244798246</t>
  </si>
  <si>
    <t>https://www.strava.com/activities/5708358181</t>
  </si>
  <si>
    <t>Fox</t>
  </si>
  <si>
    <t>Leith</t>
  </si>
  <si>
    <t>Keith</t>
  </si>
  <si>
    <t>https://www.strava.com/activities/5320054279</t>
  </si>
  <si>
    <t>https://www.strava.com/activities/5320056119</t>
  </si>
  <si>
    <t>https://www.strava.com/activities/5320049958</t>
  </si>
  <si>
    <t>https://www.strava.com/activities/5318817269</t>
  </si>
  <si>
    <t>https://www.strava.com/activities/5319645874</t>
  </si>
  <si>
    <t>https://www.strava.com/activities/5320058973</t>
  </si>
  <si>
    <t>PowerUp</t>
  </si>
  <si>
    <t>Aero</t>
  </si>
  <si>
    <t>Feather</t>
  </si>
  <si>
    <t>Most tests deliver this time, some deliver 14.34</t>
  </si>
  <si>
    <t>ENVE 8.9</t>
  </si>
  <si>
    <t>Confirmed</t>
  </si>
  <si>
    <t>KOM Reverse</t>
  </si>
  <si>
    <t>KOM Forward</t>
  </si>
  <si>
    <t>Percentile</t>
  </si>
  <si>
    <t>https://www.strava.com/activities/3200726490</t>
  </si>
  <si>
    <t>https://www.strava.com/activities/3200709833</t>
  </si>
  <si>
    <t>https://www.strava.com/activities/3200994635</t>
  </si>
  <si>
    <t>https://www.strava.com/activities/3200995758</t>
  </si>
  <si>
    <t>https://www.strava.com/activities/3201195938</t>
  </si>
  <si>
    <t>https://www.strava.com/activities/3201208268</t>
  </si>
  <si>
    <t>https://www.strava.com/activities/3246533655</t>
  </si>
  <si>
    <t>https://www.strava.com/activities/3247321430</t>
  </si>
  <si>
    <t>https://www.strava.com/activities/4000952326</t>
  </si>
  <si>
    <t>https://www.strava.com/activities/4000929445</t>
  </si>
  <si>
    <t>https://www.strava.com/activities/4001627764</t>
  </si>
  <si>
    <t>https://www.strava.com/activities/4001625981</t>
  </si>
  <si>
    <t>https://www.strava.com/activities/3420453413</t>
  </si>
  <si>
    <t>Lightweight Meilensteins</t>
  </si>
  <si>
    <t>https://www.strava.com/activities/3421086961</t>
  </si>
  <si>
    <t>Enve 3.4</t>
  </si>
  <si>
    <t>https://www.strava.com/activities/3421087539</t>
  </si>
  <si>
    <t>https://www.strava.com/activities/2191954587</t>
  </si>
  <si>
    <t>https://www.strava.com/activities/4317966043</t>
  </si>
  <si>
    <t>https://www.strava.com/activities/4315723025</t>
  </si>
  <si>
    <t>https://www.strava.com/activities/4320041930</t>
  </si>
  <si>
    <t>https://www.strava.com/activities/4323199308</t>
  </si>
  <si>
    <t>https://www.strava.com/activities/4323543772</t>
  </si>
  <si>
    <t>Full Course</t>
  </si>
  <si>
    <t>Version 1.0.41097</t>
  </si>
  <si>
    <t>Version 1.0.42125</t>
  </si>
  <si>
    <t>Version 1.0.41943</t>
  </si>
  <si>
    <t>Bora Ultra 50</t>
  </si>
  <si>
    <t>ENVE SES 6,7</t>
  </si>
  <si>
    <t>Mavic Ultimate UST</t>
  </si>
  <si>
    <t>Bora Ultra 35</t>
  </si>
  <si>
    <t>Zwift 50mm</t>
  </si>
  <si>
    <t>Zwift 32mm</t>
  </si>
  <si>
    <t>Zwift Buffalo Fahrhad</t>
  </si>
  <si>
    <t>https://www.strava.com/activities/2915642148</t>
  </si>
  <si>
    <t>Version 1.0.43645</t>
  </si>
  <si>
    <t>https://www.strava.com/activities/2915874422</t>
  </si>
  <si>
    <t>https://www.strava.com/activities/4231359518</t>
  </si>
  <si>
    <t>https://www.strava.com/activities/4237339455</t>
  </si>
  <si>
    <t>Version 1.0.57620</t>
  </si>
  <si>
    <t>https://www.strava.com/activities/4242074076</t>
  </si>
  <si>
    <t>Flat</t>
  </si>
  <si>
    <t>Rolling</t>
  </si>
  <si>
    <t>https://www.strava.com/activities/2833386770</t>
  </si>
  <si>
    <t>https://www.strava.com/activities/2840490094</t>
  </si>
  <si>
    <t>https://www.strava.com/activities/2834104750</t>
  </si>
  <si>
    <t>https://www.strava.com/activities/2833306958</t>
  </si>
  <si>
    <t>https://www.strava.com/activities/2841214241</t>
  </si>
  <si>
    <t>https://www.strava.com/activities/2840854181</t>
  </si>
  <si>
    <t>https://www.strava.com/activities/2833171022</t>
  </si>
  <si>
    <t>https://www.strava.com/activities/2833855081</t>
  </si>
  <si>
    <t>https://www.strava.com/activities/2836850214</t>
  </si>
  <si>
    <t>https://www.strava.com/activities/2836873859</t>
  </si>
  <si>
    <t>https://www.strava.com/activities/2839267832</t>
  </si>
  <si>
    <t>https://www.strava.com/activities/2839867944</t>
  </si>
  <si>
    <t>https://www.strava.com/activities/2840554072</t>
  </si>
  <si>
    <t>https://www.strava.com/activities/2833972327</t>
  </si>
  <si>
    <t>https://www.strava.com/activities/2841496409</t>
  </si>
  <si>
    <t>https://www.strava.com/activities/2833602612</t>
  </si>
  <si>
    <t>https://www.strava.com/activities/2834027932</t>
  </si>
  <si>
    <t>https://www.strava.com/activities/2831981873</t>
  </si>
  <si>
    <t>https://www.strava.com/activities/2831982601</t>
  </si>
  <si>
    <t>https://www.strava.com/activities/2839429644</t>
  </si>
  <si>
    <t>https://www.strava.com/activities/2831909875</t>
  </si>
  <si>
    <t>https://www.strava.com/activities/2840854276</t>
  </si>
  <si>
    <t>https://www.strava.com/activities/2841100137</t>
  </si>
  <si>
    <t>Estimated</t>
  </si>
  <si>
    <t>https://www.strava.com/activities/2833536423</t>
  </si>
  <si>
    <t>https://www.strava.com/activities/2834157766</t>
  </si>
  <si>
    <t>https://www.strava.com/activities/2840718840</t>
  </si>
  <si>
    <t>https://www.strava.com/activities/2841213336</t>
  </si>
  <si>
    <t>Chapter 2 Rere</t>
  </si>
  <si>
    <t>https://www.strava.com/activities/2833672545</t>
  </si>
  <si>
    <t>https://www.strava.com/activities/2836821868</t>
  </si>
  <si>
    <t>https://www.strava.com/activities/2836899869</t>
  </si>
  <si>
    <t>https://www.strava.com/activities/2836913883</t>
  </si>
  <si>
    <t>https://www.strava.com/activities/2838268325</t>
  </si>
  <si>
    <t>https://www.strava.com/activities/2841086723</t>
  </si>
  <si>
    <t>https://www.strava.com/activities/2841628459</t>
  </si>
  <si>
    <t>https://www.strava.com/activities/2833240588</t>
  </si>
  <si>
    <t>https://www.strava.com/activities/2833465625</t>
  </si>
  <si>
    <t>https://www.strava.com/activities/2833906441</t>
  </si>
  <si>
    <t>https://www.strava.com/activities/2836892722</t>
  </si>
  <si>
    <t>https://www.strava.com/activities/2838271446</t>
  </si>
  <si>
    <t>https://www.strava.com/activities/2839367781</t>
  </si>
  <si>
    <t>https://www.strava.com/activities/2839658309</t>
  </si>
  <si>
    <t>https://www.strava.com/activities/2840635701</t>
  </si>
  <si>
    <t>https://www.strava.com/activities/2840720610</t>
  </si>
  <si>
    <t>https://www.strava.com/activities/2840980106</t>
  </si>
  <si>
    <t>https://www.strava.com/activities/2831252240</t>
  </si>
  <si>
    <t>Cannondale Caad12</t>
  </si>
  <si>
    <t>https://www.strava.com/activities/2831328524</t>
  </si>
  <si>
    <t>Chapter 2 Tere</t>
  </si>
  <si>
    <t>https://www.strava.com/activities/2833781948</t>
  </si>
  <si>
    <t>https://www.strava.com/activities/2836717792</t>
  </si>
  <si>
    <t>https://www.strava.com/activities/2831849179</t>
  </si>
  <si>
    <t>https://www.strava.com/activities/2836784278</t>
  </si>
  <si>
    <t>https://www.strava.com/activities/2839484073</t>
  </si>
  <si>
    <t>https://www.strava.com/activities/2839540694</t>
  </si>
  <si>
    <t>https://www.strava.com/activities/2831415698</t>
  </si>
  <si>
    <t>https://www.strava.com/activities/2839680414</t>
  </si>
  <si>
    <t>https://www.strava.com/activities/2839760096</t>
  </si>
  <si>
    <t>https://www.strava.com/activities/2839818678</t>
  </si>
  <si>
    <t>https://www.strava.com/activities/2840985112</t>
  </si>
  <si>
    <t>https://www.strava.com/activities/2841323954</t>
  </si>
  <si>
    <t>https://www.strava.com/activities/2841424887</t>
  </si>
  <si>
    <t>https://www.strava.com/activities/2841425805</t>
  </si>
  <si>
    <t>https://www.strava.com/activities/2841335141</t>
  </si>
  <si>
    <t>Full Lap</t>
  </si>
  <si>
    <t>10km Flat</t>
  </si>
  <si>
    <t>Volcano Climb</t>
  </si>
  <si>
    <t>Volcano Descent</t>
  </si>
  <si>
    <t>Giant Propel Advanced SL 1</t>
  </si>
  <si>
    <t>https://www.strava.com/activities/4766103829</t>
  </si>
  <si>
    <t>Cannondale System Six</t>
  </si>
  <si>
    <t>Comete Pro Carbon SL UST</t>
  </si>
  <si>
    <t>Cosmic CXR60c</t>
  </si>
  <si>
    <t>Cosmic Ultimate UST</t>
  </si>
  <si>
    <t>Giant TCR Advanced Pro</t>
  </si>
  <si>
    <t>Safety</t>
  </si>
  <si>
    <t>Classic</t>
  </si>
  <si>
    <t>Buffalo Fahrrad</t>
  </si>
  <si>
    <t>Retest</t>
  </si>
  <si>
    <t>Climb</t>
  </si>
  <si>
    <t>Reverse</t>
  </si>
  <si>
    <t>https://www.strava.com/activities/3634426967</t>
  </si>
  <si>
    <t>https://www.strava.com/activities/3634427578</t>
  </si>
  <si>
    <t>climb time incorrect</t>
  </si>
  <si>
    <t>https://www.strava.com/activities/3634699636</t>
  </si>
  <si>
    <t>https://www.strava.com/activities/3635466208</t>
  </si>
  <si>
    <t>Specialized P5</t>
  </si>
  <si>
    <t>https://www.strava.com/activities/3638533423</t>
  </si>
  <si>
    <t>2nd attempt to verify climb time</t>
  </si>
  <si>
    <t>https://www.strava.com/activities/5002856445</t>
  </si>
  <si>
    <t>https://www.strava.com/activities/5003776214</t>
  </si>
  <si>
    <t>Titans KOM</t>
  </si>
  <si>
    <t>Hill KOM</t>
  </si>
  <si>
    <t>Volcano KOM</t>
  </si>
  <si>
    <t>Titans KOM Rev</t>
  </si>
  <si>
    <t>https://www.strava.com/activities/4157050973</t>
  </si>
  <si>
    <t>https://www.strava.com/activities/4158260805</t>
  </si>
  <si>
    <t>https://www.strava.com/activities/4158262067</t>
  </si>
  <si>
    <t>https://www.strava.com/activities/4157050653</t>
  </si>
  <si>
    <t>https://www.strava.com/activities/4156751990</t>
  </si>
  <si>
    <t>https://www.strava.com/activities/4156751556</t>
  </si>
  <si>
    <t>https://www.strava.com/activities/4159669496</t>
  </si>
  <si>
    <t>https://www.strava.com/activities/4159668658</t>
  </si>
  <si>
    <t>KOM Rev</t>
  </si>
  <si>
    <t>East Side Climb</t>
  </si>
  <si>
    <t>https://www.strava.com/activities/4756860840</t>
  </si>
  <si>
    <t>https://www.strava.com/activities/4757433068</t>
  </si>
  <si>
    <t>https://www.strava.com/activities/4757433652</t>
  </si>
  <si>
    <t>Libby Climb</t>
  </si>
  <si>
    <t>23rd St Climb</t>
  </si>
  <si>
    <t>32mm carbon</t>
  </si>
  <si>
    <t>35s</t>
  </si>
  <si>
    <t>34s</t>
  </si>
  <si>
    <t>43s</t>
  </si>
  <si>
    <t>42s</t>
  </si>
  <si>
    <t>45s</t>
  </si>
  <si>
    <t>49s</t>
  </si>
  <si>
    <t>52s</t>
  </si>
  <si>
    <t>55s</t>
  </si>
  <si>
    <t>54s</t>
  </si>
  <si>
    <t>56s</t>
  </si>
  <si>
    <t>59s</t>
  </si>
  <si>
    <t>https://www.strava.com/activities/4221903349</t>
  </si>
  <si>
    <t>https://www.strava.com/activities/4220927275</t>
  </si>
  <si>
    <t>https://www.strava.com/activities/4220928339</t>
  </si>
  <si>
    <t>Zwift Concept ZI (Tron)</t>
  </si>
  <si>
    <t>https://www.strava.com/activities/4232923110</t>
  </si>
  <si>
    <t>https://www.strava.com/activities/4233029383</t>
  </si>
  <si>
    <t>Reverse KOM</t>
  </si>
  <si>
    <t>Forward KOM</t>
  </si>
  <si>
    <t>https://www.strava.com/activities/4286777856</t>
  </si>
  <si>
    <t>https://www.strava.com/activities/4285684324</t>
  </si>
  <si>
    <t>https://www.strava.com/activities/4285789316</t>
  </si>
  <si>
    <t>https://www.strava.com/activities/4286780421</t>
  </si>
  <si>
    <t>https://www.strava.com/activities/4285701234</t>
  </si>
  <si>
    <t>KOM</t>
  </si>
  <si>
    <t>https://www.strava.com/activities/4446639452</t>
  </si>
  <si>
    <t>https://www.strava.com/activities/4448146333</t>
  </si>
  <si>
    <t>https://www.strava.com/activities/4447903338</t>
  </si>
  <si>
    <t>Downhill 1</t>
  </si>
  <si>
    <t>Downhill 2</t>
  </si>
  <si>
    <t>27s</t>
  </si>
  <si>
    <t>28s</t>
  </si>
  <si>
    <t>29s</t>
  </si>
  <si>
    <t>30s</t>
  </si>
  <si>
    <t>31s</t>
  </si>
  <si>
    <t>Specialized Shiv 2019</t>
  </si>
  <si>
    <t>Shiv</t>
  </si>
  <si>
    <t>OLD Buffalo Fahrrad</t>
  </si>
  <si>
    <t>Enve SES 6.7</t>
  </si>
  <si>
    <t>Pinarello Dogma</t>
  </si>
  <si>
    <t>OLD Tron bike (Concept Z1)</t>
  </si>
  <si>
    <t>Bontrager Aeolus 5</t>
  </si>
  <si>
    <t>50mm carbon</t>
  </si>
  <si>
    <t>Zwift Safety (April 1 2016)</t>
  </si>
  <si>
    <t>32s</t>
  </si>
  <si>
    <t>33s</t>
  </si>
  <si>
    <t>% of overall time</t>
  </si>
  <si>
    <t>Note: these results aren't current anymore, since Zwift adjusted Crr values for brick, which makes up a portion of the route</t>
  </si>
  <si>
    <t>Zipp 858/Super 9</t>
  </si>
  <si>
    <t>270/330</t>
  </si>
  <si>
    <t>270 on flat, 330 on climb</t>
  </si>
  <si>
    <t>https://www.strava.com/activities/3424202019</t>
  </si>
  <si>
    <t>Version 1.0.40555</t>
  </si>
  <si>
    <t>Version 1.0.41095</t>
  </si>
  <si>
    <t>Zwift 32mm Carbon</t>
  </si>
  <si>
    <t>Zwift 50mm Carbon</t>
  </si>
  <si>
    <t>Flat 1</t>
  </si>
  <si>
    <t>Flat 2</t>
  </si>
  <si>
    <t>Reverse Climb</t>
  </si>
  <si>
    <t>Forward Climb</t>
  </si>
  <si>
    <t>Reverse Downhill</t>
  </si>
  <si>
    <t>Forward Downhill</t>
  </si>
  <si>
    <t>Tron bike (Concept Z1)</t>
  </si>
  <si>
    <t>Buffalo Fahrrad (old)</t>
  </si>
  <si>
    <t>Z-Wheeler</t>
  </si>
  <si>
    <t>na</t>
  </si>
  <si>
    <t>Based on Richmond times, this looks like a bad test.</t>
  </si>
  <si>
    <t>Lightweight</t>
  </si>
  <si>
    <t>808/Disc</t>
  </si>
  <si>
    <t>Helmet</t>
  </si>
  <si>
    <t>None</t>
  </si>
  <si>
    <t>Emonda</t>
  </si>
  <si>
    <t>Bone Bike (Halloween)</t>
  </si>
  <si>
    <t>Bones</t>
  </si>
  <si>
    <t>https://www.strava.com/activities/1937847233</t>
  </si>
  <si>
    <t>https://www.strava.com/activities/2000270875</t>
  </si>
  <si>
    <t>https://www.strava.com/activities/2025390806</t>
  </si>
  <si>
    <t>Newsy Hat</t>
  </si>
  <si>
    <t>https://www.strava.com/activities/2026979106</t>
  </si>
  <si>
    <t>Bell Javelin</t>
  </si>
  <si>
    <t>:04:48</t>
  </si>
  <si>
    <t>https://www.strava.com/activities/2025238453</t>
  </si>
  <si>
    <t>Giro Vanquish</t>
  </si>
  <si>
    <t>https://www.strava.com/activities/2025516813</t>
  </si>
  <si>
    <t>Laser Bullet</t>
  </si>
  <si>
    <t>https://www.strava.com/activities/2026682163</t>
  </si>
  <si>
    <t>https://www.strava.com/activities/2024423474</t>
  </si>
  <si>
    <t>https://www.strava.com/activities/2024307875</t>
  </si>
  <si>
    <t>https://www.strava.com/activities/2024181031</t>
  </si>
  <si>
    <t>S-Works</t>
  </si>
  <si>
    <t>https://www.strava.com/activities/2025619782</t>
  </si>
  <si>
    <t>https://www.strava.com/activities/2025712337</t>
  </si>
  <si>
    <t>https://www.strava.com/activities/2025872403</t>
  </si>
  <si>
    <t>https://www.strava.com/activities/3011917629</t>
  </si>
  <si>
    <t>https://www.strava.com/activities/3012213219</t>
  </si>
  <si>
    <t>https://www.strava.com/activities/3012054373</t>
  </si>
  <si>
    <t>Flat Test</t>
  </si>
  <si>
    <t>DT Swiss</t>
  </si>
  <si>
    <t>Climb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</si>
</sst>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:&quot;ss"/>
    <numFmt numFmtId="165" formatCode="m&quot;:&quot;ss&quot;.&quot;00"/>
  </numFmts>
  <fonts count="36">
    <font>
      <sz val="10.0"/>
      <color rgb="FF000000"/>
      <name val="Arial"/>
    </font>
    <font>
      <b/>
      <sz val="12.0"/>
      <color rgb="FF555555"/>
      <name val="Raleway"/>
    </font>
    <font/>
    <font>
      <sz val="12.0"/>
      <color rgb="FF333333"/>
      <name val="Raleway"/>
    </font>
    <font>
      <u/>
      <color rgb="FF1155CC"/>
      <name val="Arial"/>
    </font>
    <font>
      <name val="Arial"/>
    </font>
    <font>
      <u/>
      <color rgb="FF1155CC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color rgb="FF000000"/>
    </font>
    <font>
      <u/>
      <color rgb="FF0000FF"/>
      <name val="Arial"/>
    </font>
    <font>
      <u/>
      <sz val="12.0"/>
      <color rgb="FF4BB6F5"/>
      <name val="Raleway"/>
    </font>
    <font>
      <i/>
      <name val="Arial"/>
    </font>
    <font>
      <u/>
      <color rgb="FF0000FF"/>
      <name val="Arial"/>
    </font>
    <font>
      <u/>
      <sz val="12.0"/>
      <color rgb="FF4BB6F5"/>
      <name val="Raleway"/>
    </font>
    <font>
      <u/>
      <sz val="12.0"/>
      <color rgb="FF4BB6F5"/>
      <name val="Raleway"/>
    </font>
    <font>
      <i/>
    </font>
    <font>
      <u/>
      <sz val="12.0"/>
      <color rgb="FF1155CC"/>
      <name val="Raleway"/>
    </font>
    <font>
      <sz val="12.0"/>
      <color rgb="FF4BB6F5"/>
      <name val="Raleway"/>
    </font>
    <font>
      <i/>
      <sz val="12.0"/>
      <color rgb="FF333333"/>
      <name val="Raleway"/>
    </font>
    <font>
      <sz val="12.0"/>
      <color rgb="FFFF0000"/>
      <name val="Raleway"/>
    </font>
    <font>
      <i/>
      <sz val="12.0"/>
      <color rgb="FF000000"/>
      <name val="Raleway"/>
    </font>
    <font>
      <b/>
      <sz val="12.0"/>
      <color rgb="FF333333"/>
      <name val="Raleway"/>
    </font>
    <font>
      <u/>
      <sz val="12.0"/>
      <color rgb="FF4BB6F5"/>
      <name val="Raleway"/>
    </font>
    <font>
      <i/>
      <sz val="12.0"/>
      <color rgb="FFFF0000"/>
      <name val="Raleway"/>
    </font>
    <font>
      <sz val="12.0"/>
      <color rgb="FF000000"/>
      <name val="Raleway"/>
    </font>
    <font>
      <u/>
      <sz val="12.0"/>
      <color rgb="FF333333"/>
      <name val="Raleway"/>
    </font>
    <font>
      <u/>
      <sz val="12.0"/>
      <color rgb="FF333333"/>
      <name val="Raleway"/>
    </font>
    <font>
      <u/>
      <sz val="12.0"/>
      <color rgb="FF333333"/>
      <name val="Raleway"/>
    </font>
  </fonts>
  <fills count="9">
    <fill>
      <patternFill patternType="none"/>
    </fill>
    <fill>
      <patternFill patternType="lightGray"/>
    </fill>
    <fill>
      <patternFill patternType="solid">
        <fgColor rgb="FFECF7F1"/>
        <bgColor rgb="FFECF7F1"/>
      </patternFill>
    </fill>
    <fill>
      <patternFill patternType="solid">
        <fgColor rgb="FFFFFFFF"/>
        <bgColor rgb="FFFFFFFF"/>
      </patternFill>
    </fill>
    <fill>
      <patternFill patternType="solid">
        <fgColor rgb="FF6EC49A"/>
        <bgColor rgb="FF6EC49A"/>
      </patternFill>
    </fill>
    <fill>
      <patternFill patternType="solid">
        <fgColor rgb="FF64C093"/>
        <bgColor rgb="FF64C093"/>
      </patternFill>
    </fill>
    <fill>
      <patternFill patternType="solid">
        <fgColor rgb="FF62BF91"/>
        <bgColor rgb="FF62BF91"/>
      </patternFill>
    </fill>
    <fill>
      <patternFill patternType="solid">
        <fgColor rgb="FF5FBE90"/>
        <bgColor rgb="FF5FBE90"/>
      </patternFill>
    </fill>
    <fill>
      <patternFill patternType="solid">
        <fgColor rgb="FF68C296"/>
        <bgColor rgb="FF68C29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3" numFmtId="46" xfId="0" applyAlignment="1" applyFont="1" applyNumberFormat="1">
      <alignment horizontal="left" readingOrder="0" vertical="top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vertical="top"/>
    </xf>
    <xf borderId="0" fillId="0" fontId="3" numFmtId="46" xfId="0" applyAlignment="1" applyFont="1" applyNumberFormat="1">
      <alignment horizontal="left" readingOrder="0" vertical="top"/>
    </xf>
    <xf borderId="0" fillId="0" fontId="7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0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vertical="top"/>
    </xf>
    <xf borderId="1" fillId="0" fontId="5" numFmtId="0" xfId="0" applyAlignment="1" applyBorder="1" applyFont="1">
      <alignment horizontal="left" vertical="bottom"/>
    </xf>
    <xf borderId="0" fillId="0" fontId="3" numFmtId="21" xfId="0" applyAlignment="1" applyFont="1" applyNumberFormat="1">
      <alignment horizontal="left" readingOrder="0" vertical="top"/>
    </xf>
    <xf borderId="1" fillId="0" fontId="1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left" shrinkToFit="0" vertical="bottom" wrapText="0"/>
    </xf>
    <xf borderId="1" fillId="0" fontId="14" numFmtId="0" xfId="0" applyAlignment="1" applyBorder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horizontal="left" vertical="bottom"/>
    </xf>
    <xf borderId="0" fillId="0" fontId="19" numFmtId="0" xfId="0" applyAlignment="1" applyFont="1">
      <alignment horizontal="left" readingOrder="0" vertical="bottom"/>
    </xf>
    <xf borderId="0" fillId="0" fontId="20" numFmtId="0" xfId="0" applyAlignment="1" applyFont="1">
      <alignment horizontal="left" readingOrder="0" vertical="bottom"/>
    </xf>
    <xf borderId="0" fillId="0" fontId="21" numFmtId="0" xfId="0" applyAlignment="1" applyFont="1">
      <alignment horizontal="left" readingOrder="0" vertical="bottom"/>
    </xf>
    <xf borderId="0" fillId="0" fontId="19" numFmtId="0" xfId="0" applyAlignment="1" applyFont="1">
      <alignment horizontal="left" vertical="bottom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23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0" fillId="0" fontId="5" numFmtId="0" xfId="0" applyAlignment="1" applyFont="1">
      <alignment horizontal="left" shrinkToFit="0" vertical="bottom" wrapText="0"/>
    </xf>
    <xf borderId="1" fillId="0" fontId="23" numFmtId="0" xfId="0" applyAlignment="1" applyBorder="1" applyFont="1">
      <alignment horizontal="left"/>
    </xf>
    <xf borderId="1" fillId="0" fontId="19" numFmtId="0" xfId="0" applyAlignment="1" applyBorder="1" applyFont="1">
      <alignment horizontal="left" vertical="bottom"/>
    </xf>
    <xf borderId="0" fillId="0" fontId="19" numFmtId="0" xfId="0" applyAlignment="1" applyFont="1">
      <alignment vertical="bottom"/>
    </xf>
    <xf borderId="1" fillId="0" fontId="2" numFmtId="0" xfId="0" applyBorder="1" applyFont="1"/>
    <xf borderId="0" fillId="2" fontId="3" numFmtId="10" xfId="0" applyAlignment="1" applyFill="1" applyFont="1" applyNumberFormat="1">
      <alignment horizontal="left" vertical="top"/>
    </xf>
    <xf borderId="0" fillId="0" fontId="3" numFmtId="10" xfId="0" applyAlignment="1" applyFont="1" applyNumberFormat="1">
      <alignment horizontal="left" readingOrder="0" vertical="top"/>
    </xf>
    <xf borderId="0" fillId="3" fontId="3" numFmtId="46" xfId="0" applyAlignment="1" applyFill="1" applyFont="1" applyNumberFormat="1">
      <alignment horizontal="left" readingOrder="0" vertical="top"/>
    </xf>
    <xf borderId="0" fillId="3" fontId="3" numFmtId="10" xfId="0" applyAlignment="1" applyFont="1" applyNumberFormat="1">
      <alignment horizontal="left" readingOrder="0" vertical="top"/>
    </xf>
    <xf borderId="0" fillId="0" fontId="2" numFmtId="0" xfId="0" applyAlignment="1" applyFont="1">
      <alignment readingOrder="0"/>
    </xf>
    <xf borderId="0" fillId="4" fontId="3" numFmtId="10" xfId="0" applyAlignment="1" applyFill="1" applyFont="1" applyNumberFormat="1">
      <alignment horizontal="left" vertical="top"/>
    </xf>
    <xf borderId="0" fillId="5" fontId="3" numFmtId="10" xfId="0" applyAlignment="1" applyFill="1" applyFont="1" applyNumberFormat="1">
      <alignment horizontal="left" vertical="top"/>
    </xf>
    <xf borderId="0" fillId="6" fontId="3" numFmtId="10" xfId="0" applyAlignment="1" applyFill="1" applyFont="1" applyNumberFormat="1">
      <alignment horizontal="left" vertical="top"/>
    </xf>
    <xf borderId="0" fillId="7" fontId="3" numFmtId="10" xfId="0" applyAlignment="1" applyFill="1" applyFont="1" applyNumberFormat="1">
      <alignment horizontal="left" vertical="top"/>
    </xf>
    <xf borderId="0" fillId="0" fontId="1" numFmtId="2" xfId="0" applyAlignment="1" applyFont="1" applyNumberFormat="1">
      <alignment horizontal="left" readingOrder="0"/>
    </xf>
    <xf borderId="0" fillId="0" fontId="3" numFmtId="2" xfId="0" applyAlignment="1" applyFont="1" applyNumberFormat="1">
      <alignment horizontal="left" readingOrder="0" vertical="top"/>
    </xf>
    <xf borderId="0" fillId="0" fontId="2" numFmtId="2" xfId="0" applyFont="1" applyNumberFormat="1"/>
    <xf borderId="0" fillId="0" fontId="3" numFmtId="0" xfId="0" applyAlignment="1" applyFont="1">
      <alignment vertical="top"/>
    </xf>
    <xf borderId="0" fillId="8" fontId="3" numFmtId="10" xfId="0" applyAlignment="1" applyFill="1" applyFont="1" applyNumberFormat="1">
      <alignment horizontal="left" vertical="top"/>
    </xf>
    <xf borderId="0" fillId="0" fontId="3" numFmtId="10" xfId="0" applyAlignment="1" applyFont="1" applyNumberFormat="1">
      <alignment horizontal="left" vertical="top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 vertical="top"/>
    </xf>
    <xf borderId="0" fillId="0" fontId="27" numFmtId="46" xfId="0" applyAlignment="1" applyFont="1" applyNumberFormat="1">
      <alignment horizontal="left" readingOrder="0" vertical="top"/>
    </xf>
    <xf borderId="0" fillId="0" fontId="23" numFmtId="0" xfId="0" applyAlignment="1" applyFont="1">
      <alignment readingOrder="0"/>
    </xf>
    <xf borderId="0" fillId="0" fontId="28" numFmtId="0" xfId="0" applyAlignment="1" applyFont="1">
      <alignment horizontal="left" readingOrder="0" vertical="top"/>
    </xf>
    <xf borderId="0" fillId="0" fontId="26" numFmtId="0" xfId="0" applyAlignment="1" applyFont="1">
      <alignment horizontal="left" readingOrder="0" vertical="top"/>
    </xf>
    <xf borderId="0" fillId="0" fontId="29" numFmtId="46" xfId="0" applyAlignment="1" applyFont="1" applyNumberFormat="1">
      <alignment horizontal="left" readingOrder="0" vertical="top"/>
    </xf>
    <xf borderId="0" fillId="0" fontId="30" numFmtId="0" xfId="0" applyAlignment="1" applyFont="1">
      <alignment horizontal="left" readingOrder="0"/>
    </xf>
    <xf borderId="0" fillId="0" fontId="3" numFmtId="20" xfId="0" applyAlignment="1" applyFont="1" applyNumberFormat="1">
      <alignment horizontal="left" readingOrder="0" vertical="top"/>
    </xf>
    <xf borderId="0" fillId="0" fontId="25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 vertical="top"/>
    </xf>
    <xf borderId="0" fillId="0" fontId="3" numFmtId="165" xfId="0" applyAlignment="1" applyFont="1" applyNumberFormat="1">
      <alignment horizontal="left" readingOrder="0" vertical="top"/>
    </xf>
    <xf borderId="0" fillId="0" fontId="31" numFmtId="0" xfId="0" applyAlignment="1" applyFont="1">
      <alignment horizontal="left" readingOrder="0" vertical="top"/>
    </xf>
    <xf borderId="0" fillId="0" fontId="32" numFmtId="10" xfId="0" applyAlignment="1" applyFont="1" applyNumberFormat="1">
      <alignment horizontal="left" readingOrder="0"/>
    </xf>
    <xf borderId="0" fillId="0" fontId="1" numFmtId="46" xfId="0" applyAlignment="1" applyFont="1" applyNumberFormat="1">
      <alignment horizontal="left" readingOrder="0"/>
    </xf>
    <xf borderId="0" fillId="0" fontId="33" numFmtId="20" xfId="0" applyAlignment="1" applyFont="1" applyNumberFormat="1">
      <alignment horizontal="left" readingOrder="0" vertical="top"/>
    </xf>
    <xf borderId="0" fillId="0" fontId="34" numFmtId="20" xfId="0" applyAlignment="1" applyFont="1" applyNumberFormat="1">
      <alignment horizontal="left" readingOrder="0" vertical="top"/>
    </xf>
    <xf borderId="0" fillId="0" fontId="26" numFmtId="46" xfId="0" applyAlignment="1" applyFont="1" applyNumberFormat="1">
      <alignment horizontal="left" readingOrder="0" vertical="top"/>
    </xf>
    <xf borderId="0" fillId="0" fontId="2" numFmtId="46" xfId="0" applyFont="1" applyNumberFormat="1"/>
    <xf borderId="0" fillId="0" fontId="35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trava.com/activities/4131204792" TargetMode="External"/><Relationship Id="rId42" Type="http://schemas.openxmlformats.org/officeDocument/2006/relationships/hyperlink" Target="https://www.strava.com/activities/5706839374" TargetMode="External"/><Relationship Id="rId41" Type="http://schemas.openxmlformats.org/officeDocument/2006/relationships/hyperlink" Target="https://www.strava.com/activities/4139516508" TargetMode="External"/><Relationship Id="rId44" Type="http://schemas.openxmlformats.org/officeDocument/2006/relationships/hyperlink" Target="https://www.strava.com/activities/2971157079" TargetMode="External"/><Relationship Id="rId43" Type="http://schemas.openxmlformats.org/officeDocument/2006/relationships/hyperlink" Target="https://www.strava.com/activities/2843767446" TargetMode="External"/><Relationship Id="rId46" Type="http://schemas.openxmlformats.org/officeDocument/2006/relationships/hyperlink" Target="https://www.strava.com/activities/2843766830" TargetMode="External"/><Relationship Id="rId45" Type="http://schemas.openxmlformats.org/officeDocument/2006/relationships/hyperlink" Target="https://www.strava.com/activities/2844450384" TargetMode="External"/><Relationship Id="rId107" Type="http://schemas.openxmlformats.org/officeDocument/2006/relationships/hyperlink" Target="https://www.strava.com/activities/5169627151" TargetMode="External"/><Relationship Id="rId106" Type="http://schemas.openxmlformats.org/officeDocument/2006/relationships/hyperlink" Target="https://www.strava.com/activities/2845696136" TargetMode="External"/><Relationship Id="rId105" Type="http://schemas.openxmlformats.org/officeDocument/2006/relationships/hyperlink" Target="https://www.strava.com/activities/3875892617" TargetMode="External"/><Relationship Id="rId104" Type="http://schemas.openxmlformats.org/officeDocument/2006/relationships/hyperlink" Target="https://www.strava.com/activities/2844233360" TargetMode="External"/><Relationship Id="rId109" Type="http://schemas.openxmlformats.org/officeDocument/2006/relationships/hyperlink" Target="https://www.strava.com/activities/2844334086" TargetMode="External"/><Relationship Id="rId108" Type="http://schemas.openxmlformats.org/officeDocument/2006/relationships/hyperlink" Target="https://www.strava.com/activities/2850597949" TargetMode="External"/><Relationship Id="rId48" Type="http://schemas.openxmlformats.org/officeDocument/2006/relationships/hyperlink" Target="https://www.strava.com/activities/4969454217" TargetMode="External"/><Relationship Id="rId47" Type="http://schemas.openxmlformats.org/officeDocument/2006/relationships/hyperlink" Target="https://www.strava.com/activities/4130438332" TargetMode="External"/><Relationship Id="rId49" Type="http://schemas.openxmlformats.org/officeDocument/2006/relationships/hyperlink" Target="https://www.strava.com/activities/5632925862" TargetMode="External"/><Relationship Id="rId103" Type="http://schemas.openxmlformats.org/officeDocument/2006/relationships/hyperlink" Target="https://www.strava.com/activities/2850542147" TargetMode="External"/><Relationship Id="rId102" Type="http://schemas.openxmlformats.org/officeDocument/2006/relationships/hyperlink" Target="https://www.strava.com/activities/2844490409" TargetMode="External"/><Relationship Id="rId101" Type="http://schemas.openxmlformats.org/officeDocument/2006/relationships/hyperlink" Target="https://www.strava.com/activities/2848057196" TargetMode="External"/><Relationship Id="rId100" Type="http://schemas.openxmlformats.org/officeDocument/2006/relationships/hyperlink" Target="https://www.strava.com/activities/2971724906" TargetMode="External"/><Relationship Id="rId31" Type="http://schemas.openxmlformats.org/officeDocument/2006/relationships/hyperlink" Target="https://www.strava.com/activities/4230888598" TargetMode="External"/><Relationship Id="rId30" Type="http://schemas.openxmlformats.org/officeDocument/2006/relationships/hyperlink" Target="https://www.strava.com/activities/4130001495" TargetMode="External"/><Relationship Id="rId33" Type="http://schemas.openxmlformats.org/officeDocument/2006/relationships/hyperlink" Target="https://www.strava.com/activities/2843767829" TargetMode="External"/><Relationship Id="rId32" Type="http://schemas.openxmlformats.org/officeDocument/2006/relationships/hyperlink" Target="https://www.strava.com/activities/2863313704" TargetMode="External"/><Relationship Id="rId35" Type="http://schemas.openxmlformats.org/officeDocument/2006/relationships/hyperlink" Target="https://www.strava.com/activities/2844142473" TargetMode="External"/><Relationship Id="rId34" Type="http://schemas.openxmlformats.org/officeDocument/2006/relationships/hyperlink" Target="https://www.strava.com/activities/2844038138" TargetMode="External"/><Relationship Id="rId37" Type="http://schemas.openxmlformats.org/officeDocument/2006/relationships/hyperlink" Target="https://www.strava.com/activities/5706438083" TargetMode="External"/><Relationship Id="rId176" Type="http://schemas.openxmlformats.org/officeDocument/2006/relationships/hyperlink" Target="https://www.strava.com/activities/2971856212" TargetMode="External"/><Relationship Id="rId36" Type="http://schemas.openxmlformats.org/officeDocument/2006/relationships/hyperlink" Target="https://www.strava.com/activities/5702973123" TargetMode="External"/><Relationship Id="rId175" Type="http://schemas.openxmlformats.org/officeDocument/2006/relationships/hyperlink" Target="https://www.strava.com/activities/2848229065" TargetMode="External"/><Relationship Id="rId39" Type="http://schemas.openxmlformats.org/officeDocument/2006/relationships/hyperlink" Target="https://www.strava.com/activities/4130210499" TargetMode="External"/><Relationship Id="rId174" Type="http://schemas.openxmlformats.org/officeDocument/2006/relationships/hyperlink" Target="https://www.strava.com/activities/2848420072" TargetMode="External"/><Relationship Id="rId38" Type="http://schemas.openxmlformats.org/officeDocument/2006/relationships/hyperlink" Target="https://www.strava.com/activities/5707204299" TargetMode="External"/><Relationship Id="rId173" Type="http://schemas.openxmlformats.org/officeDocument/2006/relationships/hyperlink" Target="https://www.strava.com/activities/2844334086" TargetMode="External"/><Relationship Id="rId178" Type="http://schemas.openxmlformats.org/officeDocument/2006/relationships/drawing" Target="../drawings/drawing1.xml"/><Relationship Id="rId177" Type="http://schemas.openxmlformats.org/officeDocument/2006/relationships/hyperlink" Target="https://www.strava.com/activities/5708622707" TargetMode="External"/><Relationship Id="rId20" Type="http://schemas.openxmlformats.org/officeDocument/2006/relationships/hyperlink" Target="https://www.strava.com/activities/2843405164" TargetMode="External"/><Relationship Id="rId22" Type="http://schemas.openxmlformats.org/officeDocument/2006/relationships/hyperlink" Target="https://www.strava.com/activities/2843568393" TargetMode="External"/><Relationship Id="rId21" Type="http://schemas.openxmlformats.org/officeDocument/2006/relationships/hyperlink" Target="https://www.strava.com/activities/3380109091" TargetMode="External"/><Relationship Id="rId24" Type="http://schemas.openxmlformats.org/officeDocument/2006/relationships/hyperlink" Target="https://www.strava.com/activities/2843923128" TargetMode="External"/><Relationship Id="rId23" Type="http://schemas.openxmlformats.org/officeDocument/2006/relationships/hyperlink" Target="https://www.strava.com/activities/4969452558" TargetMode="External"/><Relationship Id="rId129" Type="http://schemas.openxmlformats.org/officeDocument/2006/relationships/hyperlink" Target="https://www.strava.com/activities/2849227145" TargetMode="External"/><Relationship Id="rId128" Type="http://schemas.openxmlformats.org/officeDocument/2006/relationships/hyperlink" Target="https://www.strava.com/activities/2850319857" TargetMode="External"/><Relationship Id="rId127" Type="http://schemas.openxmlformats.org/officeDocument/2006/relationships/hyperlink" Target="https://www.strava.com/activities/2856636675" TargetMode="External"/><Relationship Id="rId126" Type="http://schemas.openxmlformats.org/officeDocument/2006/relationships/hyperlink" Target="https://www.strava.com/activities/2848983672" TargetMode="External"/><Relationship Id="rId26" Type="http://schemas.openxmlformats.org/officeDocument/2006/relationships/hyperlink" Target="https://www.strava.com/activities/2843922053" TargetMode="External"/><Relationship Id="rId121" Type="http://schemas.openxmlformats.org/officeDocument/2006/relationships/hyperlink" Target="https://www.strava.com/activities/2848740615" TargetMode="External"/><Relationship Id="rId25" Type="http://schemas.openxmlformats.org/officeDocument/2006/relationships/hyperlink" Target="https://www.strava.com/activities/2843922490" TargetMode="External"/><Relationship Id="rId120" Type="http://schemas.openxmlformats.org/officeDocument/2006/relationships/hyperlink" Target="https://www.strava.com/activities/2848872394" TargetMode="External"/><Relationship Id="rId28" Type="http://schemas.openxmlformats.org/officeDocument/2006/relationships/hyperlink" Target="https://www.strava.com/activities/2848419614" TargetMode="External"/><Relationship Id="rId27" Type="http://schemas.openxmlformats.org/officeDocument/2006/relationships/hyperlink" Target="https://www.strava.com/activities/2844142801" TargetMode="External"/><Relationship Id="rId125" Type="http://schemas.openxmlformats.org/officeDocument/2006/relationships/hyperlink" Target="https://www.strava.com/activities/2845606401" TargetMode="External"/><Relationship Id="rId29" Type="http://schemas.openxmlformats.org/officeDocument/2006/relationships/hyperlink" Target="https://www.strava.com/activities/2844037803" TargetMode="External"/><Relationship Id="rId124" Type="http://schemas.openxmlformats.org/officeDocument/2006/relationships/hyperlink" Target="https://www.strava.com/activities/3907451983" TargetMode="External"/><Relationship Id="rId123" Type="http://schemas.openxmlformats.org/officeDocument/2006/relationships/hyperlink" Target="https://www.strava.com/activities/5631705133" TargetMode="External"/><Relationship Id="rId122" Type="http://schemas.openxmlformats.org/officeDocument/2006/relationships/hyperlink" Target="https://www.strava.com/activities/2848623003" TargetMode="External"/><Relationship Id="rId95" Type="http://schemas.openxmlformats.org/officeDocument/2006/relationships/hyperlink" Target="https://www.strava.com/activities/3373520200" TargetMode="External"/><Relationship Id="rId94" Type="http://schemas.openxmlformats.org/officeDocument/2006/relationships/hyperlink" Target="https://www.strava.com/activities/2850432561" TargetMode="External"/><Relationship Id="rId97" Type="http://schemas.openxmlformats.org/officeDocument/2006/relationships/hyperlink" Target="https://www.strava.com/activities/5706413232" TargetMode="External"/><Relationship Id="rId96" Type="http://schemas.openxmlformats.org/officeDocument/2006/relationships/hyperlink" Target="https://www.strava.com/activities/2853787203" TargetMode="External"/><Relationship Id="rId11" Type="http://schemas.openxmlformats.org/officeDocument/2006/relationships/hyperlink" Target="https://www.strava.com/activities/2843119110" TargetMode="External"/><Relationship Id="rId99" Type="http://schemas.openxmlformats.org/officeDocument/2006/relationships/hyperlink" Target="https://www.strava.com/activities/3225427465" TargetMode="External"/><Relationship Id="rId10" Type="http://schemas.openxmlformats.org/officeDocument/2006/relationships/hyperlink" Target="https://www.strava.com/activities/2842883726" TargetMode="External"/><Relationship Id="rId98" Type="http://schemas.openxmlformats.org/officeDocument/2006/relationships/hyperlink" Target="https://www.strava.com/activities/2846874235" TargetMode="External"/><Relationship Id="rId13" Type="http://schemas.openxmlformats.org/officeDocument/2006/relationships/hyperlink" Target="https://www.strava.com/activities/2843566340" TargetMode="External"/><Relationship Id="rId12" Type="http://schemas.openxmlformats.org/officeDocument/2006/relationships/hyperlink" Target="https://www.strava.com/activities/2843249127" TargetMode="External"/><Relationship Id="rId91" Type="http://schemas.openxmlformats.org/officeDocument/2006/relationships/hyperlink" Target="https://www.strava.com/activities/2844546379" TargetMode="External"/><Relationship Id="rId90" Type="http://schemas.openxmlformats.org/officeDocument/2006/relationships/hyperlink" Target="https://www.strava.com/activities/2846930114" TargetMode="External"/><Relationship Id="rId93" Type="http://schemas.openxmlformats.org/officeDocument/2006/relationships/hyperlink" Target="https://www.strava.com/activities/3373409286" TargetMode="External"/><Relationship Id="rId92" Type="http://schemas.openxmlformats.org/officeDocument/2006/relationships/hyperlink" Target="https://www.strava.com/activities/2844333853" TargetMode="External"/><Relationship Id="rId118" Type="http://schemas.openxmlformats.org/officeDocument/2006/relationships/hyperlink" Target="https://www.strava.com/activities/2849226911" TargetMode="External"/><Relationship Id="rId117" Type="http://schemas.openxmlformats.org/officeDocument/2006/relationships/hyperlink" Target="https://www.strava.com/activities/2850203875" TargetMode="External"/><Relationship Id="rId116" Type="http://schemas.openxmlformats.org/officeDocument/2006/relationships/hyperlink" Target="https://www.strava.com/activities/2848551493" TargetMode="External"/><Relationship Id="rId115" Type="http://schemas.openxmlformats.org/officeDocument/2006/relationships/hyperlink" Target="https://www.strava.com/activities/2845564512" TargetMode="External"/><Relationship Id="rId119" Type="http://schemas.openxmlformats.org/officeDocument/2006/relationships/hyperlink" Target="https://www.strava.com/activities/2848960110" TargetMode="External"/><Relationship Id="rId15" Type="http://schemas.openxmlformats.org/officeDocument/2006/relationships/hyperlink" Target="https://www.strava.com/activities/2843566136" TargetMode="External"/><Relationship Id="rId110" Type="http://schemas.openxmlformats.org/officeDocument/2006/relationships/hyperlink" Target="https://www.strava.com/activities/2853633385" TargetMode="External"/><Relationship Id="rId14" Type="http://schemas.openxmlformats.org/officeDocument/2006/relationships/hyperlink" Target="https://www.strava.com/activities/2843401615" TargetMode="External"/><Relationship Id="rId17" Type="http://schemas.openxmlformats.org/officeDocument/2006/relationships/hyperlink" Target="https://www.strava.com/activities/2842997477" TargetMode="External"/><Relationship Id="rId16" Type="http://schemas.openxmlformats.org/officeDocument/2006/relationships/hyperlink" Target="https://www.strava.com/activities/2843120122" TargetMode="External"/><Relationship Id="rId19" Type="http://schemas.openxmlformats.org/officeDocument/2006/relationships/hyperlink" Target="https://www.strava.com/activities/2843402443" TargetMode="External"/><Relationship Id="rId114" Type="http://schemas.openxmlformats.org/officeDocument/2006/relationships/hyperlink" Target="https://www.strava.com/activities/2846457119" TargetMode="External"/><Relationship Id="rId18" Type="http://schemas.openxmlformats.org/officeDocument/2006/relationships/hyperlink" Target="https://www.strava.com/activities/2843254333" TargetMode="External"/><Relationship Id="rId113" Type="http://schemas.openxmlformats.org/officeDocument/2006/relationships/hyperlink" Target="https://www.strava.com/activities/2844128905" TargetMode="External"/><Relationship Id="rId112" Type="http://schemas.openxmlformats.org/officeDocument/2006/relationships/hyperlink" Target="https://www.strava.com/activities/5325490519" TargetMode="External"/><Relationship Id="rId111" Type="http://schemas.openxmlformats.org/officeDocument/2006/relationships/hyperlink" Target="https://www.strava.com/activities/2855268576" TargetMode="External"/><Relationship Id="rId84" Type="http://schemas.openxmlformats.org/officeDocument/2006/relationships/hyperlink" Target="https://www.strava.com/activities/4230697045" TargetMode="External"/><Relationship Id="rId83" Type="http://schemas.openxmlformats.org/officeDocument/2006/relationships/hyperlink" Target="https://www.strava.com/activities/4129824734" TargetMode="External"/><Relationship Id="rId86" Type="http://schemas.openxmlformats.org/officeDocument/2006/relationships/hyperlink" Target="https://www.strava.com/activities/2863260185" TargetMode="External"/><Relationship Id="rId85" Type="http://schemas.openxmlformats.org/officeDocument/2006/relationships/hyperlink" Target="https://www.strava.com/activities/2848872112" TargetMode="External"/><Relationship Id="rId88" Type="http://schemas.openxmlformats.org/officeDocument/2006/relationships/hyperlink" Target="https://www.strava.com/activities/2849133335" TargetMode="External"/><Relationship Id="rId150" Type="http://schemas.openxmlformats.org/officeDocument/2006/relationships/hyperlink" Target="https://www.strava.com/activities/2991275700" TargetMode="External"/><Relationship Id="rId87" Type="http://schemas.openxmlformats.org/officeDocument/2006/relationships/hyperlink" Target="https://www.strava.com/activities/4381733495" TargetMode="External"/><Relationship Id="rId89" Type="http://schemas.openxmlformats.org/officeDocument/2006/relationships/hyperlink" Target="https://www.strava.com/activities/3225549320" TargetMode="External"/><Relationship Id="rId80" Type="http://schemas.openxmlformats.org/officeDocument/2006/relationships/hyperlink" Target="https://www.strava.com/activities/2844433048" TargetMode="External"/><Relationship Id="rId82" Type="http://schemas.openxmlformats.org/officeDocument/2006/relationships/hyperlink" Target="https://www.strava.com/activities/2848623191" TargetMode="External"/><Relationship Id="rId81" Type="http://schemas.openxmlformats.org/officeDocument/2006/relationships/hyperlink" Target="https://www.strava.com/activities/5631420820" TargetMode="External"/><Relationship Id="rId1" Type="http://schemas.openxmlformats.org/officeDocument/2006/relationships/hyperlink" Target="https://www.strava.com/activities/4969452558" TargetMode="External"/><Relationship Id="rId2" Type="http://schemas.openxmlformats.org/officeDocument/2006/relationships/hyperlink" Target="https://www.strava.com/activities/4969454217" TargetMode="External"/><Relationship Id="rId3" Type="http://schemas.openxmlformats.org/officeDocument/2006/relationships/hyperlink" Target="https://www.strava.com/activities/4974626852" TargetMode="External"/><Relationship Id="rId149" Type="http://schemas.openxmlformats.org/officeDocument/2006/relationships/hyperlink" Target="https://www.strava.com/activities/4974626852" TargetMode="External"/><Relationship Id="rId4" Type="http://schemas.openxmlformats.org/officeDocument/2006/relationships/hyperlink" Target="https://www.strava.com/activities/2982170987" TargetMode="External"/><Relationship Id="rId148" Type="http://schemas.openxmlformats.org/officeDocument/2006/relationships/hyperlink" Target="https://www.strava.com/activities/2981583899" TargetMode="External"/><Relationship Id="rId9" Type="http://schemas.openxmlformats.org/officeDocument/2006/relationships/hyperlink" Target="https://www.strava.com/activities/2842998014" TargetMode="External"/><Relationship Id="rId143" Type="http://schemas.openxmlformats.org/officeDocument/2006/relationships/hyperlink" Target="https://www.strava.com/activities/2915771970" TargetMode="External"/><Relationship Id="rId142" Type="http://schemas.openxmlformats.org/officeDocument/2006/relationships/hyperlink" Target="https://www.strava.com/activities/2915641156" TargetMode="External"/><Relationship Id="rId141" Type="http://schemas.openxmlformats.org/officeDocument/2006/relationships/hyperlink" Target="https://www.strava.com/activities/2850432155" TargetMode="External"/><Relationship Id="rId140" Type="http://schemas.openxmlformats.org/officeDocument/2006/relationships/hyperlink" Target="https://www.strava.com/activities/3328674576" TargetMode="External"/><Relationship Id="rId5" Type="http://schemas.openxmlformats.org/officeDocument/2006/relationships/hyperlink" Target="https://www.strava.com/activities/3048470870" TargetMode="External"/><Relationship Id="rId147" Type="http://schemas.openxmlformats.org/officeDocument/2006/relationships/hyperlink" Target="https://www.strava.com/activities/4969454217" TargetMode="External"/><Relationship Id="rId6" Type="http://schemas.openxmlformats.org/officeDocument/2006/relationships/hyperlink" Target="https://www.strava.com/activities/4999087324" TargetMode="External"/><Relationship Id="rId146" Type="http://schemas.openxmlformats.org/officeDocument/2006/relationships/hyperlink" Target="https://www.strava.com/activities/4969452558" TargetMode="External"/><Relationship Id="rId7" Type="http://schemas.openxmlformats.org/officeDocument/2006/relationships/hyperlink" Target="https://www.strava.com/activities/2842998400" TargetMode="External"/><Relationship Id="rId145" Type="http://schemas.openxmlformats.org/officeDocument/2006/relationships/hyperlink" Target="https://www.strava.com/activities/4959306848" TargetMode="External"/><Relationship Id="rId8" Type="http://schemas.openxmlformats.org/officeDocument/2006/relationships/hyperlink" Target="https://www.strava.com/activities/2843119261" TargetMode="External"/><Relationship Id="rId144" Type="http://schemas.openxmlformats.org/officeDocument/2006/relationships/hyperlink" Target="https://www.strava.com/activities/2915701423" TargetMode="External"/><Relationship Id="rId73" Type="http://schemas.openxmlformats.org/officeDocument/2006/relationships/hyperlink" Target="https://www.strava.com/activities/5631422868" TargetMode="External"/><Relationship Id="rId72" Type="http://schemas.openxmlformats.org/officeDocument/2006/relationships/hyperlink" Target="https://www.strava.com/activities/2844547052" TargetMode="External"/><Relationship Id="rId75" Type="http://schemas.openxmlformats.org/officeDocument/2006/relationships/hyperlink" Target="https://www.strava.com/activities/5706932194" TargetMode="External"/><Relationship Id="rId74" Type="http://schemas.openxmlformats.org/officeDocument/2006/relationships/hyperlink" Target="https://www.strava.com/activities/2848740921" TargetMode="External"/><Relationship Id="rId77" Type="http://schemas.openxmlformats.org/officeDocument/2006/relationships/hyperlink" Target="https://www.strava.com/activities/2849092283" TargetMode="External"/><Relationship Id="rId76" Type="http://schemas.openxmlformats.org/officeDocument/2006/relationships/hyperlink" Target="https://www.strava.com/activities/2847917929" TargetMode="External"/><Relationship Id="rId79" Type="http://schemas.openxmlformats.org/officeDocument/2006/relationships/hyperlink" Target="https://www.strava.com/activities/2844622992" TargetMode="External"/><Relationship Id="rId78" Type="http://schemas.openxmlformats.org/officeDocument/2006/relationships/hyperlink" Target="https://www.strava.com/activities/4141787901" TargetMode="External"/><Relationship Id="rId71" Type="http://schemas.openxmlformats.org/officeDocument/2006/relationships/hyperlink" Target="https://www.strava.com/activities/2845697377" TargetMode="External"/><Relationship Id="rId70" Type="http://schemas.openxmlformats.org/officeDocument/2006/relationships/hyperlink" Target="https://www.strava.com/activities/2844622659" TargetMode="External"/><Relationship Id="rId139" Type="http://schemas.openxmlformats.org/officeDocument/2006/relationships/hyperlink" Target="https://www.strava.com/activities/5047488672" TargetMode="External"/><Relationship Id="rId138" Type="http://schemas.openxmlformats.org/officeDocument/2006/relationships/hyperlink" Target="https://www.strava.com/activities/2850541998" TargetMode="External"/><Relationship Id="rId137" Type="http://schemas.openxmlformats.org/officeDocument/2006/relationships/hyperlink" Target="https://www.strava.com/activities/4837947418" TargetMode="External"/><Relationship Id="rId132" Type="http://schemas.openxmlformats.org/officeDocument/2006/relationships/hyperlink" Target="https://www.strava.com/activities/2848959971" TargetMode="External"/><Relationship Id="rId131" Type="http://schemas.openxmlformats.org/officeDocument/2006/relationships/hyperlink" Target="https://www.strava.com/activities/2849096952" TargetMode="External"/><Relationship Id="rId130" Type="http://schemas.openxmlformats.org/officeDocument/2006/relationships/hyperlink" Target="https://www.strava.com/activities/2849097092" TargetMode="External"/><Relationship Id="rId136" Type="http://schemas.openxmlformats.org/officeDocument/2006/relationships/hyperlink" Target="https://www.strava.com/activities/2982033990" TargetMode="External"/><Relationship Id="rId135" Type="http://schemas.openxmlformats.org/officeDocument/2006/relationships/hyperlink" Target="https://www.strava.com/activities/2844248304" TargetMode="External"/><Relationship Id="rId134" Type="http://schemas.openxmlformats.org/officeDocument/2006/relationships/hyperlink" Target="https://www.strava.com/activities/2844387671" TargetMode="External"/><Relationship Id="rId133" Type="http://schemas.openxmlformats.org/officeDocument/2006/relationships/hyperlink" Target="https://www.strava.com/activities/2843988297" TargetMode="External"/><Relationship Id="rId62" Type="http://schemas.openxmlformats.org/officeDocument/2006/relationships/hyperlink" Target="https://www.strava.com/activities/5169624933" TargetMode="External"/><Relationship Id="rId61" Type="http://schemas.openxmlformats.org/officeDocument/2006/relationships/hyperlink" Target="https://www.strava.com/activities/5326133105" TargetMode="External"/><Relationship Id="rId64" Type="http://schemas.openxmlformats.org/officeDocument/2006/relationships/hyperlink" Target="https://www.strava.com/activities/5324988410" TargetMode="External"/><Relationship Id="rId63" Type="http://schemas.openxmlformats.org/officeDocument/2006/relationships/hyperlink" Target="https://www.strava.com/activities/2845696572" TargetMode="External"/><Relationship Id="rId66" Type="http://schemas.openxmlformats.org/officeDocument/2006/relationships/hyperlink" Target="https://www.strava.com/activities/2844622447" TargetMode="External"/><Relationship Id="rId172" Type="http://schemas.openxmlformats.org/officeDocument/2006/relationships/hyperlink" Target="https://www.strava.com/activities/4974626852" TargetMode="External"/><Relationship Id="rId65" Type="http://schemas.openxmlformats.org/officeDocument/2006/relationships/hyperlink" Target="https://www.strava.com/activities/2845563733" TargetMode="External"/><Relationship Id="rId171" Type="http://schemas.openxmlformats.org/officeDocument/2006/relationships/hyperlink" Target="https://www.strava.com/activities/2844248601" TargetMode="External"/><Relationship Id="rId68" Type="http://schemas.openxmlformats.org/officeDocument/2006/relationships/hyperlink" Target="https://www.strava.com/activities/2845441542" TargetMode="External"/><Relationship Id="rId170" Type="http://schemas.openxmlformats.org/officeDocument/2006/relationships/hyperlink" Target="https://www.strava.com/activities/2857872039" TargetMode="External"/><Relationship Id="rId67" Type="http://schemas.openxmlformats.org/officeDocument/2006/relationships/hyperlink" Target="https://www.strava.com/activities/4130809584" TargetMode="External"/><Relationship Id="rId60" Type="http://schemas.openxmlformats.org/officeDocument/2006/relationships/hyperlink" Target="https://www.strava.com/activities/2844546624" TargetMode="External"/><Relationship Id="rId165" Type="http://schemas.openxmlformats.org/officeDocument/2006/relationships/hyperlink" Target="https://www.strava.com/activities/4244360680" TargetMode="External"/><Relationship Id="rId69" Type="http://schemas.openxmlformats.org/officeDocument/2006/relationships/hyperlink" Target="https://www.strava.com/activities/2844490596" TargetMode="External"/><Relationship Id="rId164" Type="http://schemas.openxmlformats.org/officeDocument/2006/relationships/hyperlink" Target="https://www.strava.com/activities/4231359753" TargetMode="External"/><Relationship Id="rId163" Type="http://schemas.openxmlformats.org/officeDocument/2006/relationships/hyperlink" Target="https://www.strava.com/activities/2924937789" TargetMode="External"/><Relationship Id="rId162" Type="http://schemas.openxmlformats.org/officeDocument/2006/relationships/hyperlink" Target="https://www.strava.com/activities/2915887923" TargetMode="External"/><Relationship Id="rId169" Type="http://schemas.openxmlformats.org/officeDocument/2006/relationships/hyperlink" Target="https://www.strava.com/activities/4244798786" TargetMode="External"/><Relationship Id="rId168" Type="http://schemas.openxmlformats.org/officeDocument/2006/relationships/hyperlink" Target="https://www.strava.com/activities/4244667313" TargetMode="External"/><Relationship Id="rId167" Type="http://schemas.openxmlformats.org/officeDocument/2006/relationships/hyperlink" Target="https://www.strava.com/activities/4243765323" TargetMode="External"/><Relationship Id="rId166" Type="http://schemas.openxmlformats.org/officeDocument/2006/relationships/hyperlink" Target="https://www.strava.com/activities/2915800874" TargetMode="External"/><Relationship Id="rId51" Type="http://schemas.openxmlformats.org/officeDocument/2006/relationships/hyperlink" Target="https://www.strava.com/activities/5706434208" TargetMode="External"/><Relationship Id="rId50" Type="http://schemas.openxmlformats.org/officeDocument/2006/relationships/hyperlink" Target="https://www.strava.com/activities/4230697045" TargetMode="External"/><Relationship Id="rId53" Type="http://schemas.openxmlformats.org/officeDocument/2006/relationships/hyperlink" Target="https://www.strava.com/activities/2845442044" TargetMode="External"/><Relationship Id="rId52" Type="http://schemas.openxmlformats.org/officeDocument/2006/relationships/hyperlink" Target="https://www.strava.com/activities/2845442341" TargetMode="External"/><Relationship Id="rId55" Type="http://schemas.openxmlformats.org/officeDocument/2006/relationships/hyperlink" Target="https://www.strava.com/activities/4132479899" TargetMode="External"/><Relationship Id="rId161" Type="http://schemas.openxmlformats.org/officeDocument/2006/relationships/hyperlink" Target="https://www.strava.com/activities/2909995568" TargetMode="External"/><Relationship Id="rId54" Type="http://schemas.openxmlformats.org/officeDocument/2006/relationships/hyperlink" Target="https://www.strava.com/activities/2844450138" TargetMode="External"/><Relationship Id="rId160" Type="http://schemas.openxmlformats.org/officeDocument/2006/relationships/hyperlink" Target="https://www.strava.com/activities/4974626852" TargetMode="External"/><Relationship Id="rId57" Type="http://schemas.openxmlformats.org/officeDocument/2006/relationships/hyperlink" Target="https://www.strava.com/activities/3876361384" TargetMode="External"/><Relationship Id="rId56" Type="http://schemas.openxmlformats.org/officeDocument/2006/relationships/hyperlink" Target="https://www.strava.com/activities/2844450032" TargetMode="External"/><Relationship Id="rId159" Type="http://schemas.openxmlformats.org/officeDocument/2006/relationships/hyperlink" Target="https://www.strava.com/activities/2909896856" TargetMode="External"/><Relationship Id="rId59" Type="http://schemas.openxmlformats.org/officeDocument/2006/relationships/hyperlink" Target="https://www.strava.com/activities/2844490492" TargetMode="External"/><Relationship Id="rId154" Type="http://schemas.openxmlformats.org/officeDocument/2006/relationships/hyperlink" Target="https://www.strava.com/activities/2879150387" TargetMode="External"/><Relationship Id="rId58" Type="http://schemas.openxmlformats.org/officeDocument/2006/relationships/hyperlink" Target="https://www.strava.com/activities/2845564206" TargetMode="External"/><Relationship Id="rId153" Type="http://schemas.openxmlformats.org/officeDocument/2006/relationships/hyperlink" Target="https://www.strava.com/activities/2879151204" TargetMode="External"/><Relationship Id="rId152" Type="http://schemas.openxmlformats.org/officeDocument/2006/relationships/hyperlink" Target="https://www.strava.com/activities/4969452558" TargetMode="External"/><Relationship Id="rId151" Type="http://schemas.openxmlformats.org/officeDocument/2006/relationships/hyperlink" Target="https://www.strava.com/activities/2982170536" TargetMode="External"/><Relationship Id="rId158" Type="http://schemas.openxmlformats.org/officeDocument/2006/relationships/hyperlink" Target="https://www.strava.com/activities/2981862579" TargetMode="External"/><Relationship Id="rId157" Type="http://schemas.openxmlformats.org/officeDocument/2006/relationships/hyperlink" Target="https://www.strava.com/activities/4974626852" TargetMode="External"/><Relationship Id="rId156" Type="http://schemas.openxmlformats.org/officeDocument/2006/relationships/hyperlink" Target="https://www.strava.com/activities/2981582663" TargetMode="External"/><Relationship Id="rId155" Type="http://schemas.openxmlformats.org/officeDocument/2006/relationships/hyperlink" Target="https://www.strava.com/activities/4969454217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trava.com/activities/4237339455" TargetMode="External"/><Relationship Id="rId10" Type="http://schemas.openxmlformats.org/officeDocument/2006/relationships/hyperlink" Target="https://www.strava.com/activities/4237339455" TargetMode="External"/><Relationship Id="rId13" Type="http://schemas.openxmlformats.org/officeDocument/2006/relationships/hyperlink" Target="https://www.strava.com/activities/4242074076" TargetMode="External"/><Relationship Id="rId12" Type="http://schemas.openxmlformats.org/officeDocument/2006/relationships/hyperlink" Target="https://www.strava.com/activities/4242074076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s://www.strava.com/activities/4962331134" TargetMode="External"/><Relationship Id="rId1" Type="http://schemas.openxmlformats.org/officeDocument/2006/relationships/hyperlink" Target="https://www.strava.com/activities/2915642148" TargetMode="External"/><Relationship Id="rId2" Type="http://schemas.openxmlformats.org/officeDocument/2006/relationships/hyperlink" Target="https://www.strava.com/activities/2915642148" TargetMode="External"/><Relationship Id="rId3" Type="http://schemas.openxmlformats.org/officeDocument/2006/relationships/hyperlink" Target="https://www.strava.com/activities/2915874422" TargetMode="External"/><Relationship Id="rId4" Type="http://schemas.openxmlformats.org/officeDocument/2006/relationships/hyperlink" Target="https://www.strava.com/activities/2915874422" TargetMode="External"/><Relationship Id="rId9" Type="http://schemas.openxmlformats.org/officeDocument/2006/relationships/hyperlink" Target="https://www.strava.com/activities/4231359518" TargetMode="External"/><Relationship Id="rId5" Type="http://schemas.openxmlformats.org/officeDocument/2006/relationships/hyperlink" Target="https://www.strava.com/activities/2915874422" TargetMode="External"/><Relationship Id="rId6" Type="http://schemas.openxmlformats.org/officeDocument/2006/relationships/hyperlink" Target="https://www.strava.com/activities/2915874422" TargetMode="External"/><Relationship Id="rId7" Type="http://schemas.openxmlformats.org/officeDocument/2006/relationships/hyperlink" Target="https://www.strava.com/activities/2915874422" TargetMode="External"/><Relationship Id="rId8" Type="http://schemas.openxmlformats.org/officeDocument/2006/relationships/hyperlink" Target="https://www.strava.com/activities/2915874422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trava.com/activities/2838271446" TargetMode="External"/><Relationship Id="rId42" Type="http://schemas.openxmlformats.org/officeDocument/2006/relationships/hyperlink" Target="https://www.strava.com/activities/2839658309" TargetMode="External"/><Relationship Id="rId41" Type="http://schemas.openxmlformats.org/officeDocument/2006/relationships/hyperlink" Target="https://www.strava.com/activities/2839367781" TargetMode="External"/><Relationship Id="rId44" Type="http://schemas.openxmlformats.org/officeDocument/2006/relationships/hyperlink" Target="https://www.strava.com/activities/2840720610" TargetMode="External"/><Relationship Id="rId43" Type="http://schemas.openxmlformats.org/officeDocument/2006/relationships/hyperlink" Target="https://www.strava.com/activities/2840635701" TargetMode="External"/><Relationship Id="rId46" Type="http://schemas.openxmlformats.org/officeDocument/2006/relationships/hyperlink" Target="https://www.strava.com/activities/2831252240" TargetMode="External"/><Relationship Id="rId45" Type="http://schemas.openxmlformats.org/officeDocument/2006/relationships/hyperlink" Target="https://www.strava.com/activities/2840980106" TargetMode="External"/><Relationship Id="rId48" Type="http://schemas.openxmlformats.org/officeDocument/2006/relationships/hyperlink" Target="https://www.strava.com/activities/2833781948" TargetMode="External"/><Relationship Id="rId47" Type="http://schemas.openxmlformats.org/officeDocument/2006/relationships/hyperlink" Target="https://www.strava.com/activities/2831328524" TargetMode="External"/><Relationship Id="rId49" Type="http://schemas.openxmlformats.org/officeDocument/2006/relationships/hyperlink" Target="https://www.strava.com/activities/2836717792" TargetMode="External"/><Relationship Id="rId31" Type="http://schemas.openxmlformats.org/officeDocument/2006/relationships/hyperlink" Target="https://www.strava.com/activities/2836913883" TargetMode="External"/><Relationship Id="rId30" Type="http://schemas.openxmlformats.org/officeDocument/2006/relationships/hyperlink" Target="https://www.strava.com/activities/2836899869" TargetMode="External"/><Relationship Id="rId33" Type="http://schemas.openxmlformats.org/officeDocument/2006/relationships/hyperlink" Target="https://www.strava.com/activities/2841086723" TargetMode="External"/><Relationship Id="rId32" Type="http://schemas.openxmlformats.org/officeDocument/2006/relationships/hyperlink" Target="https://www.strava.com/activities/2838268325" TargetMode="External"/><Relationship Id="rId35" Type="http://schemas.openxmlformats.org/officeDocument/2006/relationships/hyperlink" Target="https://www.strava.com/activities/2831981873" TargetMode="External"/><Relationship Id="rId34" Type="http://schemas.openxmlformats.org/officeDocument/2006/relationships/hyperlink" Target="https://www.strava.com/activities/2841628459" TargetMode="External"/><Relationship Id="rId37" Type="http://schemas.openxmlformats.org/officeDocument/2006/relationships/hyperlink" Target="https://www.strava.com/activities/2833465625" TargetMode="External"/><Relationship Id="rId36" Type="http://schemas.openxmlformats.org/officeDocument/2006/relationships/hyperlink" Target="https://www.strava.com/activities/2833240588" TargetMode="External"/><Relationship Id="rId39" Type="http://schemas.openxmlformats.org/officeDocument/2006/relationships/hyperlink" Target="https://www.strava.com/activities/2836892722" TargetMode="External"/><Relationship Id="rId38" Type="http://schemas.openxmlformats.org/officeDocument/2006/relationships/hyperlink" Target="https://www.strava.com/activities/2833906441" TargetMode="External"/><Relationship Id="rId20" Type="http://schemas.openxmlformats.org/officeDocument/2006/relationships/hyperlink" Target="https://www.strava.com/activities/2839429644" TargetMode="External"/><Relationship Id="rId22" Type="http://schemas.openxmlformats.org/officeDocument/2006/relationships/hyperlink" Target="https://www.strava.com/activities/2840854276" TargetMode="External"/><Relationship Id="rId21" Type="http://schemas.openxmlformats.org/officeDocument/2006/relationships/hyperlink" Target="https://www.strava.com/activities/2831909875" TargetMode="External"/><Relationship Id="rId24" Type="http://schemas.openxmlformats.org/officeDocument/2006/relationships/hyperlink" Target="https://www.strava.com/activities/2833536423" TargetMode="External"/><Relationship Id="rId23" Type="http://schemas.openxmlformats.org/officeDocument/2006/relationships/hyperlink" Target="https://www.strava.com/activities/2841100137" TargetMode="External"/><Relationship Id="rId26" Type="http://schemas.openxmlformats.org/officeDocument/2006/relationships/hyperlink" Target="https://www.strava.com/activities/2840718840" TargetMode="External"/><Relationship Id="rId25" Type="http://schemas.openxmlformats.org/officeDocument/2006/relationships/hyperlink" Target="https://www.strava.com/activities/2834157766" TargetMode="External"/><Relationship Id="rId28" Type="http://schemas.openxmlformats.org/officeDocument/2006/relationships/hyperlink" Target="https://www.strava.com/activities/2833672545" TargetMode="External"/><Relationship Id="rId27" Type="http://schemas.openxmlformats.org/officeDocument/2006/relationships/hyperlink" Target="https://www.strava.com/activities/2841213336" TargetMode="External"/><Relationship Id="rId29" Type="http://schemas.openxmlformats.org/officeDocument/2006/relationships/hyperlink" Target="https://www.strava.com/activities/2836821868" TargetMode="External"/><Relationship Id="rId11" Type="http://schemas.openxmlformats.org/officeDocument/2006/relationships/hyperlink" Target="https://www.strava.com/activities/2839267832" TargetMode="External"/><Relationship Id="rId10" Type="http://schemas.openxmlformats.org/officeDocument/2006/relationships/hyperlink" Target="https://www.strava.com/activities/2836873859" TargetMode="External"/><Relationship Id="rId13" Type="http://schemas.openxmlformats.org/officeDocument/2006/relationships/hyperlink" Target="https://www.strava.com/activities/2840554072" TargetMode="External"/><Relationship Id="rId12" Type="http://schemas.openxmlformats.org/officeDocument/2006/relationships/hyperlink" Target="https://www.strava.com/activities/2839867944" TargetMode="External"/><Relationship Id="rId15" Type="http://schemas.openxmlformats.org/officeDocument/2006/relationships/hyperlink" Target="https://www.strava.com/activities/2841496409" TargetMode="External"/><Relationship Id="rId14" Type="http://schemas.openxmlformats.org/officeDocument/2006/relationships/hyperlink" Target="https://www.strava.com/activities/2833972327" TargetMode="External"/><Relationship Id="rId17" Type="http://schemas.openxmlformats.org/officeDocument/2006/relationships/hyperlink" Target="https://www.strava.com/activities/2834027932" TargetMode="External"/><Relationship Id="rId16" Type="http://schemas.openxmlformats.org/officeDocument/2006/relationships/hyperlink" Target="https://www.strava.com/activities/2833602612" TargetMode="External"/><Relationship Id="rId19" Type="http://schemas.openxmlformats.org/officeDocument/2006/relationships/hyperlink" Target="https://www.strava.com/activities/2831982601" TargetMode="External"/><Relationship Id="rId18" Type="http://schemas.openxmlformats.org/officeDocument/2006/relationships/hyperlink" Target="https://www.strava.com/activities/2831981873" TargetMode="External"/><Relationship Id="rId1" Type="http://schemas.openxmlformats.org/officeDocument/2006/relationships/hyperlink" Target="https://www.strava.com/activities/2833386770" TargetMode="External"/><Relationship Id="rId2" Type="http://schemas.openxmlformats.org/officeDocument/2006/relationships/hyperlink" Target="https://www.strava.com/activities/2840490094" TargetMode="External"/><Relationship Id="rId3" Type="http://schemas.openxmlformats.org/officeDocument/2006/relationships/hyperlink" Target="https://www.strava.com/activities/2834104750" TargetMode="External"/><Relationship Id="rId4" Type="http://schemas.openxmlformats.org/officeDocument/2006/relationships/hyperlink" Target="https://www.strava.com/activities/2833306958" TargetMode="External"/><Relationship Id="rId9" Type="http://schemas.openxmlformats.org/officeDocument/2006/relationships/hyperlink" Target="https://www.strava.com/activities/2836850214" TargetMode="External"/><Relationship Id="rId5" Type="http://schemas.openxmlformats.org/officeDocument/2006/relationships/hyperlink" Target="https://www.strava.com/activities/2841214241" TargetMode="External"/><Relationship Id="rId6" Type="http://schemas.openxmlformats.org/officeDocument/2006/relationships/hyperlink" Target="https://www.strava.com/activities/2840854181" TargetMode="External"/><Relationship Id="rId7" Type="http://schemas.openxmlformats.org/officeDocument/2006/relationships/hyperlink" Target="https://www.strava.com/activities/2833171022" TargetMode="External"/><Relationship Id="rId8" Type="http://schemas.openxmlformats.org/officeDocument/2006/relationships/hyperlink" Target="https://www.strava.com/activities/2833855081" TargetMode="External"/><Relationship Id="rId62" Type="http://schemas.openxmlformats.org/officeDocument/2006/relationships/hyperlink" Target="https://www.strava.com/activities/2841335141" TargetMode="External"/><Relationship Id="rId61" Type="http://schemas.openxmlformats.org/officeDocument/2006/relationships/hyperlink" Target="https://www.strava.com/activities/2841425805" TargetMode="External"/><Relationship Id="rId63" Type="http://schemas.openxmlformats.org/officeDocument/2006/relationships/drawing" Target="../drawings/drawing11.xml"/><Relationship Id="rId60" Type="http://schemas.openxmlformats.org/officeDocument/2006/relationships/hyperlink" Target="https://www.strava.com/activities/2841424887" TargetMode="External"/><Relationship Id="rId51" Type="http://schemas.openxmlformats.org/officeDocument/2006/relationships/hyperlink" Target="https://www.strava.com/activities/2836784278" TargetMode="External"/><Relationship Id="rId50" Type="http://schemas.openxmlformats.org/officeDocument/2006/relationships/hyperlink" Target="https://www.strava.com/activities/2831849179" TargetMode="External"/><Relationship Id="rId53" Type="http://schemas.openxmlformats.org/officeDocument/2006/relationships/hyperlink" Target="https://www.strava.com/activities/2839540694" TargetMode="External"/><Relationship Id="rId52" Type="http://schemas.openxmlformats.org/officeDocument/2006/relationships/hyperlink" Target="https://www.strava.com/activities/2839484073" TargetMode="External"/><Relationship Id="rId55" Type="http://schemas.openxmlformats.org/officeDocument/2006/relationships/hyperlink" Target="https://www.strava.com/activities/2839680414" TargetMode="External"/><Relationship Id="rId54" Type="http://schemas.openxmlformats.org/officeDocument/2006/relationships/hyperlink" Target="https://www.strava.com/activities/2831415698" TargetMode="External"/><Relationship Id="rId57" Type="http://schemas.openxmlformats.org/officeDocument/2006/relationships/hyperlink" Target="https://www.strava.com/activities/2839818678" TargetMode="External"/><Relationship Id="rId56" Type="http://schemas.openxmlformats.org/officeDocument/2006/relationships/hyperlink" Target="https://www.strava.com/activities/2839760096" TargetMode="External"/><Relationship Id="rId59" Type="http://schemas.openxmlformats.org/officeDocument/2006/relationships/hyperlink" Target="https://www.strava.com/activities/2841323954" TargetMode="External"/><Relationship Id="rId58" Type="http://schemas.openxmlformats.org/officeDocument/2006/relationships/hyperlink" Target="https://www.strava.com/activities/2840985112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4766103829" TargetMode="External"/><Relationship Id="rId2" Type="http://schemas.openxmlformats.org/officeDocument/2006/relationships/hyperlink" Target="https://www.strava.com/activities/4766103829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trava.com/activities/3638533423" TargetMode="External"/><Relationship Id="rId10" Type="http://schemas.openxmlformats.org/officeDocument/2006/relationships/hyperlink" Target="https://www.strava.com/activities/3635466208" TargetMode="External"/><Relationship Id="rId13" Type="http://schemas.openxmlformats.org/officeDocument/2006/relationships/hyperlink" Target="https://www.strava.com/activities/5003776214" TargetMode="External"/><Relationship Id="rId12" Type="http://schemas.openxmlformats.org/officeDocument/2006/relationships/hyperlink" Target="https://www.strava.com/activities/5002856445" TargetMode="External"/><Relationship Id="rId14" Type="http://schemas.openxmlformats.org/officeDocument/2006/relationships/drawing" Target="../drawings/drawing13.xml"/><Relationship Id="rId1" Type="http://schemas.openxmlformats.org/officeDocument/2006/relationships/hyperlink" Target="https://www.strava.com/activities/3634426967" TargetMode="External"/><Relationship Id="rId2" Type="http://schemas.openxmlformats.org/officeDocument/2006/relationships/hyperlink" Target="https://www.strava.com/activities/3634426967" TargetMode="External"/><Relationship Id="rId3" Type="http://schemas.openxmlformats.org/officeDocument/2006/relationships/hyperlink" Target="https://www.strava.com/activities/3634426967" TargetMode="External"/><Relationship Id="rId4" Type="http://schemas.openxmlformats.org/officeDocument/2006/relationships/hyperlink" Target="https://www.strava.com/activities/3634427578" TargetMode="External"/><Relationship Id="rId9" Type="http://schemas.openxmlformats.org/officeDocument/2006/relationships/hyperlink" Target="https://www.strava.com/activities/3635466208" TargetMode="External"/><Relationship Id="rId5" Type="http://schemas.openxmlformats.org/officeDocument/2006/relationships/hyperlink" Target="https://www.strava.com/activities/3634699636" TargetMode="External"/><Relationship Id="rId6" Type="http://schemas.openxmlformats.org/officeDocument/2006/relationships/hyperlink" Target="https://www.strava.com/activities/3634427578" TargetMode="External"/><Relationship Id="rId7" Type="http://schemas.openxmlformats.org/officeDocument/2006/relationships/hyperlink" Target="https://www.strava.com/activities/3635466208" TargetMode="External"/><Relationship Id="rId8" Type="http://schemas.openxmlformats.org/officeDocument/2006/relationships/hyperlink" Target="https://www.strava.com/activities/3635466208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4157050973" TargetMode="External"/><Relationship Id="rId2" Type="http://schemas.openxmlformats.org/officeDocument/2006/relationships/hyperlink" Target="https://www.strava.com/activities/4158260805" TargetMode="External"/><Relationship Id="rId3" Type="http://schemas.openxmlformats.org/officeDocument/2006/relationships/hyperlink" Target="https://www.strava.com/activities/4158262067" TargetMode="External"/><Relationship Id="rId4" Type="http://schemas.openxmlformats.org/officeDocument/2006/relationships/hyperlink" Target="https://www.strava.com/activities/4157050653" TargetMode="External"/><Relationship Id="rId9" Type="http://schemas.openxmlformats.org/officeDocument/2006/relationships/drawing" Target="../drawings/drawing14.xml"/><Relationship Id="rId5" Type="http://schemas.openxmlformats.org/officeDocument/2006/relationships/hyperlink" Target="https://www.strava.com/activities/4156751990" TargetMode="External"/><Relationship Id="rId6" Type="http://schemas.openxmlformats.org/officeDocument/2006/relationships/hyperlink" Target="https://www.strava.com/activities/4156751556" TargetMode="External"/><Relationship Id="rId7" Type="http://schemas.openxmlformats.org/officeDocument/2006/relationships/hyperlink" Target="https://www.strava.com/activities/4159669496" TargetMode="External"/><Relationship Id="rId8" Type="http://schemas.openxmlformats.org/officeDocument/2006/relationships/hyperlink" Target="https://www.strava.com/activities/4159668658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4756860840" TargetMode="External"/><Relationship Id="rId2" Type="http://schemas.openxmlformats.org/officeDocument/2006/relationships/hyperlink" Target="https://www.strava.com/activities/4757433068" TargetMode="External"/><Relationship Id="rId3" Type="http://schemas.openxmlformats.org/officeDocument/2006/relationships/hyperlink" Target="https://www.strava.com/activities/4757433652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6.xml"/><Relationship Id="rId31" Type="http://schemas.openxmlformats.org/officeDocument/2006/relationships/hyperlink" Target="https://www.strava.com/activities/471114174" TargetMode="External"/><Relationship Id="rId30" Type="http://schemas.openxmlformats.org/officeDocument/2006/relationships/hyperlink" Target="https://www.strava.com/activities/471210913" TargetMode="External"/><Relationship Id="rId33" Type="http://schemas.openxmlformats.org/officeDocument/2006/relationships/hyperlink" Target="https://www.strava.com/activities/474554833" TargetMode="External"/><Relationship Id="rId32" Type="http://schemas.openxmlformats.org/officeDocument/2006/relationships/hyperlink" Target="https://www.strava.com/activities/477471028" TargetMode="External"/><Relationship Id="rId35" Type="http://schemas.openxmlformats.org/officeDocument/2006/relationships/hyperlink" Target="https://www.strava.com/activities/480661018" TargetMode="External"/><Relationship Id="rId34" Type="http://schemas.openxmlformats.org/officeDocument/2006/relationships/hyperlink" Target="https://www.strava.com/activities/471186446" TargetMode="External"/><Relationship Id="rId37" Type="http://schemas.openxmlformats.org/officeDocument/2006/relationships/hyperlink" Target="https://www.strava.com/activities/480596918" TargetMode="External"/><Relationship Id="rId36" Type="http://schemas.openxmlformats.org/officeDocument/2006/relationships/hyperlink" Target="https://www.strava.com/activities/470425726" TargetMode="External"/><Relationship Id="rId39" Type="http://schemas.openxmlformats.org/officeDocument/2006/relationships/hyperlink" Target="https://www.strava.com/activities/470644275" TargetMode="External"/><Relationship Id="rId38" Type="http://schemas.openxmlformats.org/officeDocument/2006/relationships/hyperlink" Target="https://www.strava.com/activities/470928481" TargetMode="External"/><Relationship Id="rId20" Type="http://schemas.openxmlformats.org/officeDocument/2006/relationships/hyperlink" Target="https://www.strava.com/activities/4221903349" TargetMode="External"/><Relationship Id="rId22" Type="http://schemas.openxmlformats.org/officeDocument/2006/relationships/hyperlink" Target="https://www.strava.com/activities/4220927275" TargetMode="External"/><Relationship Id="rId21" Type="http://schemas.openxmlformats.org/officeDocument/2006/relationships/hyperlink" Target="https://www.strava.com/activities/4220927275" TargetMode="External"/><Relationship Id="rId24" Type="http://schemas.openxmlformats.org/officeDocument/2006/relationships/hyperlink" Target="https://www.strava.com/activities/4220928339" TargetMode="External"/><Relationship Id="rId23" Type="http://schemas.openxmlformats.org/officeDocument/2006/relationships/hyperlink" Target="https://www.strava.com/activities/4220928339" TargetMode="External"/><Relationship Id="rId26" Type="http://schemas.openxmlformats.org/officeDocument/2006/relationships/hyperlink" Target="https://www.strava.com/activities/4232923110" TargetMode="External"/><Relationship Id="rId25" Type="http://schemas.openxmlformats.org/officeDocument/2006/relationships/hyperlink" Target="https://www.strava.com/activities/471173771" TargetMode="External"/><Relationship Id="rId28" Type="http://schemas.openxmlformats.org/officeDocument/2006/relationships/hyperlink" Target="https://www.strava.com/activities/470451894" TargetMode="External"/><Relationship Id="rId27" Type="http://schemas.openxmlformats.org/officeDocument/2006/relationships/hyperlink" Target="https://www.strava.com/activities/4233029383" TargetMode="External"/><Relationship Id="rId29" Type="http://schemas.openxmlformats.org/officeDocument/2006/relationships/hyperlink" Target="https://www.strava.com/activities/477036155" TargetMode="External"/><Relationship Id="rId11" Type="http://schemas.openxmlformats.org/officeDocument/2006/relationships/hyperlink" Target="https://www.strava.com/activities/471850477" TargetMode="External"/><Relationship Id="rId10" Type="http://schemas.openxmlformats.org/officeDocument/2006/relationships/hyperlink" Target="https://www.strava.com/activities/480531285" TargetMode="External"/><Relationship Id="rId13" Type="http://schemas.openxmlformats.org/officeDocument/2006/relationships/hyperlink" Target="https://www.strava.com/activities/471128962" TargetMode="External"/><Relationship Id="rId12" Type="http://schemas.openxmlformats.org/officeDocument/2006/relationships/hyperlink" Target="https://www.strava.com/activities/470554232" TargetMode="External"/><Relationship Id="rId15" Type="http://schemas.openxmlformats.org/officeDocument/2006/relationships/hyperlink" Target="https://www.strava.com/activities/477918930" TargetMode="External"/><Relationship Id="rId14" Type="http://schemas.openxmlformats.org/officeDocument/2006/relationships/hyperlink" Target="https://www.strava.com/activities/477905754" TargetMode="External"/><Relationship Id="rId17" Type="http://schemas.openxmlformats.org/officeDocument/2006/relationships/hyperlink" Target="https://www.strava.com/activities/471072983" TargetMode="External"/><Relationship Id="rId16" Type="http://schemas.openxmlformats.org/officeDocument/2006/relationships/hyperlink" Target="https://www.strava.com/activities/480624221" TargetMode="External"/><Relationship Id="rId19" Type="http://schemas.openxmlformats.org/officeDocument/2006/relationships/hyperlink" Target="https://www.strava.com/activities/471203211" TargetMode="External"/><Relationship Id="rId18" Type="http://schemas.openxmlformats.org/officeDocument/2006/relationships/hyperlink" Target="https://www.strava.com/activities/470490123" TargetMode="External"/><Relationship Id="rId1" Type="http://schemas.openxmlformats.org/officeDocument/2006/relationships/hyperlink" Target="https://www.strava.com/activities/472853003" TargetMode="External"/><Relationship Id="rId2" Type="http://schemas.openxmlformats.org/officeDocument/2006/relationships/hyperlink" Target="https://www.strava.com/activities/474212045" TargetMode="External"/><Relationship Id="rId3" Type="http://schemas.openxmlformats.org/officeDocument/2006/relationships/hyperlink" Target="https://www.strava.com/activities/474217576" TargetMode="External"/><Relationship Id="rId4" Type="http://schemas.openxmlformats.org/officeDocument/2006/relationships/hyperlink" Target="https://www.strava.com/activities/474202595" TargetMode="External"/><Relationship Id="rId9" Type="http://schemas.openxmlformats.org/officeDocument/2006/relationships/hyperlink" Target="https://www.strava.com/activities/471195583" TargetMode="External"/><Relationship Id="rId5" Type="http://schemas.openxmlformats.org/officeDocument/2006/relationships/hyperlink" Target="https://www.strava.com/activities/473510435" TargetMode="External"/><Relationship Id="rId6" Type="http://schemas.openxmlformats.org/officeDocument/2006/relationships/hyperlink" Target="https://www.strava.com/activities/474225780" TargetMode="External"/><Relationship Id="rId7" Type="http://schemas.openxmlformats.org/officeDocument/2006/relationships/hyperlink" Target="https://www.strava.com/activities/472844279" TargetMode="External"/><Relationship Id="rId8" Type="http://schemas.openxmlformats.org/officeDocument/2006/relationships/hyperlink" Target="https://www.strava.com/activities/480745019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4286777856" TargetMode="External"/><Relationship Id="rId2" Type="http://schemas.openxmlformats.org/officeDocument/2006/relationships/hyperlink" Target="https://www.strava.com/activities/4285684324" TargetMode="External"/><Relationship Id="rId3" Type="http://schemas.openxmlformats.org/officeDocument/2006/relationships/hyperlink" Target="https://www.strava.com/activities/4285789316" TargetMode="External"/><Relationship Id="rId4" Type="http://schemas.openxmlformats.org/officeDocument/2006/relationships/hyperlink" Target="https://www.strava.com/activities/4286780421" TargetMode="External"/><Relationship Id="rId5" Type="http://schemas.openxmlformats.org/officeDocument/2006/relationships/hyperlink" Target="https://www.strava.com/activities/4285701234" TargetMode="External"/><Relationship Id="rId6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4446639452" TargetMode="External"/><Relationship Id="rId2" Type="http://schemas.openxmlformats.org/officeDocument/2006/relationships/hyperlink" Target="https://www.strava.com/activities/4448146333" TargetMode="External"/><Relationship Id="rId3" Type="http://schemas.openxmlformats.org/officeDocument/2006/relationships/hyperlink" Target="https://www.strava.com/activities/4447903338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trava.com/activities/474464164" TargetMode="External"/><Relationship Id="rId42" Type="http://schemas.openxmlformats.org/officeDocument/2006/relationships/hyperlink" Target="https://www.strava.com/activities/473505236" TargetMode="External"/><Relationship Id="rId41" Type="http://schemas.openxmlformats.org/officeDocument/2006/relationships/hyperlink" Target="https://www.strava.com/activities/473478368" TargetMode="External"/><Relationship Id="rId44" Type="http://schemas.openxmlformats.org/officeDocument/2006/relationships/hyperlink" Target="https://www.strava.com/activities/474174052" TargetMode="External"/><Relationship Id="rId43" Type="http://schemas.openxmlformats.org/officeDocument/2006/relationships/hyperlink" Target="https://www.strava.com/activities/473497710" TargetMode="External"/><Relationship Id="rId46" Type="http://schemas.openxmlformats.org/officeDocument/2006/relationships/hyperlink" Target="https://www.strava.com/activities/470541220" TargetMode="External"/><Relationship Id="rId45" Type="http://schemas.openxmlformats.org/officeDocument/2006/relationships/hyperlink" Target="https://www.strava.com/activities/477027452" TargetMode="External"/><Relationship Id="rId48" Type="http://schemas.openxmlformats.org/officeDocument/2006/relationships/hyperlink" Target="https://www.strava.com/activities/472715035" TargetMode="External"/><Relationship Id="rId47" Type="http://schemas.openxmlformats.org/officeDocument/2006/relationships/hyperlink" Target="https://www.strava.com/activities/471614794" TargetMode="External"/><Relationship Id="rId49" Type="http://schemas.openxmlformats.org/officeDocument/2006/relationships/hyperlink" Target="https://www.strava.com/activities/471642751" TargetMode="External"/><Relationship Id="rId31" Type="http://schemas.openxmlformats.org/officeDocument/2006/relationships/hyperlink" Target="https://www.strava.com/activities/480505215" TargetMode="External"/><Relationship Id="rId30" Type="http://schemas.openxmlformats.org/officeDocument/2006/relationships/hyperlink" Target="https://www.strava.com/activities/477926306" TargetMode="External"/><Relationship Id="rId33" Type="http://schemas.openxmlformats.org/officeDocument/2006/relationships/hyperlink" Target="https://www.strava.com/activities/478379062" TargetMode="External"/><Relationship Id="rId32" Type="http://schemas.openxmlformats.org/officeDocument/2006/relationships/hyperlink" Target="https://www.strava.com/activities/527772326" TargetMode="External"/><Relationship Id="rId35" Type="http://schemas.openxmlformats.org/officeDocument/2006/relationships/hyperlink" Target="https://www.strava.com/activities/471091510" TargetMode="External"/><Relationship Id="rId34" Type="http://schemas.openxmlformats.org/officeDocument/2006/relationships/hyperlink" Target="https://www.strava.com/activities/479331271" TargetMode="External"/><Relationship Id="rId37" Type="http://schemas.openxmlformats.org/officeDocument/2006/relationships/hyperlink" Target="https://www.strava.com/activities/471830093" TargetMode="External"/><Relationship Id="rId36" Type="http://schemas.openxmlformats.org/officeDocument/2006/relationships/hyperlink" Target="https://www.strava.com/activities/473980039" TargetMode="External"/><Relationship Id="rId39" Type="http://schemas.openxmlformats.org/officeDocument/2006/relationships/hyperlink" Target="https://www.strava.com/activities/474189932" TargetMode="External"/><Relationship Id="rId38" Type="http://schemas.openxmlformats.org/officeDocument/2006/relationships/hyperlink" Target="https://www.strava.com/activities/477932585" TargetMode="External"/><Relationship Id="rId20" Type="http://schemas.openxmlformats.org/officeDocument/2006/relationships/hyperlink" Target="https://www.strava.com/activities/480814213" TargetMode="External"/><Relationship Id="rId22" Type="http://schemas.openxmlformats.org/officeDocument/2006/relationships/hyperlink" Target="https://www.strava.com/activities/471225570" TargetMode="External"/><Relationship Id="rId21" Type="http://schemas.openxmlformats.org/officeDocument/2006/relationships/hyperlink" Target="https://www.strava.com/activities/477894150" TargetMode="External"/><Relationship Id="rId24" Type="http://schemas.openxmlformats.org/officeDocument/2006/relationships/hyperlink" Target="https://www.strava.com/activities/476796486" TargetMode="External"/><Relationship Id="rId23" Type="http://schemas.openxmlformats.org/officeDocument/2006/relationships/hyperlink" Target="https://www.strava.com/activities/478240472" TargetMode="External"/><Relationship Id="rId26" Type="http://schemas.openxmlformats.org/officeDocument/2006/relationships/hyperlink" Target="https://www.strava.com/activities/480169158" TargetMode="External"/><Relationship Id="rId25" Type="http://schemas.openxmlformats.org/officeDocument/2006/relationships/hyperlink" Target="https://www.strava.com/activities/471173771" TargetMode="External"/><Relationship Id="rId28" Type="http://schemas.openxmlformats.org/officeDocument/2006/relationships/hyperlink" Target="https://www.strava.com/activities/478379729" TargetMode="External"/><Relationship Id="rId27" Type="http://schemas.openxmlformats.org/officeDocument/2006/relationships/hyperlink" Target="https://www.strava.com/activities/480473905" TargetMode="External"/><Relationship Id="rId29" Type="http://schemas.openxmlformats.org/officeDocument/2006/relationships/hyperlink" Target="https://www.strava.com/activities/477815145" TargetMode="External"/><Relationship Id="rId11" Type="http://schemas.openxmlformats.org/officeDocument/2006/relationships/hyperlink" Target="https://www.strava.com/activities/471850477" TargetMode="External"/><Relationship Id="rId10" Type="http://schemas.openxmlformats.org/officeDocument/2006/relationships/hyperlink" Target="https://www.strava.com/activities/480531285" TargetMode="External"/><Relationship Id="rId13" Type="http://schemas.openxmlformats.org/officeDocument/2006/relationships/hyperlink" Target="https://www.strava.com/activities/471128962" TargetMode="External"/><Relationship Id="rId12" Type="http://schemas.openxmlformats.org/officeDocument/2006/relationships/hyperlink" Target="https://www.strava.com/activities/470554232" TargetMode="External"/><Relationship Id="rId15" Type="http://schemas.openxmlformats.org/officeDocument/2006/relationships/hyperlink" Target="https://www.strava.com/activities/477918930" TargetMode="External"/><Relationship Id="rId14" Type="http://schemas.openxmlformats.org/officeDocument/2006/relationships/hyperlink" Target="https://www.strava.com/activities/477905754" TargetMode="External"/><Relationship Id="rId17" Type="http://schemas.openxmlformats.org/officeDocument/2006/relationships/hyperlink" Target="https://www.strava.com/activities/471072983" TargetMode="External"/><Relationship Id="rId16" Type="http://schemas.openxmlformats.org/officeDocument/2006/relationships/hyperlink" Target="https://www.strava.com/activities/480624221" TargetMode="External"/><Relationship Id="rId19" Type="http://schemas.openxmlformats.org/officeDocument/2006/relationships/hyperlink" Target="https://www.strava.com/activities/471203211" TargetMode="External"/><Relationship Id="rId18" Type="http://schemas.openxmlformats.org/officeDocument/2006/relationships/hyperlink" Target="https://www.strava.com/activities/470490123" TargetMode="External"/><Relationship Id="rId1" Type="http://schemas.openxmlformats.org/officeDocument/2006/relationships/hyperlink" Target="https://www.strava.com/activities/472853003" TargetMode="External"/><Relationship Id="rId2" Type="http://schemas.openxmlformats.org/officeDocument/2006/relationships/hyperlink" Target="https://www.strava.com/activities/474212045" TargetMode="External"/><Relationship Id="rId3" Type="http://schemas.openxmlformats.org/officeDocument/2006/relationships/hyperlink" Target="https://www.strava.com/activities/474217576" TargetMode="External"/><Relationship Id="rId4" Type="http://schemas.openxmlformats.org/officeDocument/2006/relationships/hyperlink" Target="https://www.strava.com/activities/474202595" TargetMode="External"/><Relationship Id="rId9" Type="http://schemas.openxmlformats.org/officeDocument/2006/relationships/hyperlink" Target="https://www.strava.com/activities/471195583" TargetMode="External"/><Relationship Id="rId5" Type="http://schemas.openxmlformats.org/officeDocument/2006/relationships/hyperlink" Target="https://www.strava.com/activities/473510435" TargetMode="External"/><Relationship Id="rId6" Type="http://schemas.openxmlformats.org/officeDocument/2006/relationships/hyperlink" Target="https://www.strava.com/activities/474225780" TargetMode="External"/><Relationship Id="rId7" Type="http://schemas.openxmlformats.org/officeDocument/2006/relationships/hyperlink" Target="https://www.strava.com/activities/472844279" TargetMode="External"/><Relationship Id="rId8" Type="http://schemas.openxmlformats.org/officeDocument/2006/relationships/hyperlink" Target="https://www.strava.com/activities/480745019" TargetMode="External"/><Relationship Id="rId72" Type="http://schemas.openxmlformats.org/officeDocument/2006/relationships/drawing" Target="../drawings/drawing19.xml"/><Relationship Id="rId71" Type="http://schemas.openxmlformats.org/officeDocument/2006/relationships/hyperlink" Target="https://www.strava.com/activities/470644275" TargetMode="External"/><Relationship Id="rId70" Type="http://schemas.openxmlformats.org/officeDocument/2006/relationships/hyperlink" Target="https://www.strava.com/activities/470928481" TargetMode="External"/><Relationship Id="rId62" Type="http://schemas.openxmlformats.org/officeDocument/2006/relationships/hyperlink" Target="https://www.strava.com/activities/471210913" TargetMode="External"/><Relationship Id="rId61" Type="http://schemas.openxmlformats.org/officeDocument/2006/relationships/hyperlink" Target="https://www.strava.com/activities/477036155" TargetMode="External"/><Relationship Id="rId64" Type="http://schemas.openxmlformats.org/officeDocument/2006/relationships/hyperlink" Target="https://www.strava.com/activities/477471028" TargetMode="External"/><Relationship Id="rId63" Type="http://schemas.openxmlformats.org/officeDocument/2006/relationships/hyperlink" Target="https://www.strava.com/activities/471114174" TargetMode="External"/><Relationship Id="rId66" Type="http://schemas.openxmlformats.org/officeDocument/2006/relationships/hyperlink" Target="https://www.strava.com/activities/471186446" TargetMode="External"/><Relationship Id="rId65" Type="http://schemas.openxmlformats.org/officeDocument/2006/relationships/hyperlink" Target="https://www.strava.com/activities/474554833" TargetMode="External"/><Relationship Id="rId68" Type="http://schemas.openxmlformats.org/officeDocument/2006/relationships/hyperlink" Target="https://www.strava.com/activities/470425726" TargetMode="External"/><Relationship Id="rId67" Type="http://schemas.openxmlformats.org/officeDocument/2006/relationships/hyperlink" Target="https://www.strava.com/activities/480661018" TargetMode="External"/><Relationship Id="rId60" Type="http://schemas.openxmlformats.org/officeDocument/2006/relationships/hyperlink" Target="https://www.strava.com/activities/470451894" TargetMode="External"/><Relationship Id="rId69" Type="http://schemas.openxmlformats.org/officeDocument/2006/relationships/hyperlink" Target="https://www.strava.com/activities/480596918" TargetMode="External"/><Relationship Id="rId51" Type="http://schemas.openxmlformats.org/officeDocument/2006/relationships/hyperlink" Target="https://www.strava.com/activities/527750204" TargetMode="External"/><Relationship Id="rId50" Type="http://schemas.openxmlformats.org/officeDocument/2006/relationships/hyperlink" Target="https://www.strava.com/activities/480157809" TargetMode="External"/><Relationship Id="rId53" Type="http://schemas.openxmlformats.org/officeDocument/2006/relationships/hyperlink" Target="https://www.strava.com/activities/473489857" TargetMode="External"/><Relationship Id="rId52" Type="http://schemas.openxmlformats.org/officeDocument/2006/relationships/hyperlink" Target="https://www.strava.com/activities/532689876/" TargetMode="External"/><Relationship Id="rId55" Type="http://schemas.openxmlformats.org/officeDocument/2006/relationships/hyperlink" Target="http://www.strava.com/activities/473811815" TargetMode="External"/><Relationship Id="rId54" Type="http://schemas.openxmlformats.org/officeDocument/2006/relationships/hyperlink" Target="https://www.strava.com/activities/470518519" TargetMode="External"/><Relationship Id="rId57" Type="http://schemas.openxmlformats.org/officeDocument/2006/relationships/hyperlink" Target="https://www.strava.com/activities/483839757" TargetMode="External"/><Relationship Id="rId56" Type="http://schemas.openxmlformats.org/officeDocument/2006/relationships/hyperlink" Target="https://www.strava.com/activities/479316225" TargetMode="External"/><Relationship Id="rId59" Type="http://schemas.openxmlformats.org/officeDocument/2006/relationships/hyperlink" Target="https://www.strava.com/activities/470903200" TargetMode="External"/><Relationship Id="rId58" Type="http://schemas.openxmlformats.org/officeDocument/2006/relationships/hyperlink" Target="https://www.strava.com/activities/47062144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trava.com/activities/4381778054" TargetMode="External"/><Relationship Id="rId42" Type="http://schemas.openxmlformats.org/officeDocument/2006/relationships/hyperlink" Target="https://www.strava.com/activities/5173759957" TargetMode="External"/><Relationship Id="rId41" Type="http://schemas.openxmlformats.org/officeDocument/2006/relationships/hyperlink" Target="https://www.strava.com/activities/5629739002" TargetMode="External"/><Relationship Id="rId44" Type="http://schemas.openxmlformats.org/officeDocument/2006/relationships/hyperlink" Target="https://www.strava.com/activities/5172507347" TargetMode="External"/><Relationship Id="rId43" Type="http://schemas.openxmlformats.org/officeDocument/2006/relationships/hyperlink" Target="https://www.strava.com/activities/5172507347" TargetMode="External"/><Relationship Id="rId46" Type="http://schemas.openxmlformats.org/officeDocument/2006/relationships/hyperlink" Target="https://www.strava.com/activities/3876361335" TargetMode="External"/><Relationship Id="rId45" Type="http://schemas.openxmlformats.org/officeDocument/2006/relationships/hyperlink" Target="https://www.strava.com/activities/3227299862" TargetMode="External"/><Relationship Id="rId48" Type="http://schemas.openxmlformats.org/officeDocument/2006/relationships/hyperlink" Target="https://www.strava.com/activities/2839538919" TargetMode="External"/><Relationship Id="rId47" Type="http://schemas.openxmlformats.org/officeDocument/2006/relationships/hyperlink" Target="https://www.strava.com/activities/5325983351" TargetMode="External"/><Relationship Id="rId49" Type="http://schemas.openxmlformats.org/officeDocument/2006/relationships/hyperlink" Target="https://www.strava.com/activities/3375260072" TargetMode="External"/><Relationship Id="rId31" Type="http://schemas.openxmlformats.org/officeDocument/2006/relationships/hyperlink" Target="https://www.strava.com/activities/3875948575" TargetMode="External"/><Relationship Id="rId30" Type="http://schemas.openxmlformats.org/officeDocument/2006/relationships/hyperlink" Target="https://www.strava.com/activities/5631390280" TargetMode="External"/><Relationship Id="rId33" Type="http://schemas.openxmlformats.org/officeDocument/2006/relationships/hyperlink" Target="https://www.strava.com/activities/4134050932" TargetMode="External"/><Relationship Id="rId32" Type="http://schemas.openxmlformats.org/officeDocument/2006/relationships/hyperlink" Target="https://www.strava.com/activities/2839446761" TargetMode="External"/><Relationship Id="rId35" Type="http://schemas.openxmlformats.org/officeDocument/2006/relationships/hyperlink" Target="https://www.strava.com/activities/5708178900" TargetMode="External"/><Relationship Id="rId34" Type="http://schemas.openxmlformats.org/officeDocument/2006/relationships/hyperlink" Target="https://www.strava.com/activities/4231025155" TargetMode="External"/><Relationship Id="rId37" Type="http://schemas.openxmlformats.org/officeDocument/2006/relationships/hyperlink" Target="https://www.strava.com/activities/4141044838" TargetMode="External"/><Relationship Id="rId36" Type="http://schemas.openxmlformats.org/officeDocument/2006/relationships/hyperlink" Target="https://www.strava.com/activities/5173759957" TargetMode="External"/><Relationship Id="rId39" Type="http://schemas.openxmlformats.org/officeDocument/2006/relationships/hyperlink" Target="https://www.strava.com/activities/4838233579" TargetMode="External"/><Relationship Id="rId38" Type="http://schemas.openxmlformats.org/officeDocument/2006/relationships/hyperlink" Target="https://www.strava.com/activities/3231811539" TargetMode="External"/><Relationship Id="rId20" Type="http://schemas.openxmlformats.org/officeDocument/2006/relationships/hyperlink" Target="https://www.strava.com/activities/4132485150" TargetMode="External"/><Relationship Id="rId22" Type="http://schemas.openxmlformats.org/officeDocument/2006/relationships/hyperlink" Target="https://www.strava.com/activities/4132870041" TargetMode="External"/><Relationship Id="rId21" Type="http://schemas.openxmlformats.org/officeDocument/2006/relationships/hyperlink" Target="https://www.strava.com/activities/4141776727" TargetMode="External"/><Relationship Id="rId24" Type="http://schemas.openxmlformats.org/officeDocument/2006/relationships/hyperlink" Target="https://www.strava.com/activities/4129296617" TargetMode="External"/><Relationship Id="rId23" Type="http://schemas.openxmlformats.org/officeDocument/2006/relationships/hyperlink" Target="https://www.strava.com/activities/4972728902" TargetMode="External"/><Relationship Id="rId26" Type="http://schemas.openxmlformats.org/officeDocument/2006/relationships/hyperlink" Target="https://www.strava.com/activities/4140009836" TargetMode="External"/><Relationship Id="rId25" Type="http://schemas.openxmlformats.org/officeDocument/2006/relationships/hyperlink" Target="https://www.strava.com/activities/4133100038" TargetMode="External"/><Relationship Id="rId28" Type="http://schemas.openxmlformats.org/officeDocument/2006/relationships/hyperlink" Target="https://www.strava.com/activities/5325492024" TargetMode="External"/><Relationship Id="rId27" Type="http://schemas.openxmlformats.org/officeDocument/2006/relationships/hyperlink" Target="https://www.strava.com/activities/4141364131" TargetMode="External"/><Relationship Id="rId29" Type="http://schemas.openxmlformats.org/officeDocument/2006/relationships/hyperlink" Target="https://www.strava.com/activities/4141356280" TargetMode="External"/><Relationship Id="rId95" Type="http://schemas.openxmlformats.org/officeDocument/2006/relationships/drawing" Target="../drawings/drawing2.xml"/><Relationship Id="rId94" Type="http://schemas.openxmlformats.org/officeDocument/2006/relationships/hyperlink" Target="https://www.strava.com/activities/5708358181" TargetMode="External"/><Relationship Id="rId11" Type="http://schemas.openxmlformats.org/officeDocument/2006/relationships/hyperlink" Target="https://www.strava.com/activities/4139674239" TargetMode="External"/><Relationship Id="rId10" Type="http://schemas.openxmlformats.org/officeDocument/2006/relationships/hyperlink" Target="https://www.strava.com/activities/4139861753" TargetMode="External"/><Relationship Id="rId13" Type="http://schemas.openxmlformats.org/officeDocument/2006/relationships/hyperlink" Target="https://www.strava.com/activities/4132870940" TargetMode="External"/><Relationship Id="rId12" Type="http://schemas.openxmlformats.org/officeDocument/2006/relationships/hyperlink" Target="https://www.strava.com/activities/4133099448" TargetMode="External"/><Relationship Id="rId91" Type="http://schemas.openxmlformats.org/officeDocument/2006/relationships/hyperlink" Target="https://www.strava.com/activities/4243764756" TargetMode="External"/><Relationship Id="rId90" Type="http://schemas.openxmlformats.org/officeDocument/2006/relationships/hyperlink" Target="https://www.strava.com/activities/4243764756" TargetMode="External"/><Relationship Id="rId93" Type="http://schemas.openxmlformats.org/officeDocument/2006/relationships/hyperlink" Target="https://www.strava.com/activities/4244798246" TargetMode="External"/><Relationship Id="rId92" Type="http://schemas.openxmlformats.org/officeDocument/2006/relationships/hyperlink" Target="https://www.strava.com/activities/4244667164" TargetMode="External"/><Relationship Id="rId15" Type="http://schemas.openxmlformats.org/officeDocument/2006/relationships/hyperlink" Target="https://www.strava.com/activities/5629739002" TargetMode="External"/><Relationship Id="rId14" Type="http://schemas.openxmlformats.org/officeDocument/2006/relationships/hyperlink" Target="https://www.strava.com/activities/4140010185" TargetMode="External"/><Relationship Id="rId17" Type="http://schemas.openxmlformats.org/officeDocument/2006/relationships/hyperlink" Target="https://www.strava.com/activities/4141562356" TargetMode="External"/><Relationship Id="rId16" Type="http://schemas.openxmlformats.org/officeDocument/2006/relationships/hyperlink" Target="https://www.strava.com/activities/5632930754" TargetMode="External"/><Relationship Id="rId19" Type="http://schemas.openxmlformats.org/officeDocument/2006/relationships/hyperlink" Target="https://www.strava.com/activities/4141433143" TargetMode="External"/><Relationship Id="rId18" Type="http://schemas.openxmlformats.org/officeDocument/2006/relationships/hyperlink" Target="https://www.strava.com/activities/4231025155" TargetMode="External"/><Relationship Id="rId84" Type="http://schemas.openxmlformats.org/officeDocument/2006/relationships/hyperlink" Target="https://www.strava.com/activities/2918287187" TargetMode="External"/><Relationship Id="rId83" Type="http://schemas.openxmlformats.org/officeDocument/2006/relationships/hyperlink" Target="https://www.strava.com/activities/2982939872" TargetMode="External"/><Relationship Id="rId86" Type="http://schemas.openxmlformats.org/officeDocument/2006/relationships/hyperlink" Target="https://www.strava.com/activities/2917581262" TargetMode="External"/><Relationship Id="rId85" Type="http://schemas.openxmlformats.org/officeDocument/2006/relationships/hyperlink" Target="https://www.strava.com/activities/2917878146" TargetMode="External"/><Relationship Id="rId88" Type="http://schemas.openxmlformats.org/officeDocument/2006/relationships/hyperlink" Target="https://www.strava.com/activities/4233998935" TargetMode="External"/><Relationship Id="rId87" Type="http://schemas.openxmlformats.org/officeDocument/2006/relationships/hyperlink" Target="https://www.strava.com/activities/2975941828" TargetMode="External"/><Relationship Id="rId89" Type="http://schemas.openxmlformats.org/officeDocument/2006/relationships/hyperlink" Target="https://www.strava.com/activities/4244360959" TargetMode="External"/><Relationship Id="rId80" Type="http://schemas.openxmlformats.org/officeDocument/2006/relationships/hyperlink" Target="https://www.strava.com/activities/4974807550" TargetMode="External"/><Relationship Id="rId82" Type="http://schemas.openxmlformats.org/officeDocument/2006/relationships/hyperlink" Target="https://www.strava.com/activities/2917878503" TargetMode="External"/><Relationship Id="rId81" Type="http://schemas.openxmlformats.org/officeDocument/2006/relationships/hyperlink" Target="https://www.strava.com/activities/4962331134" TargetMode="External"/><Relationship Id="rId1" Type="http://schemas.openxmlformats.org/officeDocument/2006/relationships/hyperlink" Target="https://www.strava.com/activities/4073655273" TargetMode="External"/><Relationship Id="rId2" Type="http://schemas.openxmlformats.org/officeDocument/2006/relationships/hyperlink" Target="https://www.strava.com/activities/4972728902" TargetMode="External"/><Relationship Id="rId3" Type="http://schemas.openxmlformats.org/officeDocument/2006/relationships/hyperlink" Target="https://www.strava.com/activities/4073655273" TargetMode="External"/><Relationship Id="rId4" Type="http://schemas.openxmlformats.org/officeDocument/2006/relationships/hyperlink" Target="https://www.strava.com/activities/5632073670" TargetMode="External"/><Relationship Id="rId9" Type="http://schemas.openxmlformats.org/officeDocument/2006/relationships/hyperlink" Target="https://www.strava.com/activities/2982332159" TargetMode="External"/><Relationship Id="rId5" Type="http://schemas.openxmlformats.org/officeDocument/2006/relationships/hyperlink" Target="https://www.strava.com/activities/4129825997" TargetMode="External"/><Relationship Id="rId6" Type="http://schemas.openxmlformats.org/officeDocument/2006/relationships/hyperlink" Target="https://www.strava.com/activities/5632001508" TargetMode="External"/><Relationship Id="rId7" Type="http://schemas.openxmlformats.org/officeDocument/2006/relationships/hyperlink" Target="https://www.strava.com/activities/4974807550" TargetMode="External"/><Relationship Id="rId8" Type="http://schemas.openxmlformats.org/officeDocument/2006/relationships/hyperlink" Target="https://www.strava.com/activities/5325924894" TargetMode="External"/><Relationship Id="rId73" Type="http://schemas.openxmlformats.org/officeDocument/2006/relationships/hyperlink" Target="https://www.strava.com/activities/4972706452" TargetMode="External"/><Relationship Id="rId72" Type="http://schemas.openxmlformats.org/officeDocument/2006/relationships/hyperlink" Target="https://www.strava.com/activities/2982940031" TargetMode="External"/><Relationship Id="rId75" Type="http://schemas.openxmlformats.org/officeDocument/2006/relationships/hyperlink" Target="https://www.strava.com/activities/2917161218" TargetMode="External"/><Relationship Id="rId74" Type="http://schemas.openxmlformats.org/officeDocument/2006/relationships/hyperlink" Target="https://www.strava.com/activities/4972721985" TargetMode="External"/><Relationship Id="rId77" Type="http://schemas.openxmlformats.org/officeDocument/2006/relationships/hyperlink" Target="https://www.strava.com/activities/4972728902" TargetMode="External"/><Relationship Id="rId76" Type="http://schemas.openxmlformats.org/officeDocument/2006/relationships/hyperlink" Target="https://www.strava.com/activities/4972721985" TargetMode="External"/><Relationship Id="rId79" Type="http://schemas.openxmlformats.org/officeDocument/2006/relationships/hyperlink" Target="https://www.strava.com/activities/2982687850" TargetMode="External"/><Relationship Id="rId78" Type="http://schemas.openxmlformats.org/officeDocument/2006/relationships/hyperlink" Target="https://www.strava.com/activities/2982415610" TargetMode="External"/><Relationship Id="rId71" Type="http://schemas.openxmlformats.org/officeDocument/2006/relationships/hyperlink" Target="https://www.strava.com/activities/4974807550" TargetMode="External"/><Relationship Id="rId70" Type="http://schemas.openxmlformats.org/officeDocument/2006/relationships/hyperlink" Target="https://www.strava.com/activities/2982524539" TargetMode="External"/><Relationship Id="rId62" Type="http://schemas.openxmlformats.org/officeDocument/2006/relationships/hyperlink" Target="https://www.strava.com/activities/2839657687" TargetMode="External"/><Relationship Id="rId61" Type="http://schemas.openxmlformats.org/officeDocument/2006/relationships/hyperlink" Target="https://www.strava.com/activities/4999083114" TargetMode="External"/><Relationship Id="rId64" Type="http://schemas.openxmlformats.org/officeDocument/2006/relationships/hyperlink" Target="https://www.strava.com/activities/2839855824" TargetMode="External"/><Relationship Id="rId63" Type="http://schemas.openxmlformats.org/officeDocument/2006/relationships/hyperlink" Target="https://www.strava.com/activities/4073655273" TargetMode="External"/><Relationship Id="rId66" Type="http://schemas.openxmlformats.org/officeDocument/2006/relationships/hyperlink" Target="https://www.strava.com/activities/2917580510" TargetMode="External"/><Relationship Id="rId65" Type="http://schemas.openxmlformats.org/officeDocument/2006/relationships/hyperlink" Target="https://www.strava.com/activities/2916155892" TargetMode="External"/><Relationship Id="rId68" Type="http://schemas.openxmlformats.org/officeDocument/2006/relationships/hyperlink" Target="https://www.strava.com/activities/4972728902" TargetMode="External"/><Relationship Id="rId67" Type="http://schemas.openxmlformats.org/officeDocument/2006/relationships/hyperlink" Target="https://www.strava.com/activities/2982687364" TargetMode="External"/><Relationship Id="rId60" Type="http://schemas.openxmlformats.org/officeDocument/2006/relationships/hyperlink" Target="https://www.strava.com/activities/5050078181" TargetMode="External"/><Relationship Id="rId69" Type="http://schemas.openxmlformats.org/officeDocument/2006/relationships/hyperlink" Target="https://www.strava.com/activities/2917162204" TargetMode="External"/><Relationship Id="rId51" Type="http://schemas.openxmlformats.org/officeDocument/2006/relationships/hyperlink" Target="https://www.strava.com/activities/3375270267" TargetMode="External"/><Relationship Id="rId50" Type="http://schemas.openxmlformats.org/officeDocument/2006/relationships/hyperlink" Target="https://www.strava.com/activities/2971169392" TargetMode="External"/><Relationship Id="rId53" Type="http://schemas.openxmlformats.org/officeDocument/2006/relationships/hyperlink" Target="https://www.strava.com/activities/2846032754" TargetMode="External"/><Relationship Id="rId52" Type="http://schemas.openxmlformats.org/officeDocument/2006/relationships/hyperlink" Target="https://www.strava.com/activities/2971725281" TargetMode="External"/><Relationship Id="rId55" Type="http://schemas.openxmlformats.org/officeDocument/2006/relationships/hyperlink" Target="https://www.strava.com/activities/2846272819" TargetMode="External"/><Relationship Id="rId54" Type="http://schemas.openxmlformats.org/officeDocument/2006/relationships/hyperlink" Target="https://www.strava.com/activities/4073655273" TargetMode="External"/><Relationship Id="rId57" Type="http://schemas.openxmlformats.org/officeDocument/2006/relationships/hyperlink" Target="https://www.strava.com/activities/4974807550" TargetMode="External"/><Relationship Id="rId56" Type="http://schemas.openxmlformats.org/officeDocument/2006/relationships/hyperlink" Target="https://www.strava.com/activities/5325364361" TargetMode="External"/><Relationship Id="rId59" Type="http://schemas.openxmlformats.org/officeDocument/2006/relationships/hyperlink" Target="https://www.strava.com/activities/2839705311" TargetMode="External"/><Relationship Id="rId58" Type="http://schemas.openxmlformats.org/officeDocument/2006/relationships/hyperlink" Target="https://www.strava.com/activities/2840635829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3424202019" TargetMode="External"/><Relationship Id="rId2" Type="http://schemas.openxmlformats.org/officeDocument/2006/relationships/hyperlink" Target="https://www.strava.com/activities/3424202019" TargetMode="External"/><Relationship Id="rId3" Type="http://schemas.openxmlformats.org/officeDocument/2006/relationships/hyperlink" Target="https://www.strava.com/activities/3424202019" TargetMode="External"/><Relationship Id="rId4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trava.com/activities/479970576" TargetMode="External"/><Relationship Id="rId22" Type="http://schemas.openxmlformats.org/officeDocument/2006/relationships/hyperlink" Target="https://www.strava.com/activities/480120765" TargetMode="External"/><Relationship Id="rId21" Type="http://schemas.openxmlformats.org/officeDocument/2006/relationships/hyperlink" Target="https://www.strava.com/activities/478645502" TargetMode="External"/><Relationship Id="rId24" Type="http://schemas.openxmlformats.org/officeDocument/2006/relationships/hyperlink" Target="https://www.strava.com/activities/480878476" TargetMode="External"/><Relationship Id="rId23" Type="http://schemas.openxmlformats.org/officeDocument/2006/relationships/hyperlink" Target="https://www.strava.com/activities/478530519" TargetMode="External"/><Relationship Id="rId26" Type="http://schemas.openxmlformats.org/officeDocument/2006/relationships/hyperlink" Target="https://www.strava.com/activities/483581677" TargetMode="External"/><Relationship Id="rId25" Type="http://schemas.openxmlformats.org/officeDocument/2006/relationships/hyperlink" Target="http://www.strava.com/activities/478454642/" TargetMode="External"/><Relationship Id="rId28" Type="http://schemas.openxmlformats.org/officeDocument/2006/relationships/drawing" Target="../drawings/drawing22.xml"/><Relationship Id="rId27" Type="http://schemas.openxmlformats.org/officeDocument/2006/relationships/hyperlink" Target="https://www.strava.com/activities/480895852" TargetMode="External"/><Relationship Id="rId11" Type="http://schemas.openxmlformats.org/officeDocument/2006/relationships/hyperlink" Target="https://www.strava.com/activities/481233617" TargetMode="External"/><Relationship Id="rId10" Type="http://schemas.openxmlformats.org/officeDocument/2006/relationships/hyperlink" Target="https://www.strava.com/activities/479161688" TargetMode="External"/><Relationship Id="rId13" Type="http://schemas.openxmlformats.org/officeDocument/2006/relationships/hyperlink" Target="https://www.strava.com/activities/479385500" TargetMode="External"/><Relationship Id="rId12" Type="http://schemas.openxmlformats.org/officeDocument/2006/relationships/hyperlink" Target="https://www.strava.com/activities/479025163" TargetMode="External"/><Relationship Id="rId15" Type="http://schemas.openxmlformats.org/officeDocument/2006/relationships/hyperlink" Target="https://www.strava.com/activities/480907409" TargetMode="External"/><Relationship Id="rId14" Type="http://schemas.openxmlformats.org/officeDocument/2006/relationships/hyperlink" Target="https://www.strava.com/activities/483955093" TargetMode="External"/><Relationship Id="rId17" Type="http://schemas.openxmlformats.org/officeDocument/2006/relationships/hyperlink" Target="https://www.strava.com/activities/479644586" TargetMode="External"/><Relationship Id="rId16" Type="http://schemas.openxmlformats.org/officeDocument/2006/relationships/hyperlink" Target="https://www.strava.com/activities/479928480" TargetMode="External"/><Relationship Id="rId19" Type="http://schemas.openxmlformats.org/officeDocument/2006/relationships/hyperlink" Target="https://www.strava.com/activities/480098550" TargetMode="External"/><Relationship Id="rId18" Type="http://schemas.openxmlformats.org/officeDocument/2006/relationships/hyperlink" Target="https://www.strava.com/activities/480141434" TargetMode="External"/><Relationship Id="rId1" Type="http://schemas.openxmlformats.org/officeDocument/2006/relationships/hyperlink" Target="https://www.strava.com/activities/478985485" TargetMode="External"/><Relationship Id="rId2" Type="http://schemas.openxmlformats.org/officeDocument/2006/relationships/hyperlink" Target="https://www.strava.com/activities/478662312" TargetMode="External"/><Relationship Id="rId3" Type="http://schemas.openxmlformats.org/officeDocument/2006/relationships/hyperlink" Target="https://www.strava.com/activities/479210656" TargetMode="External"/><Relationship Id="rId4" Type="http://schemas.openxmlformats.org/officeDocument/2006/relationships/hyperlink" Target="https://www.strava.com/activities/478491082" TargetMode="External"/><Relationship Id="rId9" Type="http://schemas.openxmlformats.org/officeDocument/2006/relationships/hyperlink" Target="https://www.strava.com/activities/481201039" TargetMode="External"/><Relationship Id="rId5" Type="http://schemas.openxmlformats.org/officeDocument/2006/relationships/hyperlink" Target="https://www.strava.com/activities/479879922" TargetMode="External"/><Relationship Id="rId6" Type="http://schemas.openxmlformats.org/officeDocument/2006/relationships/hyperlink" Target="https://www.strava.com/activities/479848335" TargetMode="External"/><Relationship Id="rId7" Type="http://schemas.openxmlformats.org/officeDocument/2006/relationships/hyperlink" Target="https://www.strava.com/activities/479068880" TargetMode="External"/><Relationship Id="rId8" Type="http://schemas.openxmlformats.org/officeDocument/2006/relationships/hyperlink" Target="https://www.strava.com/activities/479847492" TargetMode="Externa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trava.com/activities/2025619782" TargetMode="External"/><Relationship Id="rId10" Type="http://schemas.openxmlformats.org/officeDocument/2006/relationships/hyperlink" Target="https://www.strava.com/activities/2024181031" TargetMode="External"/><Relationship Id="rId13" Type="http://schemas.openxmlformats.org/officeDocument/2006/relationships/hyperlink" Target="https://www.strava.com/activities/2025872403" TargetMode="External"/><Relationship Id="rId12" Type="http://schemas.openxmlformats.org/officeDocument/2006/relationships/hyperlink" Target="https://www.strava.com/activities/2025712337" TargetMode="External"/><Relationship Id="rId14" Type="http://schemas.openxmlformats.org/officeDocument/2006/relationships/drawing" Target="../drawings/drawing24.xml"/><Relationship Id="rId1" Type="http://schemas.openxmlformats.org/officeDocument/2006/relationships/hyperlink" Target="https://www.strava.com/activities/1937847233" TargetMode="External"/><Relationship Id="rId2" Type="http://schemas.openxmlformats.org/officeDocument/2006/relationships/hyperlink" Target="https://www.strava.com/activities/2000270875" TargetMode="External"/><Relationship Id="rId3" Type="http://schemas.openxmlformats.org/officeDocument/2006/relationships/hyperlink" Target="https://www.strava.com/activities/2025390806" TargetMode="External"/><Relationship Id="rId4" Type="http://schemas.openxmlformats.org/officeDocument/2006/relationships/hyperlink" Target="https://www.strava.com/activities/2026979106" TargetMode="External"/><Relationship Id="rId9" Type="http://schemas.openxmlformats.org/officeDocument/2006/relationships/hyperlink" Target="https://www.strava.com/activities/2024307875" TargetMode="External"/><Relationship Id="rId5" Type="http://schemas.openxmlformats.org/officeDocument/2006/relationships/hyperlink" Target="https://www.strava.com/activities/2025238453" TargetMode="External"/><Relationship Id="rId6" Type="http://schemas.openxmlformats.org/officeDocument/2006/relationships/hyperlink" Target="https://www.strava.com/activities/2025516813" TargetMode="External"/><Relationship Id="rId7" Type="http://schemas.openxmlformats.org/officeDocument/2006/relationships/hyperlink" Target="https://www.strava.com/activities/2026682163" TargetMode="External"/><Relationship Id="rId8" Type="http://schemas.openxmlformats.org/officeDocument/2006/relationships/hyperlink" Target="https://www.strava.com/activities/2024423474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3011917629" TargetMode="External"/><Relationship Id="rId2" Type="http://schemas.openxmlformats.org/officeDocument/2006/relationships/hyperlink" Target="https://www.strava.com/activities/3011917629" TargetMode="External"/><Relationship Id="rId3" Type="http://schemas.openxmlformats.org/officeDocument/2006/relationships/hyperlink" Target="https://www.strava.com/activities/3012213219" TargetMode="External"/><Relationship Id="rId4" Type="http://schemas.openxmlformats.org/officeDocument/2006/relationships/hyperlink" Target="https://www.strava.com/activities/3012054373" TargetMode="External"/><Relationship Id="rId5" Type="http://schemas.openxmlformats.org/officeDocument/2006/relationships/hyperlink" Target="https://www.strava.com/activities/3012213219" TargetMode="External"/><Relationship Id="rId6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trava.com/activities/2879151204" TargetMode="External"/><Relationship Id="rId22" Type="http://schemas.openxmlformats.org/officeDocument/2006/relationships/hyperlink" Target="https://www.strava.com/activities/4969454217" TargetMode="External"/><Relationship Id="rId21" Type="http://schemas.openxmlformats.org/officeDocument/2006/relationships/hyperlink" Target="https://www.strava.com/activities/2879150387" TargetMode="External"/><Relationship Id="rId24" Type="http://schemas.openxmlformats.org/officeDocument/2006/relationships/hyperlink" Target="https://www.strava.com/activities/4974626852" TargetMode="External"/><Relationship Id="rId23" Type="http://schemas.openxmlformats.org/officeDocument/2006/relationships/hyperlink" Target="https://www.strava.com/activities/2981582663" TargetMode="External"/><Relationship Id="rId26" Type="http://schemas.openxmlformats.org/officeDocument/2006/relationships/hyperlink" Target="https://www.strava.com/activities/4974626852" TargetMode="External"/><Relationship Id="rId25" Type="http://schemas.openxmlformats.org/officeDocument/2006/relationships/hyperlink" Target="https://www.strava.com/activities/2981862579" TargetMode="External"/><Relationship Id="rId27" Type="http://schemas.openxmlformats.org/officeDocument/2006/relationships/drawing" Target="../drawings/drawing3.xml"/><Relationship Id="rId11" Type="http://schemas.openxmlformats.org/officeDocument/2006/relationships/hyperlink" Target="https://www.strava.com/activities/2971856212" TargetMode="External"/><Relationship Id="rId10" Type="http://schemas.openxmlformats.org/officeDocument/2006/relationships/hyperlink" Target="https://www.strava.com/activities/5320058973" TargetMode="External"/><Relationship Id="rId13" Type="http://schemas.openxmlformats.org/officeDocument/2006/relationships/hyperlink" Target="https://www.strava.com/activities/4969452558" TargetMode="External"/><Relationship Id="rId12" Type="http://schemas.openxmlformats.org/officeDocument/2006/relationships/hyperlink" Target="https://www.strava.com/activities/2982033990" TargetMode="External"/><Relationship Id="rId15" Type="http://schemas.openxmlformats.org/officeDocument/2006/relationships/hyperlink" Target="https://www.strava.com/activities/2981583899" TargetMode="External"/><Relationship Id="rId14" Type="http://schemas.openxmlformats.org/officeDocument/2006/relationships/hyperlink" Target="https://www.strava.com/activities/4969454217" TargetMode="External"/><Relationship Id="rId17" Type="http://schemas.openxmlformats.org/officeDocument/2006/relationships/hyperlink" Target="https://www.strava.com/activities/2991275700" TargetMode="External"/><Relationship Id="rId16" Type="http://schemas.openxmlformats.org/officeDocument/2006/relationships/hyperlink" Target="https://www.strava.com/activities/4974626852" TargetMode="External"/><Relationship Id="rId19" Type="http://schemas.openxmlformats.org/officeDocument/2006/relationships/hyperlink" Target="https://www.strava.com/activities/4969452558" TargetMode="External"/><Relationship Id="rId18" Type="http://schemas.openxmlformats.org/officeDocument/2006/relationships/hyperlink" Target="https://www.strava.com/activities/2982170536" TargetMode="External"/><Relationship Id="rId1" Type="http://schemas.openxmlformats.org/officeDocument/2006/relationships/hyperlink" Target="https://www.strava.com/activities/4969452558" TargetMode="External"/><Relationship Id="rId2" Type="http://schemas.openxmlformats.org/officeDocument/2006/relationships/hyperlink" Target="https://www.strava.com/activities/4969454217" TargetMode="External"/><Relationship Id="rId3" Type="http://schemas.openxmlformats.org/officeDocument/2006/relationships/hyperlink" Target="https://www.strava.com/activities/4974626852" TargetMode="External"/><Relationship Id="rId4" Type="http://schemas.openxmlformats.org/officeDocument/2006/relationships/hyperlink" Target="https://www.strava.com/activities/2982170987" TargetMode="External"/><Relationship Id="rId9" Type="http://schemas.openxmlformats.org/officeDocument/2006/relationships/hyperlink" Target="https://www.strava.com/activities/5319645874" TargetMode="External"/><Relationship Id="rId5" Type="http://schemas.openxmlformats.org/officeDocument/2006/relationships/hyperlink" Target="https://www.strava.com/activities/5320054279" TargetMode="External"/><Relationship Id="rId6" Type="http://schemas.openxmlformats.org/officeDocument/2006/relationships/hyperlink" Target="https://www.strava.com/activities/5320056119" TargetMode="External"/><Relationship Id="rId7" Type="http://schemas.openxmlformats.org/officeDocument/2006/relationships/hyperlink" Target="https://www.strava.com/activities/5320049958" TargetMode="External"/><Relationship Id="rId8" Type="http://schemas.openxmlformats.org/officeDocument/2006/relationships/hyperlink" Target="https://www.strava.com/activities/531881726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3200726490" TargetMode="External"/><Relationship Id="rId2" Type="http://schemas.openxmlformats.org/officeDocument/2006/relationships/hyperlink" Target="https://www.strava.com/activities/3200709833" TargetMode="External"/><Relationship Id="rId3" Type="http://schemas.openxmlformats.org/officeDocument/2006/relationships/hyperlink" Target="https://www.strava.com/activities/3200994635" TargetMode="External"/><Relationship Id="rId4" Type="http://schemas.openxmlformats.org/officeDocument/2006/relationships/hyperlink" Target="https://www.strava.com/activities/3200995758" TargetMode="External"/><Relationship Id="rId5" Type="http://schemas.openxmlformats.org/officeDocument/2006/relationships/hyperlink" Target="https://www.strava.com/activities/3201195938" TargetMode="External"/><Relationship Id="rId6" Type="http://schemas.openxmlformats.org/officeDocument/2006/relationships/hyperlink" Target="https://www.strava.com/activities/3201208268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3246533655" TargetMode="External"/><Relationship Id="rId2" Type="http://schemas.openxmlformats.org/officeDocument/2006/relationships/hyperlink" Target="https://www.strava.com/activities/3247321430" TargetMode="External"/><Relationship Id="rId3" Type="http://schemas.openxmlformats.org/officeDocument/2006/relationships/hyperlink" Target="https://www.strava.com/activities/4000952326" TargetMode="External"/><Relationship Id="rId4" Type="http://schemas.openxmlformats.org/officeDocument/2006/relationships/hyperlink" Target="https://www.strava.com/activities/4000929445" TargetMode="External"/><Relationship Id="rId5" Type="http://schemas.openxmlformats.org/officeDocument/2006/relationships/hyperlink" Target="https://www.strava.com/activities/4001627764" TargetMode="External"/><Relationship Id="rId6" Type="http://schemas.openxmlformats.org/officeDocument/2006/relationships/hyperlink" Target="https://www.strava.com/activities/4001625981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3420453413" TargetMode="External"/><Relationship Id="rId2" Type="http://schemas.openxmlformats.org/officeDocument/2006/relationships/hyperlink" Target="https://www.strava.com/activities/3420453413" TargetMode="External"/><Relationship Id="rId3" Type="http://schemas.openxmlformats.org/officeDocument/2006/relationships/hyperlink" Target="https://www.strava.com/activities/3421086961" TargetMode="External"/><Relationship Id="rId4" Type="http://schemas.openxmlformats.org/officeDocument/2006/relationships/hyperlink" Target="https://www.strava.com/activities/342108696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rava.com/activities/3421087539" TargetMode="External"/><Relationship Id="rId2" Type="http://schemas.openxmlformats.org/officeDocument/2006/relationships/hyperlink" Target="https://www.strava.com/activities/3421087539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trava.com/activities/4317966043" TargetMode="External"/><Relationship Id="rId10" Type="http://schemas.openxmlformats.org/officeDocument/2006/relationships/hyperlink" Target="https://www.strava.com/activities/4317966043" TargetMode="External"/><Relationship Id="rId13" Type="http://schemas.openxmlformats.org/officeDocument/2006/relationships/hyperlink" Target="https://www.strava.com/activities/4320041930" TargetMode="External"/><Relationship Id="rId12" Type="http://schemas.openxmlformats.org/officeDocument/2006/relationships/hyperlink" Target="https://www.strava.com/activities/4315723025" TargetMode="External"/><Relationship Id="rId15" Type="http://schemas.openxmlformats.org/officeDocument/2006/relationships/hyperlink" Target="https://www.strava.com/activities/4323543772" TargetMode="External"/><Relationship Id="rId14" Type="http://schemas.openxmlformats.org/officeDocument/2006/relationships/hyperlink" Target="https://www.strava.com/activities/4323199308" TargetMode="External"/><Relationship Id="rId16" Type="http://schemas.openxmlformats.org/officeDocument/2006/relationships/drawing" Target="../drawings/drawing9.xml"/><Relationship Id="rId1" Type="http://schemas.openxmlformats.org/officeDocument/2006/relationships/hyperlink" Target="https://www.strava.com/activities/2982939872" TargetMode="External"/><Relationship Id="rId2" Type="http://schemas.openxmlformats.org/officeDocument/2006/relationships/hyperlink" Target="https://www.strava.com/activities/2982687850" TargetMode="External"/><Relationship Id="rId3" Type="http://schemas.openxmlformats.org/officeDocument/2006/relationships/hyperlink" Target="https://www.strava.com/activities/2982415610" TargetMode="External"/><Relationship Id="rId4" Type="http://schemas.openxmlformats.org/officeDocument/2006/relationships/hyperlink" Target="https://www.strava.com/activities/2982940031" TargetMode="External"/><Relationship Id="rId9" Type="http://schemas.openxmlformats.org/officeDocument/2006/relationships/hyperlink" Target="https://www.strava.com/activities/2191954587" TargetMode="External"/><Relationship Id="rId5" Type="http://schemas.openxmlformats.org/officeDocument/2006/relationships/hyperlink" Target="https://www.strava.com/activities/2982524539" TargetMode="External"/><Relationship Id="rId6" Type="http://schemas.openxmlformats.org/officeDocument/2006/relationships/hyperlink" Target="https://www.strava.com/activities/2975941828" TargetMode="External"/><Relationship Id="rId7" Type="http://schemas.openxmlformats.org/officeDocument/2006/relationships/hyperlink" Target="https://www.strava.com/activities/2982687364" TargetMode="External"/><Relationship Id="rId8" Type="http://schemas.openxmlformats.org/officeDocument/2006/relationships/hyperlink" Target="https://www.strava.com/activities/29823321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12.75"/>
    <col customWidth="1" min="7" max="7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hidden="1">
      <c r="A2" s="3">
        <v>75.0</v>
      </c>
      <c r="B2" s="4">
        <v>375.0</v>
      </c>
      <c r="C2" s="3">
        <f t="shared" ref="C2:C191" si="1">B2/A2</f>
        <v>5</v>
      </c>
      <c r="D2" s="3">
        <v>183.0</v>
      </c>
      <c r="E2" s="3" t="s">
        <v>9</v>
      </c>
      <c r="F2" s="3" t="s">
        <v>10</v>
      </c>
      <c r="G2" s="3" t="s">
        <v>11</v>
      </c>
      <c r="H2" s="5">
        <v>0.03228009259259259</v>
      </c>
      <c r="I2" s="6" t="s">
        <v>12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idden="1">
      <c r="A3" s="3">
        <v>75.0</v>
      </c>
      <c r="B3" s="4">
        <v>375.0</v>
      </c>
      <c r="C3" s="3">
        <f t="shared" si="1"/>
        <v>5</v>
      </c>
      <c r="D3" s="3">
        <v>183.0</v>
      </c>
      <c r="E3" s="4" t="s">
        <v>13</v>
      </c>
      <c r="F3" s="4" t="s">
        <v>10</v>
      </c>
      <c r="G3" s="4" t="s">
        <v>14</v>
      </c>
      <c r="H3" s="5">
        <v>0.032511574074074075</v>
      </c>
      <c r="I3" s="9" t="s">
        <v>15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idden="1">
      <c r="A4" s="3">
        <v>75.0</v>
      </c>
      <c r="B4" s="4">
        <v>375.0</v>
      </c>
      <c r="C4" s="3">
        <f t="shared" si="1"/>
        <v>5</v>
      </c>
      <c r="D4" s="3">
        <v>183.0</v>
      </c>
      <c r="E4" s="4" t="s">
        <v>16</v>
      </c>
      <c r="F4" s="4" t="s">
        <v>10</v>
      </c>
      <c r="G4" s="10" t="s">
        <v>17</v>
      </c>
      <c r="H4" s="5">
        <v>0.03305555555555555</v>
      </c>
      <c r="I4" s="9" t="s">
        <v>18</v>
      </c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idden="1">
      <c r="A5" s="10">
        <v>100.0</v>
      </c>
      <c r="B5" s="10">
        <v>400.0</v>
      </c>
      <c r="C5" s="10">
        <f t="shared" si="1"/>
        <v>4</v>
      </c>
      <c r="D5" s="10">
        <v>183.0</v>
      </c>
      <c r="E5" s="10" t="s">
        <v>19</v>
      </c>
      <c r="F5" s="10" t="s">
        <v>10</v>
      </c>
      <c r="G5" s="10" t="s">
        <v>17</v>
      </c>
      <c r="H5" s="11">
        <v>0.033900462962962966</v>
      </c>
      <c r="I5" s="12" t="s">
        <v>20</v>
      </c>
      <c r="J5" s="2"/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9</v>
      </c>
      <c r="F6" s="10" t="s">
        <v>10</v>
      </c>
      <c r="G6" s="10" t="s">
        <v>11</v>
      </c>
      <c r="H6" s="11">
        <v>0.034409722222222223</v>
      </c>
      <c r="I6" s="12" t="s">
        <v>21</v>
      </c>
      <c r="J6" s="13" t="s">
        <v>22</v>
      </c>
    </row>
    <row r="7">
      <c r="A7" s="3">
        <v>75.0</v>
      </c>
      <c r="B7" s="3">
        <v>300.0</v>
      </c>
      <c r="C7" s="3">
        <f t="shared" si="1"/>
        <v>4</v>
      </c>
      <c r="D7" s="3">
        <v>183.0</v>
      </c>
      <c r="E7" s="4" t="s">
        <v>23</v>
      </c>
      <c r="F7" s="4" t="s">
        <v>24</v>
      </c>
      <c r="G7" s="3" t="s">
        <v>17</v>
      </c>
      <c r="H7" s="5">
        <v>0.03450231481481481</v>
      </c>
      <c r="I7" s="9" t="s">
        <v>25</v>
      </c>
      <c r="J7" s="14"/>
      <c r="K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 t="s">
        <v>26</v>
      </c>
      <c r="F8" s="10" t="s">
        <v>24</v>
      </c>
      <c r="G8" s="10" t="s">
        <v>17</v>
      </c>
      <c r="H8" s="11">
        <v>0.03453703703703704</v>
      </c>
      <c r="I8" s="12" t="s">
        <v>27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 t="s">
        <v>28</v>
      </c>
      <c r="F9" s="10" t="s">
        <v>24</v>
      </c>
      <c r="G9" s="10" t="s">
        <v>17</v>
      </c>
      <c r="H9" s="11">
        <v>0.03453703703703704</v>
      </c>
      <c r="I9" s="12" t="s">
        <v>29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 t="s">
        <v>30</v>
      </c>
      <c r="F10" s="10" t="s">
        <v>24</v>
      </c>
      <c r="G10" s="10" t="s">
        <v>17</v>
      </c>
      <c r="H10" s="11">
        <v>0.03457175925925926</v>
      </c>
      <c r="I10" s="12" t="s">
        <v>31</v>
      </c>
    </row>
    <row r="11">
      <c r="A11" s="10">
        <v>75.0</v>
      </c>
      <c r="B11" s="10">
        <v>300.0</v>
      </c>
      <c r="C11" s="10">
        <f t="shared" si="1"/>
        <v>4</v>
      </c>
      <c r="D11" s="10">
        <v>183.0</v>
      </c>
      <c r="E11" s="10" t="s">
        <v>32</v>
      </c>
      <c r="F11" s="10" t="s">
        <v>24</v>
      </c>
      <c r="G11" s="10" t="s">
        <v>17</v>
      </c>
      <c r="H11" s="11">
        <v>0.034618055555555555</v>
      </c>
      <c r="I11" s="12" t="s">
        <v>33</v>
      </c>
    </row>
    <row r="12">
      <c r="A12" s="10">
        <v>75.0</v>
      </c>
      <c r="B12" s="10">
        <v>300.0</v>
      </c>
      <c r="C12" s="10">
        <f t="shared" si="1"/>
        <v>4</v>
      </c>
      <c r="D12" s="10">
        <v>183.0</v>
      </c>
      <c r="E12" s="10" t="s">
        <v>34</v>
      </c>
      <c r="F12" s="10" t="s">
        <v>24</v>
      </c>
      <c r="G12" s="10" t="s">
        <v>17</v>
      </c>
      <c r="H12" s="11">
        <v>0.034652777777777775</v>
      </c>
      <c r="I12" s="12" t="s">
        <v>35</v>
      </c>
    </row>
    <row r="13">
      <c r="A13" s="10">
        <v>75.0</v>
      </c>
      <c r="B13" s="10">
        <v>300.0</v>
      </c>
      <c r="C13" s="10">
        <f t="shared" si="1"/>
        <v>4</v>
      </c>
      <c r="D13" s="10">
        <v>183.0</v>
      </c>
      <c r="E13" s="10" t="s">
        <v>36</v>
      </c>
      <c r="F13" s="10" t="s">
        <v>24</v>
      </c>
      <c r="G13" s="10" t="s">
        <v>17</v>
      </c>
      <c r="H13" s="11">
        <v>0.03469907407407408</v>
      </c>
      <c r="I13" s="12" t="s">
        <v>37</v>
      </c>
    </row>
    <row r="14">
      <c r="A14" s="10">
        <v>75.0</v>
      </c>
      <c r="B14" s="10">
        <v>300.0</v>
      </c>
      <c r="C14" s="10">
        <f t="shared" si="1"/>
        <v>4</v>
      </c>
      <c r="D14" s="10">
        <v>183.0</v>
      </c>
      <c r="E14" s="10" t="s">
        <v>38</v>
      </c>
      <c r="F14" s="10" t="s">
        <v>24</v>
      </c>
      <c r="G14" s="10" t="s">
        <v>17</v>
      </c>
      <c r="H14" s="11">
        <v>0.03469907407407408</v>
      </c>
      <c r="I14" s="12" t="s">
        <v>39</v>
      </c>
    </row>
    <row r="15">
      <c r="A15" s="10">
        <v>75.0</v>
      </c>
      <c r="B15" s="10">
        <v>300.0</v>
      </c>
      <c r="C15" s="10">
        <f t="shared" si="1"/>
        <v>4</v>
      </c>
      <c r="D15" s="10">
        <v>183.0</v>
      </c>
      <c r="E15" s="10" t="s">
        <v>40</v>
      </c>
      <c r="F15" s="10" t="s">
        <v>24</v>
      </c>
      <c r="G15" s="10" t="s">
        <v>17</v>
      </c>
      <c r="H15" s="11">
        <v>0.03469907407407408</v>
      </c>
      <c r="I15" s="12" t="s">
        <v>41</v>
      </c>
    </row>
    <row r="16">
      <c r="A16" s="10">
        <v>75.0</v>
      </c>
      <c r="B16" s="10">
        <v>300.0</v>
      </c>
      <c r="C16" s="10">
        <f t="shared" si="1"/>
        <v>4</v>
      </c>
      <c r="D16" s="10">
        <v>183.0</v>
      </c>
      <c r="E16" s="10" t="s">
        <v>42</v>
      </c>
      <c r="F16" s="10" t="s">
        <v>24</v>
      </c>
      <c r="G16" s="10" t="s">
        <v>17</v>
      </c>
      <c r="H16" s="11">
        <v>0.03469907407407408</v>
      </c>
      <c r="I16" s="12" t="s">
        <v>43</v>
      </c>
    </row>
    <row r="17">
      <c r="A17" s="10">
        <v>75.0</v>
      </c>
      <c r="B17" s="10">
        <v>300.0</v>
      </c>
      <c r="C17" s="10">
        <f t="shared" si="1"/>
        <v>4</v>
      </c>
      <c r="D17" s="10">
        <v>183.0</v>
      </c>
      <c r="E17" s="10" t="s">
        <v>44</v>
      </c>
      <c r="F17" s="10" t="s">
        <v>24</v>
      </c>
      <c r="G17" s="10" t="s">
        <v>17</v>
      </c>
      <c r="H17" s="11">
        <v>0.03471064814814815</v>
      </c>
      <c r="I17" s="12" t="s">
        <v>45</v>
      </c>
    </row>
    <row r="18">
      <c r="A18" s="10">
        <v>75.0</v>
      </c>
      <c r="B18" s="10">
        <v>300.0</v>
      </c>
      <c r="C18" s="10">
        <f t="shared" si="1"/>
        <v>4</v>
      </c>
      <c r="D18" s="10">
        <v>183.0</v>
      </c>
      <c r="E18" s="10" t="s">
        <v>46</v>
      </c>
      <c r="F18" s="10" t="s">
        <v>24</v>
      </c>
      <c r="G18" s="10" t="s">
        <v>17</v>
      </c>
      <c r="H18" s="11">
        <v>0.03471064814814815</v>
      </c>
      <c r="I18" s="12" t="s">
        <v>47</v>
      </c>
    </row>
    <row r="19">
      <c r="A19" s="10">
        <v>75.0</v>
      </c>
      <c r="B19" s="10">
        <v>300.0</v>
      </c>
      <c r="C19" s="10">
        <f t="shared" si="1"/>
        <v>4</v>
      </c>
      <c r="D19" s="10">
        <v>183.0</v>
      </c>
      <c r="E19" s="10" t="s">
        <v>48</v>
      </c>
      <c r="F19" s="10" t="s">
        <v>24</v>
      </c>
      <c r="G19" s="10" t="s">
        <v>17</v>
      </c>
      <c r="H19" s="11">
        <v>0.03471064814814815</v>
      </c>
      <c r="I19" s="12" t="s">
        <v>49</v>
      </c>
    </row>
    <row r="20">
      <c r="A20" s="10">
        <v>75.0</v>
      </c>
      <c r="B20" s="10">
        <v>300.0</v>
      </c>
      <c r="C20" s="10">
        <f t="shared" si="1"/>
        <v>4</v>
      </c>
      <c r="D20" s="10">
        <v>183.0</v>
      </c>
      <c r="E20" s="10" t="s">
        <v>50</v>
      </c>
      <c r="F20" s="10" t="s">
        <v>24</v>
      </c>
      <c r="G20" s="10" t="s">
        <v>17</v>
      </c>
      <c r="H20" s="11">
        <v>0.03471064814814815</v>
      </c>
      <c r="I20" s="12" t="s">
        <v>51</v>
      </c>
    </row>
    <row r="21">
      <c r="A21" s="10">
        <v>75.0</v>
      </c>
      <c r="B21" s="10">
        <v>300.0</v>
      </c>
      <c r="C21" s="10">
        <f t="shared" si="1"/>
        <v>4</v>
      </c>
      <c r="D21" s="10">
        <v>183.0</v>
      </c>
      <c r="E21" s="10" t="s">
        <v>52</v>
      </c>
      <c r="F21" s="10" t="s">
        <v>24</v>
      </c>
      <c r="G21" s="10" t="s">
        <v>17</v>
      </c>
      <c r="H21" s="11">
        <v>0.03471064814814815</v>
      </c>
      <c r="I21" s="12" t="s">
        <v>53</v>
      </c>
    </row>
    <row r="22">
      <c r="A22" s="10">
        <v>75.0</v>
      </c>
      <c r="B22" s="10">
        <v>300.0</v>
      </c>
      <c r="C22" s="10">
        <f t="shared" si="1"/>
        <v>4</v>
      </c>
      <c r="D22" s="10">
        <v>183.0</v>
      </c>
      <c r="E22" s="10" t="s">
        <v>9</v>
      </c>
      <c r="F22" s="10" t="s">
        <v>10</v>
      </c>
      <c r="G22" s="10" t="s">
        <v>11</v>
      </c>
      <c r="H22" s="11">
        <v>0.03488425925925926</v>
      </c>
      <c r="I22" s="12" t="s">
        <v>54</v>
      </c>
      <c r="J22" s="13" t="s">
        <v>55</v>
      </c>
    </row>
    <row r="23">
      <c r="A23" s="10">
        <v>75.0</v>
      </c>
      <c r="B23" s="10">
        <v>300.0</v>
      </c>
      <c r="C23" s="10">
        <f t="shared" si="1"/>
        <v>4</v>
      </c>
      <c r="D23" s="10">
        <v>183.0</v>
      </c>
      <c r="E23" s="10" t="s">
        <v>56</v>
      </c>
      <c r="F23" s="10" t="s">
        <v>24</v>
      </c>
      <c r="G23" s="10" t="s">
        <v>17</v>
      </c>
      <c r="H23" s="11">
        <v>0.03490740740740741</v>
      </c>
      <c r="I23" s="12" t="s">
        <v>57</v>
      </c>
      <c r="J23" s="2"/>
    </row>
    <row r="24">
      <c r="A24" s="3">
        <v>75.0</v>
      </c>
      <c r="B24" s="3">
        <v>300.0</v>
      </c>
      <c r="C24" s="3">
        <f t="shared" si="1"/>
        <v>4</v>
      </c>
      <c r="D24" s="3">
        <v>183.0</v>
      </c>
      <c r="E24" s="4" t="s">
        <v>9</v>
      </c>
      <c r="F24" s="4" t="s">
        <v>10</v>
      </c>
      <c r="G24" s="4" t="s">
        <v>11</v>
      </c>
      <c r="H24" s="5">
        <v>0.03498842592592592</v>
      </c>
      <c r="I24" s="9" t="s">
        <v>12</v>
      </c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A25" s="10">
        <v>75.0</v>
      </c>
      <c r="B25" s="10">
        <v>300.0</v>
      </c>
      <c r="C25" s="10">
        <f t="shared" si="1"/>
        <v>4</v>
      </c>
      <c r="D25" s="10">
        <v>183.0</v>
      </c>
      <c r="E25" s="10" t="s">
        <v>58</v>
      </c>
      <c r="F25" s="10" t="s">
        <v>10</v>
      </c>
      <c r="G25" s="10" t="s">
        <v>11</v>
      </c>
      <c r="H25" s="11">
        <v>0.03501157407407408</v>
      </c>
      <c r="I25" s="12" t="s">
        <v>59</v>
      </c>
      <c r="J25" s="2"/>
    </row>
    <row r="26">
      <c r="A26" s="10">
        <v>75.0</v>
      </c>
      <c r="B26" s="10">
        <v>300.0</v>
      </c>
      <c r="C26" s="10">
        <f t="shared" si="1"/>
        <v>4</v>
      </c>
      <c r="D26" s="10">
        <v>183.0</v>
      </c>
      <c r="E26" s="10" t="s">
        <v>9</v>
      </c>
      <c r="F26" s="10" t="s">
        <v>10</v>
      </c>
      <c r="G26" s="10" t="s">
        <v>11</v>
      </c>
      <c r="H26" s="11">
        <v>0.03501157407407408</v>
      </c>
      <c r="I26" s="12" t="s">
        <v>60</v>
      </c>
      <c r="J26" s="2"/>
    </row>
    <row r="27">
      <c r="A27" s="10">
        <v>75.0</v>
      </c>
      <c r="B27" s="10">
        <v>300.0</v>
      </c>
      <c r="C27" s="10">
        <f t="shared" si="1"/>
        <v>4</v>
      </c>
      <c r="D27" s="10">
        <v>183.0</v>
      </c>
      <c r="E27" s="10" t="s">
        <v>61</v>
      </c>
      <c r="F27" s="10" t="s">
        <v>10</v>
      </c>
      <c r="G27" s="10" t="s">
        <v>11</v>
      </c>
      <c r="H27" s="11">
        <v>0.03502314814814815</v>
      </c>
      <c r="I27" s="12" t="s">
        <v>62</v>
      </c>
      <c r="J27" s="2"/>
    </row>
    <row r="28">
      <c r="A28" s="10">
        <v>75.0</v>
      </c>
      <c r="B28" s="10">
        <v>300.0</v>
      </c>
      <c r="C28" s="10">
        <f t="shared" si="1"/>
        <v>4</v>
      </c>
      <c r="D28" s="10">
        <v>183.0</v>
      </c>
      <c r="E28" s="10" t="s">
        <v>63</v>
      </c>
      <c r="F28" s="10" t="s">
        <v>10</v>
      </c>
      <c r="G28" s="10" t="s">
        <v>11</v>
      </c>
      <c r="H28" s="11">
        <v>0.03502314814814815</v>
      </c>
      <c r="I28" s="12" t="s">
        <v>64</v>
      </c>
      <c r="J28" s="2"/>
    </row>
    <row r="29">
      <c r="A29" s="10">
        <v>75.0</v>
      </c>
      <c r="B29" s="10">
        <v>300.0</v>
      </c>
      <c r="C29" s="10">
        <f t="shared" si="1"/>
        <v>4</v>
      </c>
      <c r="D29" s="10">
        <v>183.0</v>
      </c>
      <c r="E29" s="10" t="s">
        <v>9</v>
      </c>
      <c r="F29" s="10" t="s">
        <v>10</v>
      </c>
      <c r="G29" s="10" t="s">
        <v>65</v>
      </c>
      <c r="H29" s="11">
        <v>0.035034722222222224</v>
      </c>
      <c r="I29" s="12" t="s">
        <v>66</v>
      </c>
      <c r="J29" s="2"/>
    </row>
    <row r="30">
      <c r="A30" s="10">
        <v>75.0</v>
      </c>
      <c r="B30" s="10">
        <v>300.0</v>
      </c>
      <c r="C30" s="10">
        <f t="shared" si="1"/>
        <v>4</v>
      </c>
      <c r="D30" s="10">
        <v>183.0</v>
      </c>
      <c r="E30" s="10" t="s">
        <v>67</v>
      </c>
      <c r="F30" s="10" t="s">
        <v>10</v>
      </c>
      <c r="G30" s="10" t="s">
        <v>11</v>
      </c>
      <c r="H30" s="11">
        <v>0.035034722222222224</v>
      </c>
      <c r="I30" s="12" t="s">
        <v>68</v>
      </c>
      <c r="J30" s="2"/>
    </row>
    <row r="31">
      <c r="A31" s="10">
        <v>75.0</v>
      </c>
      <c r="B31" s="10">
        <v>300.0</v>
      </c>
      <c r="C31" s="10">
        <f t="shared" si="1"/>
        <v>4</v>
      </c>
      <c r="D31" s="10">
        <v>183.0</v>
      </c>
      <c r="E31" s="10" t="s">
        <v>13</v>
      </c>
      <c r="F31" s="10" t="s">
        <v>10</v>
      </c>
      <c r="G31" s="10" t="s">
        <v>11</v>
      </c>
      <c r="H31" s="11">
        <v>0.035034722222222224</v>
      </c>
      <c r="I31" s="15" t="s">
        <v>69</v>
      </c>
      <c r="J31" s="2"/>
      <c r="L31" s="16" t="s">
        <v>70</v>
      </c>
    </row>
    <row r="32">
      <c r="A32" s="10">
        <v>75.0</v>
      </c>
      <c r="B32" s="10">
        <v>300.0</v>
      </c>
      <c r="C32" s="10">
        <f t="shared" si="1"/>
        <v>4</v>
      </c>
      <c r="D32" s="10">
        <v>183.0</v>
      </c>
      <c r="E32" s="10" t="s">
        <v>71</v>
      </c>
      <c r="F32" s="10" t="s">
        <v>10</v>
      </c>
      <c r="G32" s="10" t="s">
        <v>11</v>
      </c>
      <c r="H32" s="11">
        <v>0.035034722222222224</v>
      </c>
      <c r="I32" s="12" t="s">
        <v>72</v>
      </c>
      <c r="J32" s="2"/>
    </row>
    <row r="33">
      <c r="A33" s="10">
        <v>75.0</v>
      </c>
      <c r="B33" s="10">
        <v>300.0</v>
      </c>
      <c r="C33" s="10">
        <f t="shared" si="1"/>
        <v>4</v>
      </c>
      <c r="D33" s="10">
        <v>183.0</v>
      </c>
      <c r="E33" s="10" t="s">
        <v>73</v>
      </c>
      <c r="F33" s="10" t="s">
        <v>10</v>
      </c>
      <c r="G33" s="10" t="s">
        <v>73</v>
      </c>
      <c r="H33" s="11">
        <v>0.0350462962962963</v>
      </c>
      <c r="I33" s="12" t="s">
        <v>74</v>
      </c>
      <c r="J33" s="2"/>
    </row>
    <row r="34">
      <c r="A34" s="10">
        <v>75.0</v>
      </c>
      <c r="B34" s="10">
        <v>300.0</v>
      </c>
      <c r="C34" s="10">
        <f t="shared" si="1"/>
        <v>4</v>
      </c>
      <c r="D34" s="10">
        <v>183.0</v>
      </c>
      <c r="E34" s="10" t="s">
        <v>75</v>
      </c>
      <c r="F34" s="10" t="s">
        <v>10</v>
      </c>
      <c r="G34" s="10" t="s">
        <v>11</v>
      </c>
      <c r="H34" s="11">
        <v>0.0350462962962963</v>
      </c>
      <c r="I34" s="12" t="s">
        <v>76</v>
      </c>
      <c r="J34" s="2"/>
    </row>
    <row r="35">
      <c r="A35" s="10">
        <v>75.0</v>
      </c>
      <c r="B35" s="10">
        <v>300.0</v>
      </c>
      <c r="C35" s="10">
        <f t="shared" si="1"/>
        <v>4</v>
      </c>
      <c r="D35" s="10">
        <v>183.0</v>
      </c>
      <c r="E35" s="10" t="s">
        <v>77</v>
      </c>
      <c r="F35" s="10" t="s">
        <v>10</v>
      </c>
      <c r="G35" s="10" t="s">
        <v>11</v>
      </c>
      <c r="H35" s="11">
        <v>0.035069444444444445</v>
      </c>
      <c r="I35" s="12" t="s">
        <v>78</v>
      </c>
      <c r="J35" s="2"/>
    </row>
    <row r="36">
      <c r="A36" s="10">
        <v>75.0</v>
      </c>
      <c r="B36" s="10">
        <v>300.0</v>
      </c>
      <c r="C36" s="10">
        <f t="shared" si="1"/>
        <v>4</v>
      </c>
      <c r="D36" s="10">
        <v>183.0</v>
      </c>
      <c r="E36" s="10" t="s">
        <v>9</v>
      </c>
      <c r="F36" s="10" t="s">
        <v>10</v>
      </c>
      <c r="G36" s="10" t="s">
        <v>79</v>
      </c>
      <c r="H36" s="5">
        <v>0.035069444444444445</v>
      </c>
      <c r="I36" s="15" t="s">
        <v>80</v>
      </c>
      <c r="J36" s="17" t="s">
        <v>81</v>
      </c>
    </row>
    <row r="37">
      <c r="A37" s="10">
        <v>75.0</v>
      </c>
      <c r="B37" s="10">
        <v>300.0</v>
      </c>
      <c r="C37" s="10">
        <f t="shared" si="1"/>
        <v>4</v>
      </c>
      <c r="D37" s="10">
        <v>183.0</v>
      </c>
      <c r="E37" s="10" t="s">
        <v>9</v>
      </c>
      <c r="F37" s="10" t="s">
        <v>10</v>
      </c>
      <c r="G37" s="10" t="s">
        <v>79</v>
      </c>
      <c r="H37" s="5">
        <v>0.03508101851851852</v>
      </c>
      <c r="I37" s="17" t="s">
        <v>82</v>
      </c>
    </row>
    <row r="38">
      <c r="A38" s="3">
        <v>75.0</v>
      </c>
      <c r="B38" s="3">
        <v>300.0</v>
      </c>
      <c r="C38" s="3">
        <f t="shared" si="1"/>
        <v>4</v>
      </c>
      <c r="D38" s="3">
        <v>183.0</v>
      </c>
      <c r="E38" s="4" t="s">
        <v>19</v>
      </c>
      <c r="F38" s="3" t="s">
        <v>10</v>
      </c>
      <c r="G38" s="4" t="s">
        <v>11</v>
      </c>
      <c r="H38" s="5">
        <v>0.03509259259259259</v>
      </c>
      <c r="I38" s="18" t="s">
        <v>83</v>
      </c>
      <c r="J38" s="19" t="s">
        <v>84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A39" s="3">
        <v>75.0</v>
      </c>
      <c r="B39" s="3">
        <v>300.0</v>
      </c>
      <c r="C39" s="3">
        <f t="shared" si="1"/>
        <v>4</v>
      </c>
      <c r="D39" s="3">
        <v>183.0</v>
      </c>
      <c r="E39" s="3" t="s">
        <v>9</v>
      </c>
      <c r="F39" s="3" t="s">
        <v>10</v>
      </c>
      <c r="G39" s="10" t="s">
        <v>79</v>
      </c>
      <c r="H39" s="5">
        <v>0.03509259259259259</v>
      </c>
      <c r="I39" s="18" t="s">
        <v>85</v>
      </c>
      <c r="J39" s="19" t="s">
        <v>86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A40" s="10">
        <v>75.0</v>
      </c>
      <c r="B40" s="10">
        <v>300.0</v>
      </c>
      <c r="C40" s="10">
        <f t="shared" si="1"/>
        <v>4</v>
      </c>
      <c r="D40" s="10">
        <v>183.0</v>
      </c>
      <c r="E40" s="10" t="s">
        <v>13</v>
      </c>
      <c r="F40" s="10" t="s">
        <v>10</v>
      </c>
      <c r="G40" s="10" t="s">
        <v>79</v>
      </c>
      <c r="H40" s="11">
        <v>0.03512731481481481</v>
      </c>
      <c r="I40" s="12" t="s">
        <v>87</v>
      </c>
      <c r="J40" s="2"/>
    </row>
    <row r="41">
      <c r="A41" s="10">
        <v>75.0</v>
      </c>
      <c r="B41" s="10">
        <v>300.0</v>
      </c>
      <c r="C41" s="10">
        <f t="shared" si="1"/>
        <v>4</v>
      </c>
      <c r="D41" s="10">
        <v>183.0</v>
      </c>
      <c r="E41" s="10" t="s">
        <v>13</v>
      </c>
      <c r="F41" s="10" t="s">
        <v>10</v>
      </c>
      <c r="G41" s="10" t="s">
        <v>88</v>
      </c>
      <c r="H41" s="11">
        <v>0.03515046296296296</v>
      </c>
      <c r="I41" s="12" t="s">
        <v>89</v>
      </c>
      <c r="J41" s="2"/>
    </row>
    <row r="42">
      <c r="A42" s="10">
        <v>75.0</v>
      </c>
      <c r="B42" s="10">
        <v>300.0</v>
      </c>
      <c r="C42" s="10">
        <f t="shared" si="1"/>
        <v>4</v>
      </c>
      <c r="D42" s="10">
        <v>183.0</v>
      </c>
      <c r="E42" s="10" t="s">
        <v>90</v>
      </c>
      <c r="F42" s="10" t="s">
        <v>10</v>
      </c>
      <c r="G42" s="10" t="s">
        <v>11</v>
      </c>
      <c r="H42" s="5">
        <v>0.03515046296296296</v>
      </c>
      <c r="I42" s="2"/>
      <c r="J42" s="2"/>
    </row>
    <row r="43">
      <c r="A43" s="10">
        <v>75.0</v>
      </c>
      <c r="B43" s="10">
        <v>300.0</v>
      </c>
      <c r="C43" s="10">
        <f t="shared" si="1"/>
        <v>4</v>
      </c>
      <c r="D43" s="10">
        <v>183.0</v>
      </c>
      <c r="E43" s="10" t="s">
        <v>13</v>
      </c>
      <c r="F43" s="10" t="s">
        <v>10</v>
      </c>
      <c r="G43" s="10" t="s">
        <v>91</v>
      </c>
      <c r="H43" s="11">
        <v>0.03516203703703704</v>
      </c>
      <c r="I43" s="12" t="s">
        <v>92</v>
      </c>
      <c r="J43" s="2"/>
    </row>
    <row r="44">
      <c r="A44" s="10">
        <v>75.0</v>
      </c>
      <c r="B44" s="10">
        <v>300.0</v>
      </c>
      <c r="C44" s="10">
        <f t="shared" si="1"/>
        <v>4</v>
      </c>
      <c r="D44" s="10">
        <v>183.0</v>
      </c>
      <c r="E44" s="10" t="s">
        <v>9</v>
      </c>
      <c r="F44" s="10" t="s">
        <v>10</v>
      </c>
      <c r="G44" s="10" t="s">
        <v>79</v>
      </c>
      <c r="H44" s="5">
        <v>0.035104166666666665</v>
      </c>
      <c r="I44" s="12" t="s">
        <v>93</v>
      </c>
      <c r="J44" s="2"/>
    </row>
    <row r="45">
      <c r="A45" s="10">
        <v>75.0</v>
      </c>
      <c r="B45" s="10">
        <v>300.0</v>
      </c>
      <c r="C45" s="10">
        <f t="shared" si="1"/>
        <v>4</v>
      </c>
      <c r="D45" s="10">
        <v>183.0</v>
      </c>
      <c r="E45" s="10" t="s">
        <v>94</v>
      </c>
      <c r="F45" s="10" t="s">
        <v>10</v>
      </c>
      <c r="G45" s="10" t="s">
        <v>11</v>
      </c>
      <c r="H45" s="5">
        <v>0.03518518518518519</v>
      </c>
      <c r="I45" s="2"/>
      <c r="J45" s="2"/>
    </row>
    <row r="46">
      <c r="A46" s="20">
        <v>75.0</v>
      </c>
      <c r="B46" s="20">
        <v>300.0</v>
      </c>
      <c r="C46" s="20">
        <f t="shared" si="1"/>
        <v>4</v>
      </c>
      <c r="D46" s="20">
        <v>183.0</v>
      </c>
      <c r="E46" s="20" t="s">
        <v>19</v>
      </c>
      <c r="F46" s="20" t="s">
        <v>10</v>
      </c>
      <c r="G46" s="10" t="s">
        <v>11</v>
      </c>
      <c r="H46" s="11">
        <v>0.035104166666666665</v>
      </c>
      <c r="I46" s="12" t="s">
        <v>95</v>
      </c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A47" s="10">
        <v>75.0</v>
      </c>
      <c r="B47" s="10">
        <v>300.0</v>
      </c>
      <c r="C47" s="10">
        <f t="shared" si="1"/>
        <v>4</v>
      </c>
      <c r="D47" s="10">
        <v>183.0</v>
      </c>
      <c r="E47" s="10" t="s">
        <v>9</v>
      </c>
      <c r="F47" s="10" t="s">
        <v>10</v>
      </c>
      <c r="G47" s="10" t="s">
        <v>88</v>
      </c>
      <c r="H47" s="5">
        <v>0.03511574074074074</v>
      </c>
      <c r="I47" s="2"/>
      <c r="J47" s="2"/>
    </row>
    <row r="48">
      <c r="A48" s="10">
        <v>75.0</v>
      </c>
      <c r="B48" s="10">
        <v>300.0</v>
      </c>
      <c r="C48" s="10">
        <f t="shared" si="1"/>
        <v>4</v>
      </c>
      <c r="D48" s="10">
        <v>183.0</v>
      </c>
      <c r="E48" s="10" t="s">
        <v>96</v>
      </c>
      <c r="F48" s="10" t="s">
        <v>10</v>
      </c>
      <c r="G48" s="10" t="s">
        <v>79</v>
      </c>
      <c r="H48" s="11">
        <v>0.03519675925925926</v>
      </c>
      <c r="I48" s="12" t="s">
        <v>97</v>
      </c>
      <c r="J48" s="2"/>
    </row>
    <row r="49">
      <c r="A49" s="10">
        <v>75.0</v>
      </c>
      <c r="B49" s="10">
        <v>300.0</v>
      </c>
      <c r="C49" s="10">
        <f t="shared" si="1"/>
        <v>4</v>
      </c>
      <c r="D49" s="10">
        <v>183.0</v>
      </c>
      <c r="E49" s="10" t="s">
        <v>19</v>
      </c>
      <c r="F49" s="10" t="s">
        <v>10</v>
      </c>
      <c r="G49" s="10" t="s">
        <v>65</v>
      </c>
      <c r="H49" s="11">
        <v>0.03511574074074074</v>
      </c>
      <c r="I49" s="12" t="s">
        <v>98</v>
      </c>
      <c r="J49" s="2"/>
    </row>
    <row r="50">
      <c r="A50" s="10">
        <v>75.0</v>
      </c>
      <c r="B50" s="10">
        <v>300.0</v>
      </c>
      <c r="C50" s="10">
        <f t="shared" si="1"/>
        <v>4</v>
      </c>
      <c r="D50" s="10">
        <v>183.0</v>
      </c>
      <c r="E50" s="10" t="s">
        <v>19</v>
      </c>
      <c r="F50" s="10" t="s">
        <v>10</v>
      </c>
      <c r="G50" s="10" t="s">
        <v>79</v>
      </c>
      <c r="H50" s="11">
        <v>0.035173611111111114</v>
      </c>
      <c r="I50" s="12" t="s">
        <v>99</v>
      </c>
      <c r="J50" s="2"/>
    </row>
    <row r="51">
      <c r="A51" s="10">
        <v>75.0</v>
      </c>
      <c r="B51" s="10">
        <v>300.0</v>
      </c>
      <c r="C51" s="10">
        <f t="shared" si="1"/>
        <v>4</v>
      </c>
      <c r="D51" s="10">
        <v>183.0</v>
      </c>
      <c r="E51" s="10" t="s">
        <v>90</v>
      </c>
      <c r="F51" s="10" t="s">
        <v>10</v>
      </c>
      <c r="G51" s="10" t="s">
        <v>79</v>
      </c>
      <c r="H51" s="5">
        <v>0.035243055555555555</v>
      </c>
      <c r="I51" s="2"/>
      <c r="J51" s="2"/>
    </row>
    <row r="52">
      <c r="A52" s="10">
        <v>75.0</v>
      </c>
      <c r="B52" s="10">
        <v>300.0</v>
      </c>
      <c r="C52" s="10">
        <f t="shared" si="1"/>
        <v>4</v>
      </c>
      <c r="D52" s="10">
        <v>183.0</v>
      </c>
      <c r="E52" s="10" t="s">
        <v>13</v>
      </c>
      <c r="F52" s="10" t="s">
        <v>10</v>
      </c>
      <c r="G52" s="10" t="s">
        <v>14</v>
      </c>
      <c r="H52" s="11">
        <v>0.03525462962962963</v>
      </c>
      <c r="I52" s="12" t="s">
        <v>100</v>
      </c>
      <c r="J52" s="2"/>
    </row>
    <row r="53">
      <c r="A53" s="3">
        <v>75.0</v>
      </c>
      <c r="B53" s="3">
        <v>300.0</v>
      </c>
      <c r="C53" s="3">
        <f t="shared" si="1"/>
        <v>4</v>
      </c>
      <c r="D53" s="3">
        <v>183.0</v>
      </c>
      <c r="E53" s="4" t="s">
        <v>13</v>
      </c>
      <c r="F53" s="4" t="s">
        <v>10</v>
      </c>
      <c r="G53" s="4" t="s">
        <v>14</v>
      </c>
      <c r="H53" s="5">
        <v>0.03525462962962963</v>
      </c>
      <c r="I53" s="9" t="s">
        <v>15</v>
      </c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A54" s="10">
        <v>75.0</v>
      </c>
      <c r="B54" s="10">
        <v>300.0</v>
      </c>
      <c r="C54" s="10">
        <f t="shared" si="1"/>
        <v>4</v>
      </c>
      <c r="D54" s="10">
        <v>183.0</v>
      </c>
      <c r="E54" s="10" t="s">
        <v>90</v>
      </c>
      <c r="F54" s="10" t="s">
        <v>10</v>
      </c>
      <c r="G54" s="10" t="s">
        <v>88</v>
      </c>
      <c r="H54" s="5">
        <v>0.03525462962962963</v>
      </c>
      <c r="I54" s="2"/>
      <c r="J54" s="2"/>
    </row>
    <row r="55">
      <c r="A55" s="10">
        <v>75.0</v>
      </c>
      <c r="B55" s="10">
        <v>300.0</v>
      </c>
      <c r="C55" s="10">
        <f t="shared" si="1"/>
        <v>4</v>
      </c>
      <c r="D55" s="10">
        <v>183.0</v>
      </c>
      <c r="E55" s="4" t="s">
        <v>101</v>
      </c>
      <c r="F55" s="10" t="s">
        <v>10</v>
      </c>
      <c r="G55" s="4" t="s">
        <v>14</v>
      </c>
      <c r="H55" s="11">
        <v>0.035277777777777776</v>
      </c>
      <c r="I55" s="12" t="s">
        <v>102</v>
      </c>
      <c r="J55" s="2"/>
      <c r="L55" s="16" t="s">
        <v>103</v>
      </c>
    </row>
    <row r="56">
      <c r="A56" s="10">
        <v>75.0</v>
      </c>
      <c r="B56" s="10">
        <v>300.0</v>
      </c>
      <c r="C56" s="10">
        <f t="shared" si="1"/>
        <v>4</v>
      </c>
      <c r="D56" s="10">
        <v>183.0</v>
      </c>
      <c r="E56" s="10" t="s">
        <v>94</v>
      </c>
      <c r="F56" s="10" t="s">
        <v>10</v>
      </c>
      <c r="G56" s="10" t="s">
        <v>79</v>
      </c>
      <c r="H56" s="5">
        <v>0.035277777777777776</v>
      </c>
      <c r="I56" s="2"/>
      <c r="J56" s="2"/>
    </row>
    <row r="57">
      <c r="A57" s="10">
        <v>75.0</v>
      </c>
      <c r="B57" s="10">
        <v>300.0</v>
      </c>
      <c r="C57" s="10">
        <f t="shared" si="1"/>
        <v>4</v>
      </c>
      <c r="D57" s="10">
        <v>183.0</v>
      </c>
      <c r="E57" s="10" t="s">
        <v>94</v>
      </c>
      <c r="F57" s="10" t="s">
        <v>10</v>
      </c>
      <c r="G57" s="10" t="s">
        <v>88</v>
      </c>
      <c r="H57" s="5">
        <v>0.03528935185185185</v>
      </c>
      <c r="I57" s="2"/>
      <c r="J57" s="2"/>
    </row>
    <row r="58">
      <c r="A58" s="3">
        <v>75.0</v>
      </c>
      <c r="B58" s="3">
        <v>300.0</v>
      </c>
      <c r="C58" s="3">
        <f t="shared" si="1"/>
        <v>4</v>
      </c>
      <c r="D58" s="3">
        <v>183.0</v>
      </c>
      <c r="E58" s="4" t="s">
        <v>19</v>
      </c>
      <c r="F58" s="3" t="s">
        <v>10</v>
      </c>
      <c r="G58" s="10" t="s">
        <v>79</v>
      </c>
      <c r="H58" s="5">
        <v>0.03518518518518519</v>
      </c>
      <c r="I58" s="18" t="s">
        <v>104</v>
      </c>
      <c r="J58" s="17" t="s">
        <v>105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A59" s="10">
        <v>75.0</v>
      </c>
      <c r="B59" s="10">
        <v>300.0</v>
      </c>
      <c r="C59" s="10">
        <f t="shared" si="1"/>
        <v>4</v>
      </c>
      <c r="D59" s="10">
        <v>183.0</v>
      </c>
      <c r="E59" s="10" t="s">
        <v>19</v>
      </c>
      <c r="F59" s="10" t="s">
        <v>10</v>
      </c>
      <c r="G59" s="10" t="s">
        <v>106</v>
      </c>
      <c r="H59" s="11">
        <v>0.03519675925925926</v>
      </c>
      <c r="I59" s="12" t="s">
        <v>107</v>
      </c>
      <c r="J59" s="2"/>
    </row>
    <row r="60">
      <c r="A60" s="10">
        <v>75.0</v>
      </c>
      <c r="B60" s="10">
        <v>300.0</v>
      </c>
      <c r="C60" s="10">
        <f t="shared" si="1"/>
        <v>4</v>
      </c>
      <c r="D60" s="10">
        <v>183.0</v>
      </c>
      <c r="E60" s="10" t="s">
        <v>19</v>
      </c>
      <c r="F60" s="10" t="s">
        <v>10</v>
      </c>
      <c r="G60" s="10" t="s">
        <v>108</v>
      </c>
      <c r="H60" s="11">
        <v>0.03519675925925926</v>
      </c>
      <c r="I60" s="12" t="s">
        <v>109</v>
      </c>
      <c r="J60" s="2"/>
    </row>
    <row r="61">
      <c r="A61" s="10">
        <v>75.0</v>
      </c>
      <c r="B61" s="10">
        <v>300.0</v>
      </c>
      <c r="C61" s="10">
        <f t="shared" si="1"/>
        <v>4</v>
      </c>
      <c r="D61" s="10">
        <v>183.0</v>
      </c>
      <c r="E61" s="10" t="s">
        <v>19</v>
      </c>
      <c r="F61" s="10" t="s">
        <v>10</v>
      </c>
      <c r="G61" s="10" t="s">
        <v>91</v>
      </c>
      <c r="H61" s="11">
        <v>0.03521990740740741</v>
      </c>
      <c r="I61" s="12" t="s">
        <v>110</v>
      </c>
      <c r="J61" s="2"/>
    </row>
    <row r="62">
      <c r="A62" s="10">
        <v>75.0</v>
      </c>
      <c r="B62" s="10">
        <v>300.0</v>
      </c>
      <c r="C62" s="10">
        <f t="shared" si="1"/>
        <v>4</v>
      </c>
      <c r="D62" s="10">
        <v>183.0</v>
      </c>
      <c r="E62" s="10" t="s">
        <v>9</v>
      </c>
      <c r="F62" s="10" t="s">
        <v>10</v>
      </c>
      <c r="G62" s="10" t="s">
        <v>14</v>
      </c>
      <c r="H62" s="5">
        <v>0.03523148148148148</v>
      </c>
      <c r="I62" s="2"/>
      <c r="J62" s="2"/>
    </row>
    <row r="63">
      <c r="A63" s="10">
        <v>75.0</v>
      </c>
      <c r="B63" s="10">
        <v>300.0</v>
      </c>
      <c r="C63" s="10">
        <f t="shared" si="1"/>
        <v>4</v>
      </c>
      <c r="D63" s="10">
        <v>183.0</v>
      </c>
      <c r="E63" s="10" t="s">
        <v>13</v>
      </c>
      <c r="F63" s="10" t="s">
        <v>10</v>
      </c>
      <c r="G63" s="10" t="s">
        <v>111</v>
      </c>
      <c r="H63" s="11">
        <v>0.035347222222222224</v>
      </c>
      <c r="I63" s="12" t="s">
        <v>112</v>
      </c>
      <c r="J63" s="2"/>
    </row>
    <row r="64">
      <c r="A64" s="10">
        <v>75.0</v>
      </c>
      <c r="B64" s="10">
        <v>300.0</v>
      </c>
      <c r="C64" s="10">
        <f t="shared" si="1"/>
        <v>4</v>
      </c>
      <c r="D64" s="10">
        <v>183.0</v>
      </c>
      <c r="E64" s="10" t="s">
        <v>19</v>
      </c>
      <c r="F64" s="10" t="s">
        <v>10</v>
      </c>
      <c r="G64" s="10" t="s">
        <v>113</v>
      </c>
      <c r="H64" s="11">
        <v>0.03530092592592592</v>
      </c>
      <c r="I64" s="12" t="s">
        <v>114</v>
      </c>
      <c r="J64" s="2"/>
    </row>
    <row r="65">
      <c r="A65" s="10">
        <v>75.0</v>
      </c>
      <c r="B65" s="10">
        <v>300.0</v>
      </c>
      <c r="C65" s="10">
        <f t="shared" si="1"/>
        <v>4</v>
      </c>
      <c r="D65" s="10">
        <v>183.0</v>
      </c>
      <c r="E65" s="10" t="s">
        <v>19</v>
      </c>
      <c r="F65" s="10" t="s">
        <v>10</v>
      </c>
      <c r="G65" s="10" t="s">
        <v>14</v>
      </c>
      <c r="H65" s="11">
        <v>0.0353125</v>
      </c>
      <c r="I65" s="12" t="s">
        <v>115</v>
      </c>
      <c r="J65" s="2"/>
    </row>
    <row r="66">
      <c r="A66" s="10">
        <v>75.0</v>
      </c>
      <c r="B66" s="10">
        <v>300.0</v>
      </c>
      <c r="C66" s="10">
        <f t="shared" si="1"/>
        <v>4</v>
      </c>
      <c r="D66" s="10">
        <v>183.0</v>
      </c>
      <c r="E66" s="10" t="s">
        <v>90</v>
      </c>
      <c r="F66" s="10" t="s">
        <v>10</v>
      </c>
      <c r="G66" s="10" t="s">
        <v>14</v>
      </c>
      <c r="H66" s="5">
        <v>0.03537037037037037</v>
      </c>
      <c r="I66" s="2"/>
      <c r="J66" s="2"/>
    </row>
    <row r="67">
      <c r="A67" s="10">
        <v>75.0</v>
      </c>
      <c r="B67" s="10">
        <v>300.0</v>
      </c>
      <c r="C67" s="10">
        <f t="shared" si="1"/>
        <v>4</v>
      </c>
      <c r="D67" s="10">
        <v>183.0</v>
      </c>
      <c r="E67" s="10" t="s">
        <v>9</v>
      </c>
      <c r="F67" s="10" t="s">
        <v>10</v>
      </c>
      <c r="G67" s="10" t="s">
        <v>111</v>
      </c>
      <c r="H67" s="5">
        <v>0.03532407407407408</v>
      </c>
      <c r="I67" s="2"/>
      <c r="J67" s="2"/>
    </row>
    <row r="68">
      <c r="A68" s="10">
        <v>75.0</v>
      </c>
      <c r="B68" s="10">
        <v>300.0</v>
      </c>
      <c r="C68" s="10">
        <f t="shared" si="1"/>
        <v>4</v>
      </c>
      <c r="D68" s="10">
        <v>183.0</v>
      </c>
      <c r="E68" s="10" t="s">
        <v>19</v>
      </c>
      <c r="F68" s="10" t="s">
        <v>10</v>
      </c>
      <c r="G68" s="10" t="s">
        <v>116</v>
      </c>
      <c r="H68" s="11">
        <v>0.03533564814814815</v>
      </c>
      <c r="I68" s="12" t="s">
        <v>117</v>
      </c>
      <c r="J68" s="2"/>
    </row>
    <row r="69">
      <c r="A69" s="10">
        <v>75.0</v>
      </c>
      <c r="B69" s="10">
        <v>300.0</v>
      </c>
      <c r="C69" s="10">
        <f t="shared" si="1"/>
        <v>4</v>
      </c>
      <c r="D69" s="10">
        <v>183.0</v>
      </c>
      <c r="E69" s="10" t="s">
        <v>94</v>
      </c>
      <c r="F69" s="10" t="s">
        <v>10</v>
      </c>
      <c r="G69" s="10" t="s">
        <v>14</v>
      </c>
      <c r="H69" s="5">
        <v>0.03540509259259259</v>
      </c>
      <c r="I69" s="2"/>
      <c r="J69" s="2"/>
    </row>
    <row r="70">
      <c r="A70" s="10">
        <v>75.0</v>
      </c>
      <c r="B70" s="10">
        <v>300.0</v>
      </c>
      <c r="C70" s="10">
        <f t="shared" si="1"/>
        <v>4</v>
      </c>
      <c r="D70" s="10">
        <v>183.0</v>
      </c>
      <c r="E70" s="10" t="s">
        <v>19</v>
      </c>
      <c r="F70" s="10" t="s">
        <v>10</v>
      </c>
      <c r="G70" s="10" t="s">
        <v>118</v>
      </c>
      <c r="H70" s="11">
        <v>0.03533564814814815</v>
      </c>
      <c r="I70" s="12" t="s">
        <v>119</v>
      </c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A71" s="10">
        <v>75.0</v>
      </c>
      <c r="B71" s="10">
        <v>300.0</v>
      </c>
      <c r="C71" s="10">
        <f t="shared" si="1"/>
        <v>4</v>
      </c>
      <c r="D71" s="10">
        <v>183.0</v>
      </c>
      <c r="E71" s="10" t="s">
        <v>19</v>
      </c>
      <c r="F71" s="10" t="s">
        <v>10</v>
      </c>
      <c r="G71" s="10" t="s">
        <v>120</v>
      </c>
      <c r="H71" s="11">
        <v>0.035347222222222224</v>
      </c>
      <c r="I71" s="12" t="s">
        <v>121</v>
      </c>
      <c r="J71" s="2"/>
    </row>
    <row r="72">
      <c r="A72" s="10">
        <v>75.0</v>
      </c>
      <c r="B72" s="10">
        <v>300.0</v>
      </c>
      <c r="C72" s="10">
        <f t="shared" si="1"/>
        <v>4</v>
      </c>
      <c r="D72" s="10">
        <v>183.0</v>
      </c>
      <c r="E72" s="10" t="s">
        <v>19</v>
      </c>
      <c r="F72" s="10" t="s">
        <v>10</v>
      </c>
      <c r="G72" s="10" t="s">
        <v>122</v>
      </c>
      <c r="H72" s="11">
        <v>0.035347222222222224</v>
      </c>
      <c r="I72" s="12" t="s">
        <v>123</v>
      </c>
      <c r="J72" s="2"/>
    </row>
    <row r="73">
      <c r="A73" s="10">
        <v>75.0</v>
      </c>
      <c r="B73" s="10">
        <v>300.0</v>
      </c>
      <c r="C73" s="10">
        <f t="shared" si="1"/>
        <v>4</v>
      </c>
      <c r="D73" s="10">
        <v>183.0</v>
      </c>
      <c r="E73" s="10" t="s">
        <v>19</v>
      </c>
      <c r="F73" s="10" t="s">
        <v>10</v>
      </c>
      <c r="G73" s="10" t="s">
        <v>124</v>
      </c>
      <c r="H73" s="11">
        <v>0.03537037037037037</v>
      </c>
      <c r="I73" s="12" t="s">
        <v>125</v>
      </c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A74" s="10">
        <v>75.0</v>
      </c>
      <c r="B74" s="10">
        <v>300.0</v>
      </c>
      <c r="C74" s="10">
        <f t="shared" si="1"/>
        <v>4</v>
      </c>
      <c r="D74" s="10">
        <v>183.0</v>
      </c>
      <c r="E74" s="10" t="s">
        <v>90</v>
      </c>
      <c r="F74" s="10" t="s">
        <v>10</v>
      </c>
      <c r="G74" s="10" t="s">
        <v>111</v>
      </c>
      <c r="H74" s="5">
        <v>0.03546296296296296</v>
      </c>
      <c r="I74" s="2"/>
      <c r="J74" s="2"/>
    </row>
    <row r="75">
      <c r="A75" s="10">
        <v>75.0</v>
      </c>
      <c r="B75" s="10">
        <v>300.0</v>
      </c>
      <c r="C75" s="10">
        <f t="shared" si="1"/>
        <v>4</v>
      </c>
      <c r="D75" s="10">
        <v>183.0</v>
      </c>
      <c r="E75" s="10" t="s">
        <v>19</v>
      </c>
      <c r="F75" s="10" t="s">
        <v>10</v>
      </c>
      <c r="G75" s="10" t="s">
        <v>126</v>
      </c>
      <c r="H75" s="11">
        <v>0.03540509259259259</v>
      </c>
      <c r="I75" s="12" t="s">
        <v>127</v>
      </c>
      <c r="J75" s="2"/>
    </row>
    <row r="76">
      <c r="A76" s="3">
        <v>75.0</v>
      </c>
      <c r="B76" s="3">
        <v>300.0</v>
      </c>
      <c r="C76" s="3">
        <f t="shared" si="1"/>
        <v>4</v>
      </c>
      <c r="D76" s="3">
        <v>183.0</v>
      </c>
      <c r="E76" s="4" t="s">
        <v>16</v>
      </c>
      <c r="F76" s="3" t="s">
        <v>10</v>
      </c>
      <c r="G76" s="4" t="s">
        <v>122</v>
      </c>
      <c r="H76" s="5">
        <v>0.03546296296296296</v>
      </c>
      <c r="I76" s="9" t="s">
        <v>128</v>
      </c>
      <c r="J76" s="21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A77" s="10">
        <v>75.0</v>
      </c>
      <c r="B77" s="10">
        <v>300.0</v>
      </c>
      <c r="C77" s="10">
        <f t="shared" si="1"/>
        <v>4</v>
      </c>
      <c r="D77" s="10">
        <v>183.0</v>
      </c>
      <c r="E77" s="10" t="s">
        <v>19</v>
      </c>
      <c r="F77" s="10" t="s">
        <v>10</v>
      </c>
      <c r="G77" s="10" t="s">
        <v>129</v>
      </c>
      <c r="H77" s="11">
        <v>0.03540509259259259</v>
      </c>
      <c r="I77" s="12" t="s">
        <v>130</v>
      </c>
      <c r="J77" s="2"/>
    </row>
    <row r="78">
      <c r="A78" s="10">
        <v>75.0</v>
      </c>
      <c r="B78" s="10">
        <v>300.0</v>
      </c>
      <c r="C78" s="10">
        <f t="shared" si="1"/>
        <v>4</v>
      </c>
      <c r="D78" s="10">
        <v>183.0</v>
      </c>
      <c r="E78" s="10" t="s">
        <v>19</v>
      </c>
      <c r="F78" s="10" t="s">
        <v>10</v>
      </c>
      <c r="G78" s="10" t="s">
        <v>131</v>
      </c>
      <c r="H78" s="11">
        <v>0.035416666666666666</v>
      </c>
      <c r="I78" s="12" t="s">
        <v>132</v>
      </c>
      <c r="J78" s="2"/>
    </row>
    <row r="79">
      <c r="A79" s="10">
        <v>75.0</v>
      </c>
      <c r="B79" s="10">
        <v>300.0</v>
      </c>
      <c r="C79" s="10">
        <f t="shared" si="1"/>
        <v>4</v>
      </c>
      <c r="D79" s="10">
        <v>183.0</v>
      </c>
      <c r="E79" s="10" t="s">
        <v>13</v>
      </c>
      <c r="F79" s="10" t="s">
        <v>10</v>
      </c>
      <c r="G79" s="10" t="s">
        <v>133</v>
      </c>
      <c r="H79" s="11">
        <v>0.03549768518518519</v>
      </c>
      <c r="I79" s="15" t="s">
        <v>134</v>
      </c>
      <c r="J79" s="2"/>
    </row>
    <row r="80">
      <c r="A80" s="10">
        <v>75.0</v>
      </c>
      <c r="B80" s="10">
        <v>300.0</v>
      </c>
      <c r="C80" s="10">
        <f t="shared" si="1"/>
        <v>4</v>
      </c>
      <c r="D80" s="10">
        <v>183.0</v>
      </c>
      <c r="E80" s="10" t="s">
        <v>19</v>
      </c>
      <c r="F80" s="10" t="s">
        <v>10</v>
      </c>
      <c r="G80" s="10" t="s">
        <v>135</v>
      </c>
      <c r="H80" s="11">
        <v>0.03543981481481481</v>
      </c>
      <c r="I80" s="12" t="s">
        <v>136</v>
      </c>
      <c r="J80" s="2"/>
    </row>
    <row r="81">
      <c r="A81" s="10">
        <v>75.0</v>
      </c>
      <c r="B81" s="10">
        <v>300.0</v>
      </c>
      <c r="C81" s="10">
        <f t="shared" si="1"/>
        <v>4</v>
      </c>
      <c r="D81" s="10">
        <v>183.0</v>
      </c>
      <c r="E81" s="10" t="s">
        <v>94</v>
      </c>
      <c r="F81" s="10" t="s">
        <v>10</v>
      </c>
      <c r="G81" s="10" t="s">
        <v>111</v>
      </c>
      <c r="H81" s="5">
        <v>0.03550925925925926</v>
      </c>
      <c r="I81" s="2"/>
      <c r="J81" s="2"/>
    </row>
    <row r="82">
      <c r="A82" s="10">
        <v>75.0</v>
      </c>
      <c r="B82" s="10">
        <v>300.0</v>
      </c>
      <c r="C82" s="10">
        <f t="shared" si="1"/>
        <v>4</v>
      </c>
      <c r="D82" s="10">
        <v>183.0</v>
      </c>
      <c r="E82" s="10" t="s">
        <v>19</v>
      </c>
      <c r="F82" s="10" t="s">
        <v>10</v>
      </c>
      <c r="G82" s="10" t="s">
        <v>137</v>
      </c>
      <c r="H82" s="11">
        <v>0.03543981481481481</v>
      </c>
      <c r="I82" s="12" t="s">
        <v>138</v>
      </c>
      <c r="J82" s="2"/>
    </row>
    <row r="83">
      <c r="A83" s="10">
        <v>75.0</v>
      </c>
      <c r="B83" s="10">
        <v>300.0</v>
      </c>
      <c r="C83" s="10">
        <f t="shared" si="1"/>
        <v>4</v>
      </c>
      <c r="D83" s="10">
        <v>183.0</v>
      </c>
      <c r="E83" s="10" t="s">
        <v>19</v>
      </c>
      <c r="F83" s="10" t="s">
        <v>10</v>
      </c>
      <c r="G83" s="10" t="s">
        <v>139</v>
      </c>
      <c r="H83" s="11">
        <v>0.03546296296296296</v>
      </c>
      <c r="I83" s="12" t="s">
        <v>140</v>
      </c>
      <c r="J83" s="2"/>
    </row>
    <row r="84">
      <c r="A84" s="10">
        <v>75.0</v>
      </c>
      <c r="B84" s="10">
        <v>300.0</v>
      </c>
      <c r="C84" s="10">
        <f t="shared" si="1"/>
        <v>4</v>
      </c>
      <c r="D84" s="10">
        <v>183.0</v>
      </c>
      <c r="E84" s="10" t="s">
        <v>9</v>
      </c>
      <c r="F84" s="10" t="s">
        <v>10</v>
      </c>
      <c r="G84" s="10" t="s">
        <v>133</v>
      </c>
      <c r="H84" s="5">
        <v>0.035474537037037034</v>
      </c>
      <c r="I84" s="2"/>
      <c r="J84" s="2"/>
    </row>
    <row r="85">
      <c r="A85" s="10">
        <v>75.0</v>
      </c>
      <c r="B85" s="10">
        <v>300.0</v>
      </c>
      <c r="C85" s="10">
        <f t="shared" si="1"/>
        <v>4</v>
      </c>
      <c r="D85" s="10">
        <v>183.0</v>
      </c>
      <c r="E85" s="10" t="s">
        <v>19</v>
      </c>
      <c r="F85" s="10" t="s">
        <v>10</v>
      </c>
      <c r="G85" s="10" t="s">
        <v>141</v>
      </c>
      <c r="H85" s="11">
        <v>0.03549768518518519</v>
      </c>
      <c r="I85" s="12" t="s">
        <v>142</v>
      </c>
      <c r="J85" s="2"/>
    </row>
    <row r="86">
      <c r="A86" s="10">
        <v>75.0</v>
      </c>
      <c r="B86" s="10">
        <v>300.0</v>
      </c>
      <c r="C86" s="10">
        <f t="shared" si="1"/>
        <v>4</v>
      </c>
      <c r="D86" s="10">
        <v>183.0</v>
      </c>
      <c r="E86" s="10" t="s">
        <v>90</v>
      </c>
      <c r="F86" s="10" t="s">
        <v>10</v>
      </c>
      <c r="G86" s="10" t="s">
        <v>133</v>
      </c>
      <c r="H86" s="5">
        <v>0.03561342592592592</v>
      </c>
      <c r="I86" s="2"/>
      <c r="J86" s="2"/>
    </row>
    <row r="87">
      <c r="A87" s="10">
        <v>75.0</v>
      </c>
      <c r="B87" s="10">
        <v>300.0</v>
      </c>
      <c r="C87" s="10">
        <f t="shared" si="1"/>
        <v>4</v>
      </c>
      <c r="D87" s="10">
        <v>183.0</v>
      </c>
      <c r="E87" s="10" t="s">
        <v>19</v>
      </c>
      <c r="F87" s="10" t="s">
        <v>10</v>
      </c>
      <c r="G87" s="10" t="s">
        <v>143</v>
      </c>
      <c r="H87" s="11">
        <v>0.03549768518518519</v>
      </c>
      <c r="I87" s="12" t="s">
        <v>144</v>
      </c>
      <c r="J87" s="2"/>
    </row>
    <row r="88">
      <c r="A88" s="10">
        <v>75.0</v>
      </c>
      <c r="B88" s="10">
        <v>300.0</v>
      </c>
      <c r="C88" s="10">
        <f t="shared" si="1"/>
        <v>4</v>
      </c>
      <c r="D88" s="10">
        <v>183.0</v>
      </c>
      <c r="E88" s="10" t="s">
        <v>19</v>
      </c>
      <c r="F88" s="10" t="s">
        <v>10</v>
      </c>
      <c r="G88" s="10" t="s">
        <v>145</v>
      </c>
      <c r="H88" s="11">
        <v>0.03553240740740741</v>
      </c>
      <c r="I88" s="12" t="s">
        <v>146</v>
      </c>
      <c r="J88" s="2"/>
    </row>
    <row r="89">
      <c r="A89" s="10">
        <v>75.0</v>
      </c>
      <c r="B89" s="10">
        <v>300.0</v>
      </c>
      <c r="C89" s="10">
        <f t="shared" si="1"/>
        <v>4</v>
      </c>
      <c r="D89" s="10">
        <v>183.0</v>
      </c>
      <c r="E89" s="10" t="s">
        <v>9</v>
      </c>
      <c r="F89" s="10" t="s">
        <v>10</v>
      </c>
      <c r="G89" s="10" t="s">
        <v>17</v>
      </c>
      <c r="H89" s="11">
        <v>0.035625</v>
      </c>
      <c r="I89" s="12" t="s">
        <v>147</v>
      </c>
      <c r="J89" s="2"/>
    </row>
    <row r="90">
      <c r="A90" s="10">
        <v>75.0</v>
      </c>
      <c r="B90" s="10">
        <v>300.0</v>
      </c>
      <c r="C90" s="10">
        <f t="shared" si="1"/>
        <v>4</v>
      </c>
      <c r="D90" s="10">
        <v>183.0</v>
      </c>
      <c r="E90" s="10" t="s">
        <v>9</v>
      </c>
      <c r="F90" s="10" t="s">
        <v>10</v>
      </c>
      <c r="G90" s="10" t="s">
        <v>17</v>
      </c>
      <c r="H90" s="11">
        <v>0.035625</v>
      </c>
      <c r="I90" s="12" t="s">
        <v>148</v>
      </c>
      <c r="J90" s="17" t="s">
        <v>149</v>
      </c>
    </row>
    <row r="91">
      <c r="A91" s="10">
        <v>75.0</v>
      </c>
      <c r="B91" s="10">
        <v>300.0</v>
      </c>
      <c r="C91" s="10">
        <f t="shared" si="1"/>
        <v>4</v>
      </c>
      <c r="D91" s="10">
        <v>183.0</v>
      </c>
      <c r="E91" s="10" t="s">
        <v>58</v>
      </c>
      <c r="F91" s="10" t="s">
        <v>10</v>
      </c>
      <c r="G91" s="10" t="s">
        <v>17</v>
      </c>
      <c r="H91" s="11">
        <v>0.03563657407407408</v>
      </c>
      <c r="I91" s="12" t="s">
        <v>150</v>
      </c>
      <c r="J91" s="2"/>
    </row>
    <row r="92">
      <c r="A92" s="10">
        <v>75.0</v>
      </c>
      <c r="B92" s="10">
        <v>300.0</v>
      </c>
      <c r="C92" s="10">
        <f t="shared" si="1"/>
        <v>4</v>
      </c>
      <c r="D92" s="10">
        <v>183.0</v>
      </c>
      <c r="E92" s="10" t="s">
        <v>61</v>
      </c>
      <c r="F92" s="10" t="s">
        <v>10</v>
      </c>
      <c r="G92" s="10" t="s">
        <v>17</v>
      </c>
      <c r="H92" s="11">
        <v>0.03563657407407408</v>
      </c>
      <c r="I92" s="12" t="s">
        <v>151</v>
      </c>
      <c r="J92" s="2"/>
    </row>
    <row r="93">
      <c r="A93" s="10">
        <v>75.0</v>
      </c>
      <c r="B93" s="10">
        <v>300.0</v>
      </c>
      <c r="C93" s="10">
        <f t="shared" si="1"/>
        <v>4</v>
      </c>
      <c r="D93" s="10">
        <v>183.0</v>
      </c>
      <c r="E93" s="10" t="s">
        <v>94</v>
      </c>
      <c r="F93" s="10" t="s">
        <v>10</v>
      </c>
      <c r="G93" s="10" t="s">
        <v>133</v>
      </c>
      <c r="H93" s="5">
        <v>0.03564814814814815</v>
      </c>
      <c r="I93" s="12" t="s">
        <v>152</v>
      </c>
      <c r="J93" s="17" t="s">
        <v>153</v>
      </c>
    </row>
    <row r="94">
      <c r="A94" s="10">
        <v>75.0</v>
      </c>
      <c r="B94" s="10">
        <v>300.0</v>
      </c>
      <c r="C94" s="10">
        <f t="shared" si="1"/>
        <v>4</v>
      </c>
      <c r="D94" s="10">
        <v>183.0</v>
      </c>
      <c r="E94" s="10" t="s">
        <v>19</v>
      </c>
      <c r="F94" s="10" t="s">
        <v>10</v>
      </c>
      <c r="G94" s="10" t="s">
        <v>133</v>
      </c>
      <c r="H94" s="11">
        <v>0.035555555555555556</v>
      </c>
      <c r="I94" s="12" t="s">
        <v>154</v>
      </c>
      <c r="J94" s="2"/>
    </row>
    <row r="95">
      <c r="A95" s="10">
        <v>75.0</v>
      </c>
      <c r="B95" s="10">
        <v>300.0</v>
      </c>
      <c r="C95" s="10">
        <f t="shared" si="1"/>
        <v>4</v>
      </c>
      <c r="D95" s="10">
        <v>183.0</v>
      </c>
      <c r="E95" s="10" t="s">
        <v>67</v>
      </c>
      <c r="F95" s="10" t="s">
        <v>10</v>
      </c>
      <c r="G95" s="10" t="s">
        <v>17</v>
      </c>
      <c r="H95" s="11">
        <v>0.03564814814814815</v>
      </c>
      <c r="I95" s="12" t="s">
        <v>155</v>
      </c>
      <c r="J95" s="2"/>
    </row>
    <row r="96">
      <c r="A96" s="3">
        <v>75.0</v>
      </c>
      <c r="B96" s="3">
        <v>300.0</v>
      </c>
      <c r="C96" s="3">
        <f t="shared" si="1"/>
        <v>4</v>
      </c>
      <c r="D96" s="3">
        <v>183.0</v>
      </c>
      <c r="E96" s="4" t="s">
        <v>101</v>
      </c>
      <c r="F96" s="3" t="s">
        <v>10</v>
      </c>
      <c r="G96" s="10" t="s">
        <v>17</v>
      </c>
      <c r="H96" s="5">
        <v>0.03564814814814815</v>
      </c>
      <c r="I96" s="9" t="s">
        <v>156</v>
      </c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A97" s="10">
        <v>75.0</v>
      </c>
      <c r="B97" s="10">
        <v>300.0</v>
      </c>
      <c r="C97" s="10">
        <f t="shared" si="1"/>
        <v>4</v>
      </c>
      <c r="D97" s="10">
        <v>183.0</v>
      </c>
      <c r="E97" s="10" t="s">
        <v>63</v>
      </c>
      <c r="F97" s="10" t="s">
        <v>10</v>
      </c>
      <c r="G97" s="10" t="s">
        <v>17</v>
      </c>
      <c r="H97" s="11">
        <v>0.03564814814814815</v>
      </c>
      <c r="I97" s="12" t="s">
        <v>157</v>
      </c>
      <c r="J97" s="2"/>
    </row>
    <row r="98">
      <c r="A98" s="10">
        <v>75.0</v>
      </c>
      <c r="B98" s="10">
        <v>300.0</v>
      </c>
      <c r="C98" s="10">
        <f t="shared" si="1"/>
        <v>4</v>
      </c>
      <c r="D98" s="10">
        <v>183.0</v>
      </c>
      <c r="E98" s="10" t="s">
        <v>13</v>
      </c>
      <c r="F98" s="10" t="s">
        <v>10</v>
      </c>
      <c r="G98" s="10" t="s">
        <v>17</v>
      </c>
      <c r="H98" s="11">
        <v>0.035659722222222225</v>
      </c>
      <c r="I98" s="12" t="s">
        <v>158</v>
      </c>
      <c r="J98" s="2"/>
      <c r="L98" s="16" t="s">
        <v>159</v>
      </c>
    </row>
    <row r="99">
      <c r="A99" s="10">
        <v>75.0</v>
      </c>
      <c r="B99" s="10">
        <v>300.0</v>
      </c>
      <c r="C99" s="10">
        <f t="shared" si="1"/>
        <v>4</v>
      </c>
      <c r="D99" s="10">
        <v>183.0</v>
      </c>
      <c r="E99" s="10" t="s">
        <v>71</v>
      </c>
      <c r="F99" s="10" t="s">
        <v>10</v>
      </c>
      <c r="G99" s="10" t="s">
        <v>17</v>
      </c>
      <c r="H99" s="11">
        <v>0.035659722222222225</v>
      </c>
      <c r="I99" s="12" t="s">
        <v>160</v>
      </c>
      <c r="J99" s="2"/>
    </row>
    <row r="100">
      <c r="A100" s="10">
        <v>75.0</v>
      </c>
      <c r="B100" s="10">
        <v>300.0</v>
      </c>
      <c r="C100" s="10">
        <f t="shared" si="1"/>
        <v>4</v>
      </c>
      <c r="D100" s="10">
        <v>183.0</v>
      </c>
      <c r="E100" s="10" t="s">
        <v>75</v>
      </c>
      <c r="F100" s="10" t="s">
        <v>10</v>
      </c>
      <c r="G100" s="10" t="s">
        <v>17</v>
      </c>
      <c r="H100" s="11">
        <v>0.0356712962962963</v>
      </c>
      <c r="I100" s="12" t="s">
        <v>161</v>
      </c>
      <c r="J100" s="2"/>
    </row>
    <row r="101">
      <c r="A101" s="10">
        <v>75.0</v>
      </c>
      <c r="B101" s="10">
        <v>300.0</v>
      </c>
      <c r="C101" s="10">
        <f t="shared" si="1"/>
        <v>4</v>
      </c>
      <c r="D101" s="10">
        <v>183.0</v>
      </c>
      <c r="E101" s="10" t="s">
        <v>162</v>
      </c>
      <c r="F101" s="10" t="s">
        <v>10</v>
      </c>
      <c r="G101" s="10" t="s">
        <v>17</v>
      </c>
      <c r="H101" s="22">
        <v>0.03568287037037037</v>
      </c>
      <c r="I101" s="12" t="s">
        <v>163</v>
      </c>
      <c r="J101" s="2"/>
    </row>
    <row r="102">
      <c r="A102" s="10">
        <v>75.0</v>
      </c>
      <c r="B102" s="10">
        <v>300.0</v>
      </c>
      <c r="C102" s="10">
        <f t="shared" si="1"/>
        <v>4</v>
      </c>
      <c r="D102" s="10">
        <v>183.0</v>
      </c>
      <c r="E102" s="10" t="s">
        <v>164</v>
      </c>
      <c r="F102" s="10" t="s">
        <v>10</v>
      </c>
      <c r="G102" s="10" t="s">
        <v>17</v>
      </c>
      <c r="H102" s="11">
        <v>0.03568287037037037</v>
      </c>
      <c r="I102" s="12" t="s">
        <v>165</v>
      </c>
      <c r="J102" s="2"/>
    </row>
    <row r="103">
      <c r="A103" s="10">
        <v>75.0</v>
      </c>
      <c r="B103" s="10">
        <v>300.0</v>
      </c>
      <c r="C103" s="10">
        <f t="shared" si="1"/>
        <v>4</v>
      </c>
      <c r="D103" s="10">
        <v>183.0</v>
      </c>
      <c r="E103" s="10" t="s">
        <v>166</v>
      </c>
      <c r="F103" s="10" t="s">
        <v>10</v>
      </c>
      <c r="G103" s="10" t="s">
        <v>17</v>
      </c>
      <c r="H103" s="11">
        <v>0.03568287037037037</v>
      </c>
      <c r="I103" s="12" t="s">
        <v>167</v>
      </c>
      <c r="J103" s="2"/>
    </row>
    <row r="104">
      <c r="A104" s="10">
        <v>75.0</v>
      </c>
      <c r="B104" s="10">
        <v>300.0</v>
      </c>
      <c r="C104" s="10">
        <f t="shared" si="1"/>
        <v>4</v>
      </c>
      <c r="D104" s="10">
        <v>183.0</v>
      </c>
      <c r="E104" s="10" t="s">
        <v>168</v>
      </c>
      <c r="F104" s="10" t="s">
        <v>10</v>
      </c>
      <c r="G104" s="10" t="s">
        <v>17</v>
      </c>
      <c r="H104" s="11">
        <v>0.035694444444444445</v>
      </c>
      <c r="I104" s="12" t="s">
        <v>169</v>
      </c>
      <c r="J104" s="2"/>
    </row>
    <row r="105">
      <c r="A105" s="10">
        <v>75.0</v>
      </c>
      <c r="B105" s="10">
        <v>300.0</v>
      </c>
      <c r="C105" s="10">
        <f t="shared" si="1"/>
        <v>4</v>
      </c>
      <c r="D105" s="10">
        <v>183.0</v>
      </c>
      <c r="E105" s="10" t="s">
        <v>19</v>
      </c>
      <c r="F105" s="10" t="s">
        <v>10</v>
      </c>
      <c r="G105" s="10" t="s">
        <v>170</v>
      </c>
      <c r="H105" s="11">
        <v>0.0355787037037037</v>
      </c>
      <c r="I105" s="12" t="s">
        <v>171</v>
      </c>
      <c r="J105" s="2"/>
    </row>
    <row r="106">
      <c r="A106" s="10">
        <v>75.0</v>
      </c>
      <c r="B106" s="10">
        <v>300.0</v>
      </c>
      <c r="C106" s="10">
        <f t="shared" si="1"/>
        <v>4</v>
      </c>
      <c r="D106" s="10">
        <v>183.0</v>
      </c>
      <c r="E106" s="10" t="s">
        <v>19</v>
      </c>
      <c r="F106" s="10" t="s">
        <v>10</v>
      </c>
      <c r="G106" s="10" t="s">
        <v>172</v>
      </c>
      <c r="H106" s="11">
        <v>0.03560185185185185</v>
      </c>
      <c r="I106" s="12" t="s">
        <v>173</v>
      </c>
      <c r="J106" s="2"/>
    </row>
    <row r="107">
      <c r="A107" s="10">
        <v>75.0</v>
      </c>
      <c r="B107" s="10">
        <v>300.0</v>
      </c>
      <c r="C107" s="10">
        <f t="shared" si="1"/>
        <v>4</v>
      </c>
      <c r="D107" s="10">
        <v>183.0</v>
      </c>
      <c r="E107" s="10" t="s">
        <v>174</v>
      </c>
      <c r="F107" s="10" t="s">
        <v>10</v>
      </c>
      <c r="G107" s="10" t="s">
        <v>17</v>
      </c>
      <c r="H107" s="11">
        <v>0.035694444444444445</v>
      </c>
      <c r="I107" s="12" t="s">
        <v>175</v>
      </c>
      <c r="J107" s="2"/>
    </row>
    <row r="108">
      <c r="A108" s="10">
        <v>75.0</v>
      </c>
      <c r="B108" s="10">
        <v>300.0</v>
      </c>
      <c r="C108" s="10">
        <f t="shared" si="1"/>
        <v>4</v>
      </c>
      <c r="D108" s="10">
        <v>183.0</v>
      </c>
      <c r="E108" s="10" t="s">
        <v>77</v>
      </c>
      <c r="F108" s="10" t="s">
        <v>10</v>
      </c>
      <c r="G108" s="10" t="s">
        <v>17</v>
      </c>
      <c r="H108" s="11">
        <v>0.035694444444444445</v>
      </c>
      <c r="I108" s="12" t="s">
        <v>176</v>
      </c>
      <c r="J108" s="2"/>
    </row>
    <row r="109">
      <c r="A109" s="10">
        <v>75.0</v>
      </c>
      <c r="B109" s="10">
        <v>300.0</v>
      </c>
      <c r="C109" s="10">
        <f t="shared" si="1"/>
        <v>4</v>
      </c>
      <c r="D109" s="10">
        <v>183.0</v>
      </c>
      <c r="E109" s="10" t="s">
        <v>177</v>
      </c>
      <c r="F109" s="10" t="s">
        <v>10</v>
      </c>
      <c r="G109" s="10" t="s">
        <v>17</v>
      </c>
      <c r="H109" s="11">
        <v>0.03570601851851852</v>
      </c>
      <c r="I109" s="12" t="s">
        <v>178</v>
      </c>
      <c r="J109" s="2"/>
    </row>
    <row r="110">
      <c r="A110" s="10">
        <v>75.0</v>
      </c>
      <c r="B110" s="10">
        <v>300.0</v>
      </c>
      <c r="C110" s="10">
        <f t="shared" si="1"/>
        <v>4</v>
      </c>
      <c r="D110" s="10">
        <v>183.0</v>
      </c>
      <c r="E110" s="10" t="s">
        <v>179</v>
      </c>
      <c r="F110" s="10" t="s">
        <v>10</v>
      </c>
      <c r="G110" s="10" t="s">
        <v>17</v>
      </c>
      <c r="H110" s="11">
        <v>0.03571759259259259</v>
      </c>
      <c r="I110" s="12" t="s">
        <v>180</v>
      </c>
      <c r="J110" s="2"/>
    </row>
    <row r="111">
      <c r="A111" s="10">
        <v>75.0</v>
      </c>
      <c r="B111" s="10">
        <v>300.0</v>
      </c>
      <c r="C111" s="10">
        <f t="shared" si="1"/>
        <v>4</v>
      </c>
      <c r="D111" s="10">
        <v>183.0</v>
      </c>
      <c r="E111" s="10" t="s">
        <v>9</v>
      </c>
      <c r="F111" s="10" t="s">
        <v>10</v>
      </c>
      <c r="G111" s="10" t="s">
        <v>10</v>
      </c>
      <c r="H111" s="5">
        <v>0.035625</v>
      </c>
      <c r="I111" s="15" t="s">
        <v>181</v>
      </c>
      <c r="J111" s="17" t="s">
        <v>105</v>
      </c>
    </row>
    <row r="112">
      <c r="A112" s="10">
        <v>75.0</v>
      </c>
      <c r="B112" s="10">
        <v>300.0</v>
      </c>
      <c r="C112" s="10">
        <f t="shared" si="1"/>
        <v>4</v>
      </c>
      <c r="D112" s="10">
        <v>183.0</v>
      </c>
      <c r="E112" s="10" t="s">
        <v>19</v>
      </c>
      <c r="F112" s="10" t="s">
        <v>10</v>
      </c>
      <c r="G112" s="10" t="s">
        <v>17</v>
      </c>
      <c r="H112" s="11">
        <v>0.03571759259259259</v>
      </c>
      <c r="I112" s="12" t="s">
        <v>182</v>
      </c>
      <c r="J112" s="2"/>
    </row>
    <row r="113">
      <c r="A113" s="10">
        <v>75.0</v>
      </c>
      <c r="B113" s="10">
        <v>300.0</v>
      </c>
      <c r="C113" s="10">
        <f t="shared" si="1"/>
        <v>4</v>
      </c>
      <c r="D113" s="10">
        <v>183.0</v>
      </c>
      <c r="E113" s="10" t="s">
        <v>183</v>
      </c>
      <c r="F113" s="10" t="s">
        <v>10</v>
      </c>
      <c r="G113" s="10" t="s">
        <v>17</v>
      </c>
      <c r="H113" s="11">
        <v>0.035729166666666666</v>
      </c>
      <c r="I113" s="12" t="s">
        <v>184</v>
      </c>
      <c r="J113" s="2"/>
    </row>
    <row r="114">
      <c r="A114" s="10">
        <v>75.0</v>
      </c>
      <c r="B114" s="10">
        <v>300.0</v>
      </c>
      <c r="C114" s="10">
        <f t="shared" si="1"/>
        <v>4</v>
      </c>
      <c r="D114" s="10">
        <v>183.0</v>
      </c>
      <c r="E114" s="10" t="s">
        <v>96</v>
      </c>
      <c r="F114" s="10" t="s">
        <v>10</v>
      </c>
      <c r="G114" s="10" t="s">
        <v>17</v>
      </c>
      <c r="H114" s="11">
        <v>0.035729166666666666</v>
      </c>
      <c r="I114" s="12" t="s">
        <v>185</v>
      </c>
      <c r="J114" s="2"/>
    </row>
    <row r="115">
      <c r="A115" s="10">
        <v>75.0</v>
      </c>
      <c r="B115" s="10">
        <v>300.0</v>
      </c>
      <c r="C115" s="10">
        <f t="shared" si="1"/>
        <v>4</v>
      </c>
      <c r="D115" s="10">
        <v>183.0</v>
      </c>
      <c r="E115" s="10" t="s">
        <v>186</v>
      </c>
      <c r="F115" s="10" t="s">
        <v>10</v>
      </c>
      <c r="G115" s="10" t="s">
        <v>17</v>
      </c>
      <c r="H115" s="11">
        <v>0.03574074074074074</v>
      </c>
      <c r="I115" s="12" t="s">
        <v>187</v>
      </c>
      <c r="J115" s="2"/>
    </row>
    <row r="116">
      <c r="A116" s="10">
        <v>75.0</v>
      </c>
      <c r="B116" s="10">
        <v>300.0</v>
      </c>
      <c r="C116" s="10">
        <f t="shared" si="1"/>
        <v>4</v>
      </c>
      <c r="D116" s="10">
        <v>183.0</v>
      </c>
      <c r="E116" s="10" t="s">
        <v>19</v>
      </c>
      <c r="F116" s="10" t="s">
        <v>10</v>
      </c>
      <c r="G116" s="10" t="s">
        <v>188</v>
      </c>
      <c r="H116" s="11">
        <v>0.03564814814814815</v>
      </c>
      <c r="I116" s="12" t="s">
        <v>189</v>
      </c>
      <c r="J116" s="2"/>
    </row>
    <row r="117">
      <c r="A117" s="10">
        <v>75.0</v>
      </c>
      <c r="B117" s="10">
        <v>300.0</v>
      </c>
      <c r="C117" s="10">
        <f t="shared" si="1"/>
        <v>4</v>
      </c>
      <c r="D117" s="10">
        <v>183.0</v>
      </c>
      <c r="E117" s="10" t="s">
        <v>190</v>
      </c>
      <c r="F117" s="10" t="s">
        <v>10</v>
      </c>
      <c r="G117" s="10" t="s">
        <v>17</v>
      </c>
      <c r="H117" s="11">
        <v>0.03574074074074074</v>
      </c>
      <c r="I117" s="12" t="s">
        <v>191</v>
      </c>
      <c r="J117" s="2"/>
    </row>
    <row r="118">
      <c r="A118" s="10">
        <v>75.0</v>
      </c>
      <c r="B118" s="10">
        <v>300.0</v>
      </c>
      <c r="C118" s="10">
        <f t="shared" si="1"/>
        <v>4</v>
      </c>
      <c r="D118" s="10">
        <v>183.0</v>
      </c>
      <c r="E118" s="10" t="s">
        <v>192</v>
      </c>
      <c r="F118" s="10" t="s">
        <v>10</v>
      </c>
      <c r="G118" s="10" t="s">
        <v>17</v>
      </c>
      <c r="H118" s="11">
        <v>0.03576388888888889</v>
      </c>
      <c r="I118" s="12" t="s">
        <v>193</v>
      </c>
      <c r="J118" s="2"/>
    </row>
    <row r="119">
      <c r="A119" s="10">
        <v>75.0</v>
      </c>
      <c r="B119" s="10">
        <v>300.0</v>
      </c>
      <c r="C119" s="10">
        <f t="shared" si="1"/>
        <v>4</v>
      </c>
      <c r="D119" s="10">
        <v>183.0</v>
      </c>
      <c r="E119" s="10" t="s">
        <v>90</v>
      </c>
      <c r="F119" s="10" t="s">
        <v>10</v>
      </c>
      <c r="G119" s="10" t="s">
        <v>17</v>
      </c>
      <c r="H119" s="11">
        <v>0.03576388888888889</v>
      </c>
      <c r="I119" s="12" t="s">
        <v>194</v>
      </c>
      <c r="J119" s="2"/>
    </row>
    <row r="120">
      <c r="A120" s="10">
        <v>75.0</v>
      </c>
      <c r="B120" s="10">
        <v>300.0</v>
      </c>
      <c r="C120" s="10">
        <f t="shared" si="1"/>
        <v>4</v>
      </c>
      <c r="D120" s="10">
        <v>183.0</v>
      </c>
      <c r="E120" s="10" t="s">
        <v>19</v>
      </c>
      <c r="F120" s="10" t="s">
        <v>10</v>
      </c>
      <c r="G120" s="10" t="s">
        <v>195</v>
      </c>
      <c r="H120" s="11">
        <v>0.03570601851851852</v>
      </c>
      <c r="I120" s="12" t="s">
        <v>196</v>
      </c>
      <c r="J120" s="2"/>
    </row>
    <row r="121">
      <c r="A121" s="10">
        <v>75.0</v>
      </c>
      <c r="B121" s="10">
        <v>300.0</v>
      </c>
      <c r="C121" s="10">
        <f t="shared" si="1"/>
        <v>4</v>
      </c>
      <c r="D121" s="10">
        <v>183.0</v>
      </c>
      <c r="E121" s="10" t="s">
        <v>197</v>
      </c>
      <c r="F121" s="10" t="s">
        <v>10</v>
      </c>
      <c r="G121" s="10" t="s">
        <v>17</v>
      </c>
      <c r="H121" s="11">
        <v>0.03577546296296296</v>
      </c>
      <c r="I121" s="12" t="s">
        <v>198</v>
      </c>
      <c r="J121" s="2"/>
    </row>
    <row r="122">
      <c r="A122" s="10">
        <v>75.0</v>
      </c>
      <c r="B122" s="10">
        <v>300.0</v>
      </c>
      <c r="C122" s="10">
        <f t="shared" si="1"/>
        <v>4</v>
      </c>
      <c r="D122" s="10">
        <v>183.0</v>
      </c>
      <c r="E122" s="10" t="s">
        <v>199</v>
      </c>
      <c r="F122" s="10" t="s">
        <v>10</v>
      </c>
      <c r="G122" s="10" t="s">
        <v>17</v>
      </c>
      <c r="H122" s="11">
        <v>0.03577546296296296</v>
      </c>
      <c r="I122" s="12" t="s">
        <v>200</v>
      </c>
      <c r="J122" s="2"/>
    </row>
    <row r="123">
      <c r="A123" s="10">
        <v>75.0</v>
      </c>
      <c r="B123" s="10">
        <v>300.0</v>
      </c>
      <c r="C123" s="10">
        <f t="shared" si="1"/>
        <v>4</v>
      </c>
      <c r="D123" s="10">
        <v>183.0</v>
      </c>
      <c r="E123" s="10" t="s">
        <v>201</v>
      </c>
      <c r="F123" s="10" t="s">
        <v>10</v>
      </c>
      <c r="G123" s="10" t="s">
        <v>17</v>
      </c>
      <c r="H123" s="11">
        <v>0.03577546296296296</v>
      </c>
      <c r="I123" s="12" t="s">
        <v>202</v>
      </c>
      <c r="J123" s="2"/>
    </row>
    <row r="124">
      <c r="A124" s="10">
        <v>75.0</v>
      </c>
      <c r="B124" s="10">
        <v>300.0</v>
      </c>
      <c r="C124" s="10">
        <f t="shared" si="1"/>
        <v>4</v>
      </c>
      <c r="D124" s="10">
        <v>183.0</v>
      </c>
      <c r="E124" s="10" t="s">
        <v>203</v>
      </c>
      <c r="F124" s="10" t="s">
        <v>10</v>
      </c>
      <c r="G124" s="10" t="s">
        <v>17</v>
      </c>
      <c r="H124" s="11">
        <v>0.035787037037037034</v>
      </c>
      <c r="I124" s="12" t="s">
        <v>204</v>
      </c>
      <c r="J124" s="2"/>
    </row>
    <row r="125">
      <c r="A125" s="10">
        <v>75.0</v>
      </c>
      <c r="B125" s="10">
        <v>300.0</v>
      </c>
      <c r="C125" s="10">
        <f t="shared" si="1"/>
        <v>4</v>
      </c>
      <c r="D125" s="10">
        <v>183.0</v>
      </c>
      <c r="E125" s="10" t="s">
        <v>205</v>
      </c>
      <c r="F125" s="10" t="s">
        <v>10</v>
      </c>
      <c r="G125" s="10" t="s">
        <v>17</v>
      </c>
      <c r="H125" s="11">
        <v>0.035787037037037034</v>
      </c>
      <c r="I125" s="12" t="s">
        <v>206</v>
      </c>
      <c r="J125" s="2"/>
    </row>
    <row r="126">
      <c r="A126" s="10">
        <v>75.0</v>
      </c>
      <c r="B126" s="10">
        <v>300.0</v>
      </c>
      <c r="C126" s="10">
        <f t="shared" si="1"/>
        <v>4</v>
      </c>
      <c r="D126" s="10">
        <v>183.0</v>
      </c>
      <c r="E126" s="10" t="s">
        <v>207</v>
      </c>
      <c r="F126" s="10" t="s">
        <v>10</v>
      </c>
      <c r="G126" s="10" t="s">
        <v>17</v>
      </c>
      <c r="H126" s="11">
        <v>0.035798611111111114</v>
      </c>
      <c r="I126" s="12" t="s">
        <v>208</v>
      </c>
      <c r="J126" s="2"/>
    </row>
    <row r="127">
      <c r="A127" s="10">
        <v>75.0</v>
      </c>
      <c r="B127" s="10">
        <v>300.0</v>
      </c>
      <c r="C127" s="10">
        <f t="shared" si="1"/>
        <v>4</v>
      </c>
      <c r="D127" s="10">
        <v>183.0</v>
      </c>
      <c r="E127" s="10" t="s">
        <v>209</v>
      </c>
      <c r="F127" s="10" t="s">
        <v>10</v>
      </c>
      <c r="G127" s="10" t="s">
        <v>17</v>
      </c>
      <c r="H127" s="11">
        <v>0.035798611111111114</v>
      </c>
      <c r="I127" s="12" t="s">
        <v>210</v>
      </c>
      <c r="J127" s="2"/>
    </row>
    <row r="128">
      <c r="A128" s="10">
        <v>75.0</v>
      </c>
      <c r="B128" s="10">
        <v>300.0</v>
      </c>
      <c r="C128" s="10">
        <f t="shared" si="1"/>
        <v>4</v>
      </c>
      <c r="D128" s="10">
        <v>183.0</v>
      </c>
      <c r="E128" s="10" t="s">
        <v>211</v>
      </c>
      <c r="F128" s="10" t="s">
        <v>10</v>
      </c>
      <c r="G128" s="10" t="s">
        <v>17</v>
      </c>
      <c r="H128" s="11">
        <v>0.035798611111111114</v>
      </c>
      <c r="I128" s="12" t="s">
        <v>212</v>
      </c>
      <c r="J128" s="2"/>
    </row>
    <row r="129">
      <c r="A129" s="10">
        <v>75.0</v>
      </c>
      <c r="B129" s="10">
        <v>300.0</v>
      </c>
      <c r="C129" s="10">
        <f t="shared" si="1"/>
        <v>4</v>
      </c>
      <c r="D129" s="10">
        <v>183.0</v>
      </c>
      <c r="E129" s="10" t="s">
        <v>19</v>
      </c>
      <c r="F129" s="10" t="s">
        <v>10</v>
      </c>
      <c r="G129" s="10" t="s">
        <v>213</v>
      </c>
      <c r="H129" s="11">
        <v>0.03570601851851852</v>
      </c>
      <c r="I129" s="12" t="s">
        <v>214</v>
      </c>
      <c r="J129" s="2"/>
    </row>
    <row r="130">
      <c r="A130" s="10">
        <v>75.0</v>
      </c>
      <c r="B130" s="10">
        <v>300.0</v>
      </c>
      <c r="C130" s="10">
        <f t="shared" si="1"/>
        <v>4</v>
      </c>
      <c r="D130" s="10">
        <v>183.0</v>
      </c>
      <c r="E130" s="10" t="s">
        <v>215</v>
      </c>
      <c r="F130" s="10" t="s">
        <v>10</v>
      </c>
      <c r="G130" s="10" t="s">
        <v>17</v>
      </c>
      <c r="H130" s="11">
        <v>0.035798611111111114</v>
      </c>
      <c r="I130" s="12" t="s">
        <v>216</v>
      </c>
      <c r="J130" s="2"/>
    </row>
    <row r="131">
      <c r="A131" s="10">
        <v>75.0</v>
      </c>
      <c r="B131" s="10">
        <v>300.0</v>
      </c>
      <c r="C131" s="10">
        <f t="shared" si="1"/>
        <v>4</v>
      </c>
      <c r="D131" s="10">
        <v>183.0</v>
      </c>
      <c r="E131" s="10" t="s">
        <v>217</v>
      </c>
      <c r="F131" s="10" t="s">
        <v>10</v>
      </c>
      <c r="G131" s="10" t="s">
        <v>17</v>
      </c>
      <c r="H131" s="11">
        <v>0.035798611111111114</v>
      </c>
      <c r="I131" s="12" t="s">
        <v>218</v>
      </c>
      <c r="J131" s="2"/>
    </row>
    <row r="132">
      <c r="A132" s="10">
        <v>75.0</v>
      </c>
      <c r="B132" s="10">
        <v>300.0</v>
      </c>
      <c r="C132" s="10">
        <f t="shared" si="1"/>
        <v>4</v>
      </c>
      <c r="D132" s="10">
        <v>183.0</v>
      </c>
      <c r="E132" s="10" t="s">
        <v>219</v>
      </c>
      <c r="F132" s="10" t="s">
        <v>10</v>
      </c>
      <c r="G132" s="10" t="s">
        <v>17</v>
      </c>
      <c r="H132" s="11">
        <v>0.035798611111111114</v>
      </c>
      <c r="I132" s="12" t="s">
        <v>220</v>
      </c>
      <c r="J132" s="2"/>
    </row>
    <row r="133">
      <c r="A133" s="10">
        <v>75.0</v>
      </c>
      <c r="B133" s="10">
        <v>300.0</v>
      </c>
      <c r="C133" s="10">
        <f t="shared" si="1"/>
        <v>4</v>
      </c>
      <c r="D133" s="10">
        <v>183.0</v>
      </c>
      <c r="E133" s="10" t="s">
        <v>221</v>
      </c>
      <c r="F133" s="10" t="s">
        <v>10</v>
      </c>
      <c r="G133" s="10" t="s">
        <v>17</v>
      </c>
      <c r="H133" s="11">
        <v>0.035798611111111114</v>
      </c>
      <c r="I133" s="12" t="s">
        <v>222</v>
      </c>
      <c r="J133" s="2"/>
    </row>
    <row r="134">
      <c r="A134" s="10">
        <v>75.0</v>
      </c>
      <c r="B134" s="10">
        <v>300.0</v>
      </c>
      <c r="C134" s="10">
        <f t="shared" si="1"/>
        <v>4</v>
      </c>
      <c r="D134" s="10">
        <v>183.0</v>
      </c>
      <c r="E134" s="10" t="s">
        <v>94</v>
      </c>
      <c r="F134" s="10" t="s">
        <v>10</v>
      </c>
      <c r="G134" s="10" t="s">
        <v>17</v>
      </c>
      <c r="H134" s="11">
        <v>0.035798611111111114</v>
      </c>
      <c r="I134" s="12" t="s">
        <v>223</v>
      </c>
      <c r="J134" s="17" t="s">
        <v>224</v>
      </c>
    </row>
    <row r="135">
      <c r="A135" s="10">
        <v>75.0</v>
      </c>
      <c r="B135" s="10">
        <v>300.0</v>
      </c>
      <c r="C135" s="10">
        <f t="shared" si="1"/>
        <v>4</v>
      </c>
      <c r="D135" s="10">
        <v>183.0</v>
      </c>
      <c r="E135" s="10" t="s">
        <v>225</v>
      </c>
      <c r="F135" s="10" t="s">
        <v>10</v>
      </c>
      <c r="G135" s="10" t="s">
        <v>17</v>
      </c>
      <c r="H135" s="11">
        <v>0.035798611111111114</v>
      </c>
      <c r="I135" s="12" t="s">
        <v>226</v>
      </c>
      <c r="J135" s="2"/>
    </row>
    <row r="136">
      <c r="A136" s="10">
        <v>75.0</v>
      </c>
      <c r="B136" s="10">
        <v>300.0</v>
      </c>
      <c r="C136" s="10">
        <f t="shared" si="1"/>
        <v>4</v>
      </c>
      <c r="D136" s="10">
        <v>183.0</v>
      </c>
      <c r="E136" s="10" t="s">
        <v>227</v>
      </c>
      <c r="F136" s="10" t="s">
        <v>10</v>
      </c>
      <c r="G136" s="10" t="s">
        <v>17</v>
      </c>
      <c r="H136" s="11">
        <v>0.035798611111111114</v>
      </c>
      <c r="I136" s="12" t="s">
        <v>228</v>
      </c>
      <c r="J136" s="2"/>
    </row>
    <row r="137">
      <c r="A137" s="10">
        <v>75.0</v>
      </c>
      <c r="B137" s="10">
        <v>300.0</v>
      </c>
      <c r="C137" s="10">
        <f t="shared" si="1"/>
        <v>4</v>
      </c>
      <c r="D137" s="10">
        <v>183.0</v>
      </c>
      <c r="E137" s="10" t="s">
        <v>229</v>
      </c>
      <c r="F137" s="10" t="s">
        <v>10</v>
      </c>
      <c r="G137" s="10" t="s">
        <v>17</v>
      </c>
      <c r="H137" s="11">
        <v>0.035798611111111114</v>
      </c>
      <c r="I137" s="12" t="s">
        <v>230</v>
      </c>
      <c r="J137" s="2"/>
    </row>
    <row r="138">
      <c r="A138" s="10">
        <v>75.0</v>
      </c>
      <c r="B138" s="10">
        <v>300.0</v>
      </c>
      <c r="C138" s="10">
        <f t="shared" si="1"/>
        <v>4</v>
      </c>
      <c r="D138" s="10">
        <v>183.0</v>
      </c>
      <c r="E138" s="10" t="s">
        <v>231</v>
      </c>
      <c r="F138" s="10" t="s">
        <v>10</v>
      </c>
      <c r="G138" s="10" t="s">
        <v>17</v>
      </c>
      <c r="H138" s="11">
        <v>0.03581018518518519</v>
      </c>
      <c r="I138" s="12" t="s">
        <v>232</v>
      </c>
      <c r="J138" s="2"/>
    </row>
    <row r="139">
      <c r="A139" s="10">
        <v>75.0</v>
      </c>
      <c r="B139" s="10">
        <v>300.0</v>
      </c>
      <c r="C139" s="10">
        <f t="shared" si="1"/>
        <v>4</v>
      </c>
      <c r="D139" s="10">
        <v>183.0</v>
      </c>
      <c r="E139" s="10" t="s">
        <v>233</v>
      </c>
      <c r="F139" s="10" t="s">
        <v>10</v>
      </c>
      <c r="G139" s="10" t="s">
        <v>17</v>
      </c>
      <c r="H139" s="11">
        <v>0.03581018518518519</v>
      </c>
      <c r="I139" s="12" t="s">
        <v>234</v>
      </c>
      <c r="J139" s="2"/>
    </row>
    <row r="140">
      <c r="A140" s="10">
        <v>75.0</v>
      </c>
      <c r="B140" s="10">
        <v>300.0</v>
      </c>
      <c r="C140" s="10">
        <f t="shared" si="1"/>
        <v>4</v>
      </c>
      <c r="D140" s="10">
        <v>183.0</v>
      </c>
      <c r="E140" s="10" t="s">
        <v>235</v>
      </c>
      <c r="F140" s="10" t="s">
        <v>10</v>
      </c>
      <c r="G140" s="10" t="s">
        <v>17</v>
      </c>
      <c r="H140" s="11">
        <v>0.03581018518518519</v>
      </c>
      <c r="I140" s="12" t="s">
        <v>236</v>
      </c>
      <c r="J140" s="2"/>
    </row>
    <row r="141">
      <c r="A141" s="10">
        <v>75.0</v>
      </c>
      <c r="B141" s="10">
        <v>300.0</v>
      </c>
      <c r="C141" s="10">
        <f t="shared" si="1"/>
        <v>4</v>
      </c>
      <c r="D141" s="10">
        <v>183.0</v>
      </c>
      <c r="E141" s="10" t="s">
        <v>237</v>
      </c>
      <c r="F141" s="10" t="s">
        <v>10</v>
      </c>
      <c r="G141" s="10" t="s">
        <v>17</v>
      </c>
      <c r="H141" s="11">
        <v>0.03581018518518519</v>
      </c>
      <c r="I141" s="12" t="s">
        <v>238</v>
      </c>
      <c r="J141" s="2"/>
    </row>
    <row r="142">
      <c r="A142" s="10">
        <v>75.0</v>
      </c>
      <c r="B142" s="10">
        <v>300.0</v>
      </c>
      <c r="C142" s="10">
        <f t="shared" si="1"/>
        <v>4</v>
      </c>
      <c r="D142" s="10">
        <v>183.0</v>
      </c>
      <c r="E142" s="10" t="s">
        <v>239</v>
      </c>
      <c r="F142" s="10" t="s">
        <v>10</v>
      </c>
      <c r="G142" s="10" t="s">
        <v>17</v>
      </c>
      <c r="H142" s="11">
        <v>0.03581018518518519</v>
      </c>
      <c r="I142" s="12" t="s">
        <v>240</v>
      </c>
      <c r="J142" s="2"/>
    </row>
    <row r="143">
      <c r="A143" s="10">
        <v>75.0</v>
      </c>
      <c r="B143" s="10">
        <v>300.0</v>
      </c>
      <c r="C143" s="10">
        <f t="shared" si="1"/>
        <v>4</v>
      </c>
      <c r="D143" s="10">
        <v>183.0</v>
      </c>
      <c r="E143" s="10" t="s">
        <v>241</v>
      </c>
      <c r="F143" s="10" t="s">
        <v>10</v>
      </c>
      <c r="G143" s="10" t="s">
        <v>17</v>
      </c>
      <c r="H143" s="11">
        <v>0.03581018518518519</v>
      </c>
      <c r="I143" s="12" t="s">
        <v>242</v>
      </c>
      <c r="J143" s="2"/>
    </row>
    <row r="144">
      <c r="A144" s="10">
        <v>75.0</v>
      </c>
      <c r="B144" s="10">
        <v>300.0</v>
      </c>
      <c r="C144" s="10">
        <f t="shared" si="1"/>
        <v>4</v>
      </c>
      <c r="D144" s="10">
        <v>183.0</v>
      </c>
      <c r="E144" s="10" t="s">
        <v>243</v>
      </c>
      <c r="F144" s="10" t="s">
        <v>10</v>
      </c>
      <c r="G144" s="10" t="s">
        <v>17</v>
      </c>
      <c r="H144" s="11">
        <v>0.03581018518518519</v>
      </c>
      <c r="I144" s="12" t="s">
        <v>244</v>
      </c>
      <c r="J144" s="2"/>
    </row>
    <row r="145">
      <c r="A145" s="10">
        <v>75.0</v>
      </c>
      <c r="B145" s="10">
        <v>300.0</v>
      </c>
      <c r="C145" s="10">
        <f t="shared" si="1"/>
        <v>4</v>
      </c>
      <c r="D145" s="10">
        <v>183.0</v>
      </c>
      <c r="E145" s="10" t="s">
        <v>245</v>
      </c>
      <c r="F145" s="10" t="s">
        <v>10</v>
      </c>
      <c r="G145" s="10" t="s">
        <v>17</v>
      </c>
      <c r="H145" s="11">
        <v>0.03581018518518519</v>
      </c>
      <c r="I145" s="12" t="s">
        <v>246</v>
      </c>
      <c r="J145" s="2"/>
    </row>
    <row r="146">
      <c r="A146" s="10">
        <v>75.0</v>
      </c>
      <c r="B146" s="10">
        <v>300.0</v>
      </c>
      <c r="C146" s="10">
        <f t="shared" si="1"/>
        <v>4</v>
      </c>
      <c r="D146" s="10">
        <v>183.0</v>
      </c>
      <c r="E146" s="10" t="s">
        <v>247</v>
      </c>
      <c r="F146" s="10" t="s">
        <v>10</v>
      </c>
      <c r="G146" s="10" t="s">
        <v>17</v>
      </c>
      <c r="H146" s="11">
        <v>0.03581018518518519</v>
      </c>
      <c r="I146" s="12" t="s">
        <v>248</v>
      </c>
      <c r="J146" s="2"/>
    </row>
    <row r="147">
      <c r="A147" s="10">
        <v>75.0</v>
      </c>
      <c r="B147" s="10">
        <v>300.0</v>
      </c>
      <c r="C147" s="10">
        <f t="shared" si="1"/>
        <v>4</v>
      </c>
      <c r="D147" s="10">
        <v>183.0</v>
      </c>
      <c r="E147" s="10" t="s">
        <v>249</v>
      </c>
      <c r="F147" s="10" t="s">
        <v>10</v>
      </c>
      <c r="G147" s="10" t="s">
        <v>17</v>
      </c>
      <c r="H147" s="11">
        <v>0.03582175925925926</v>
      </c>
      <c r="I147" s="12" t="s">
        <v>250</v>
      </c>
      <c r="J147" s="2"/>
    </row>
    <row r="148">
      <c r="A148" s="10">
        <v>75.0</v>
      </c>
      <c r="B148" s="10">
        <v>300.0</v>
      </c>
      <c r="C148" s="10">
        <f t="shared" si="1"/>
        <v>4</v>
      </c>
      <c r="D148" s="10">
        <v>183.0</v>
      </c>
      <c r="E148" s="10" t="s">
        <v>251</v>
      </c>
      <c r="F148" s="10" t="s">
        <v>10</v>
      </c>
      <c r="G148" s="10" t="s">
        <v>17</v>
      </c>
      <c r="H148" s="11">
        <v>0.03582175925925926</v>
      </c>
      <c r="I148" s="12" t="s">
        <v>252</v>
      </c>
      <c r="J148" s="2"/>
    </row>
    <row r="149">
      <c r="A149" s="10">
        <v>75.0</v>
      </c>
      <c r="B149" s="10">
        <v>300.0</v>
      </c>
      <c r="C149" s="10">
        <f t="shared" si="1"/>
        <v>4</v>
      </c>
      <c r="D149" s="10">
        <v>183.0</v>
      </c>
      <c r="E149" s="10" t="s">
        <v>19</v>
      </c>
      <c r="F149" s="10" t="s">
        <v>10</v>
      </c>
      <c r="G149" s="10" t="s">
        <v>253</v>
      </c>
      <c r="H149" s="11">
        <v>0.03570601851851852</v>
      </c>
      <c r="I149" s="12" t="s">
        <v>254</v>
      </c>
      <c r="J149" s="2"/>
    </row>
    <row r="150" hidden="1">
      <c r="A150" s="10">
        <v>50.0</v>
      </c>
      <c r="B150" s="10">
        <v>200.0</v>
      </c>
      <c r="C150" s="10">
        <f t="shared" si="1"/>
        <v>4</v>
      </c>
      <c r="D150" s="10">
        <v>183.0</v>
      </c>
      <c r="E150" s="10" t="s">
        <v>19</v>
      </c>
      <c r="F150" s="10" t="s">
        <v>10</v>
      </c>
      <c r="G150" s="10" t="s">
        <v>17</v>
      </c>
      <c r="H150" s="11">
        <v>0.03844907407407407</v>
      </c>
      <c r="I150" s="12" t="s">
        <v>255</v>
      </c>
      <c r="J150" s="2"/>
    </row>
    <row r="151">
      <c r="A151" s="10">
        <v>75.0</v>
      </c>
      <c r="B151" s="10">
        <v>300.0</v>
      </c>
      <c r="C151" s="10">
        <f t="shared" si="1"/>
        <v>4</v>
      </c>
      <c r="D151" s="10">
        <v>183.0</v>
      </c>
      <c r="E151" s="10" t="s">
        <v>256</v>
      </c>
      <c r="F151" s="10" t="s">
        <v>10</v>
      </c>
      <c r="G151" s="10" t="s">
        <v>17</v>
      </c>
      <c r="H151" s="11">
        <v>0.03582175925925926</v>
      </c>
      <c r="I151" s="12" t="s">
        <v>257</v>
      </c>
      <c r="J151" s="2"/>
    </row>
    <row r="152">
      <c r="A152" s="10">
        <v>75.0</v>
      </c>
      <c r="B152" s="10">
        <v>300.0</v>
      </c>
      <c r="C152" s="10">
        <f t="shared" si="1"/>
        <v>4</v>
      </c>
      <c r="D152" s="10">
        <v>183.0</v>
      </c>
      <c r="E152" s="10" t="s">
        <v>258</v>
      </c>
      <c r="F152" s="10" t="s">
        <v>10</v>
      </c>
      <c r="G152" s="10" t="s">
        <v>17</v>
      </c>
      <c r="H152" s="11">
        <v>0.03582175925925926</v>
      </c>
      <c r="I152" s="12" t="s">
        <v>259</v>
      </c>
      <c r="J152" s="2"/>
    </row>
    <row r="153">
      <c r="A153" s="3">
        <v>75.0</v>
      </c>
      <c r="B153" s="3">
        <v>300.0</v>
      </c>
      <c r="C153" s="3">
        <f t="shared" si="1"/>
        <v>4</v>
      </c>
      <c r="D153" s="3">
        <v>183.0</v>
      </c>
      <c r="E153" s="4" t="s">
        <v>260</v>
      </c>
      <c r="F153" s="4" t="s">
        <v>10</v>
      </c>
      <c r="G153" s="4" t="s">
        <v>260</v>
      </c>
      <c r="H153" s="5">
        <v>0.03584490740740741</v>
      </c>
      <c r="I153" s="9" t="s">
        <v>261</v>
      </c>
      <c r="J153" s="7"/>
      <c r="K153" s="8"/>
      <c r="L153" s="8" t="s">
        <v>262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A154" s="10">
        <v>75.0</v>
      </c>
      <c r="B154" s="10">
        <v>300.0</v>
      </c>
      <c r="C154" s="10">
        <f t="shared" si="1"/>
        <v>4</v>
      </c>
      <c r="D154" s="10">
        <v>183.0</v>
      </c>
      <c r="E154" s="10" t="s">
        <v>253</v>
      </c>
      <c r="F154" s="10" t="s">
        <v>10</v>
      </c>
      <c r="G154" s="10" t="s">
        <v>253</v>
      </c>
      <c r="H154" s="11">
        <v>0.03584490740740741</v>
      </c>
      <c r="I154" s="23" t="s">
        <v>263</v>
      </c>
      <c r="J154" s="24"/>
    </row>
    <row r="155">
      <c r="A155" s="10">
        <v>75.0</v>
      </c>
      <c r="B155" s="10">
        <v>300.0</v>
      </c>
      <c r="C155" s="10">
        <f t="shared" si="1"/>
        <v>4</v>
      </c>
      <c r="D155" s="10">
        <v>183.0</v>
      </c>
      <c r="E155" s="10" t="s">
        <v>264</v>
      </c>
      <c r="F155" s="10" t="s">
        <v>10</v>
      </c>
      <c r="G155" s="10" t="s">
        <v>17</v>
      </c>
      <c r="H155" s="11">
        <v>0.03582175925925926</v>
      </c>
      <c r="I155" s="23" t="s">
        <v>265</v>
      </c>
      <c r="J155" s="24"/>
    </row>
    <row r="156">
      <c r="A156" s="10">
        <v>75.0</v>
      </c>
      <c r="B156" s="10">
        <v>300.0</v>
      </c>
      <c r="C156" s="10">
        <f t="shared" si="1"/>
        <v>4</v>
      </c>
      <c r="D156" s="10">
        <v>183.0</v>
      </c>
      <c r="E156" s="10" t="s">
        <v>266</v>
      </c>
      <c r="F156" s="10" t="s">
        <v>267</v>
      </c>
      <c r="G156" s="10" t="s">
        <v>268</v>
      </c>
      <c r="H156" s="11">
        <v>0.037349537037037035</v>
      </c>
      <c r="I156" s="23" t="s">
        <v>269</v>
      </c>
      <c r="J156" s="24"/>
    </row>
    <row r="157">
      <c r="A157" s="10">
        <v>75.0</v>
      </c>
      <c r="B157" s="10">
        <v>300.0</v>
      </c>
      <c r="C157" s="10">
        <f t="shared" si="1"/>
        <v>4</v>
      </c>
      <c r="D157" s="10">
        <v>183.0</v>
      </c>
      <c r="E157" s="10" t="s">
        <v>270</v>
      </c>
      <c r="F157" s="10" t="s">
        <v>267</v>
      </c>
      <c r="G157" s="10" t="s">
        <v>268</v>
      </c>
      <c r="H157" s="11">
        <v>0.03737268518518518</v>
      </c>
      <c r="I157" s="12" t="s">
        <v>271</v>
      </c>
      <c r="J157" s="2"/>
    </row>
    <row r="158">
      <c r="A158" s="10">
        <v>75.0</v>
      </c>
      <c r="B158" s="10">
        <v>300.0</v>
      </c>
      <c r="C158" s="10">
        <f t="shared" si="1"/>
        <v>4</v>
      </c>
      <c r="D158" s="10">
        <v>183.0</v>
      </c>
      <c r="E158" s="10" t="s">
        <v>272</v>
      </c>
      <c r="F158" s="10" t="s">
        <v>267</v>
      </c>
      <c r="G158" s="10" t="s">
        <v>268</v>
      </c>
      <c r="H158" s="11">
        <v>0.037418981481481484</v>
      </c>
      <c r="I158" s="12" t="s">
        <v>273</v>
      </c>
      <c r="J158" s="2"/>
    </row>
    <row r="159">
      <c r="A159" s="3">
        <v>75.0</v>
      </c>
      <c r="B159" s="3">
        <v>300.0</v>
      </c>
      <c r="C159" s="3">
        <f t="shared" si="1"/>
        <v>4</v>
      </c>
      <c r="D159" s="3">
        <v>183.0</v>
      </c>
      <c r="E159" s="4" t="s">
        <v>274</v>
      </c>
      <c r="F159" s="4" t="s">
        <v>267</v>
      </c>
      <c r="G159" s="4" t="s">
        <v>268</v>
      </c>
      <c r="H159" s="5">
        <v>0.037418981481481484</v>
      </c>
      <c r="I159" s="25" t="s">
        <v>275</v>
      </c>
      <c r="J159" s="2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idden="1">
      <c r="A160" s="3">
        <v>75.0</v>
      </c>
      <c r="B160" s="4">
        <v>225.0</v>
      </c>
      <c r="C160" s="3">
        <f t="shared" si="1"/>
        <v>3</v>
      </c>
      <c r="D160" s="3">
        <v>183.0</v>
      </c>
      <c r="E160" s="4" t="s">
        <v>9</v>
      </c>
      <c r="F160" s="4" t="s">
        <v>10</v>
      </c>
      <c r="G160" s="4" t="s">
        <v>11</v>
      </c>
      <c r="H160" s="5">
        <v>0.03890046296296296</v>
      </c>
      <c r="I160" s="25" t="s">
        <v>12</v>
      </c>
      <c r="J160" s="2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idden="1">
      <c r="A161" s="3">
        <v>75.0</v>
      </c>
      <c r="B161" s="4">
        <v>225.0</v>
      </c>
      <c r="C161" s="3">
        <f t="shared" si="1"/>
        <v>3</v>
      </c>
      <c r="D161" s="3">
        <v>183.0</v>
      </c>
      <c r="E161" s="4" t="s">
        <v>13</v>
      </c>
      <c r="F161" s="4" t="s">
        <v>10</v>
      </c>
      <c r="G161" s="4" t="s">
        <v>14</v>
      </c>
      <c r="H161" s="5">
        <v>0.039189814814814816</v>
      </c>
      <c r="I161" s="25" t="s">
        <v>15</v>
      </c>
      <c r="J161" s="2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idden="1">
      <c r="A162" s="10">
        <v>75.0</v>
      </c>
      <c r="B162" s="10">
        <v>225.0</v>
      </c>
      <c r="C162" s="10">
        <f t="shared" si="1"/>
        <v>3</v>
      </c>
      <c r="D162" s="10">
        <v>183.0</v>
      </c>
      <c r="E162" s="10" t="s">
        <v>19</v>
      </c>
      <c r="F162" s="10" t="s">
        <v>10</v>
      </c>
      <c r="G162" s="10" t="s">
        <v>17</v>
      </c>
      <c r="H162" s="11">
        <v>0.039699074074074074</v>
      </c>
      <c r="I162" s="23" t="s">
        <v>276</v>
      </c>
      <c r="J162" s="24"/>
    </row>
    <row r="163" hidden="1">
      <c r="A163" s="3">
        <v>75.0</v>
      </c>
      <c r="B163" s="4">
        <v>225.0</v>
      </c>
      <c r="C163" s="3">
        <f t="shared" si="1"/>
        <v>3</v>
      </c>
      <c r="D163" s="3">
        <v>183.0</v>
      </c>
      <c r="E163" s="4" t="s">
        <v>16</v>
      </c>
      <c r="F163" s="4" t="s">
        <v>10</v>
      </c>
      <c r="G163" s="10" t="s">
        <v>17</v>
      </c>
      <c r="H163" s="5">
        <v>0.039837962962962964</v>
      </c>
      <c r="I163" s="25" t="s">
        <v>18</v>
      </c>
      <c r="J163" s="21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idden="1">
      <c r="A164" s="10">
        <v>50.0</v>
      </c>
      <c r="B164" s="10">
        <v>150.0</v>
      </c>
      <c r="C164" s="10">
        <f t="shared" si="1"/>
        <v>3</v>
      </c>
      <c r="D164" s="10">
        <v>183.0</v>
      </c>
      <c r="E164" s="10" t="s">
        <v>19</v>
      </c>
      <c r="F164" s="10" t="s">
        <v>10</v>
      </c>
      <c r="G164" s="10" t="s">
        <v>17</v>
      </c>
      <c r="H164" s="11">
        <v>0.04271990740740741</v>
      </c>
      <c r="I164" s="23" t="s">
        <v>277</v>
      </c>
      <c r="J164" s="24"/>
    </row>
    <row r="165" hidden="1">
      <c r="A165" s="10">
        <v>100.0</v>
      </c>
      <c r="B165" s="10">
        <v>200.0</v>
      </c>
      <c r="C165" s="10">
        <f t="shared" si="1"/>
        <v>2</v>
      </c>
      <c r="D165" s="10">
        <v>183.0</v>
      </c>
      <c r="E165" s="10" t="s">
        <v>19</v>
      </c>
      <c r="F165" s="10" t="s">
        <v>10</v>
      </c>
      <c r="G165" s="10" t="s">
        <v>17</v>
      </c>
      <c r="H165" s="11">
        <v>0.04396990740740741</v>
      </c>
      <c r="I165" s="23" t="s">
        <v>278</v>
      </c>
      <c r="J165" s="24"/>
    </row>
    <row r="166" hidden="1">
      <c r="A166" s="3">
        <v>75.0</v>
      </c>
      <c r="B166" s="4">
        <v>150.0</v>
      </c>
      <c r="C166" s="3">
        <f t="shared" si="1"/>
        <v>2</v>
      </c>
      <c r="D166" s="3">
        <v>183.0</v>
      </c>
      <c r="E166" s="3" t="s">
        <v>9</v>
      </c>
      <c r="F166" s="3" t="s">
        <v>10</v>
      </c>
      <c r="G166" s="3" t="s">
        <v>11</v>
      </c>
      <c r="H166" s="5">
        <v>0.04535879629629629</v>
      </c>
      <c r="I166" s="26" t="s">
        <v>12</v>
      </c>
      <c r="J166" s="2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idden="1">
      <c r="A167" s="10">
        <v>75.0</v>
      </c>
      <c r="B167" s="10">
        <v>150.0</v>
      </c>
      <c r="C167" s="10">
        <f t="shared" si="1"/>
        <v>2</v>
      </c>
      <c r="D167" s="10">
        <v>183.0</v>
      </c>
      <c r="E167" s="10" t="s">
        <v>9</v>
      </c>
      <c r="F167" s="10" t="s">
        <v>10</v>
      </c>
      <c r="G167" s="10" t="s">
        <v>11</v>
      </c>
      <c r="H167" s="11">
        <v>0.04538194444444445</v>
      </c>
      <c r="I167" s="23" t="s">
        <v>279</v>
      </c>
      <c r="J167" s="24"/>
    </row>
    <row r="168" hidden="1">
      <c r="A168" s="10">
        <v>75.0</v>
      </c>
      <c r="B168" s="10">
        <v>150.0</v>
      </c>
      <c r="C168" s="10">
        <f t="shared" si="1"/>
        <v>2</v>
      </c>
      <c r="D168" s="10">
        <v>183.0</v>
      </c>
      <c r="E168" s="10" t="s">
        <v>73</v>
      </c>
      <c r="F168" s="10" t="s">
        <v>10</v>
      </c>
      <c r="G168" s="10" t="s">
        <v>73</v>
      </c>
      <c r="H168" s="11">
        <v>0.04542824074074074</v>
      </c>
      <c r="I168" s="23" t="s">
        <v>280</v>
      </c>
      <c r="J168" s="24"/>
    </row>
    <row r="169" hidden="1">
      <c r="A169" s="3">
        <v>75.0</v>
      </c>
      <c r="B169" s="4">
        <v>150.0</v>
      </c>
      <c r="C169" s="3">
        <f t="shared" si="1"/>
        <v>2</v>
      </c>
      <c r="D169" s="3">
        <v>183.0</v>
      </c>
      <c r="E169" s="4" t="s">
        <v>13</v>
      </c>
      <c r="F169" s="4" t="s">
        <v>10</v>
      </c>
      <c r="G169" s="4" t="s">
        <v>14</v>
      </c>
      <c r="H169" s="5">
        <v>0.045682870370370374</v>
      </c>
      <c r="I169" s="25" t="s">
        <v>15</v>
      </c>
      <c r="J169" s="21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idden="1">
      <c r="A170" s="10">
        <v>75.0</v>
      </c>
      <c r="B170" s="10">
        <v>150.0</v>
      </c>
      <c r="C170" s="10">
        <f t="shared" si="1"/>
        <v>2</v>
      </c>
      <c r="D170" s="10">
        <v>183.0</v>
      </c>
      <c r="E170" s="10" t="s">
        <v>19</v>
      </c>
      <c r="F170" s="10" t="s">
        <v>10</v>
      </c>
      <c r="G170" s="10" t="s">
        <v>17</v>
      </c>
      <c r="H170" s="11">
        <v>0.04628472222222222</v>
      </c>
      <c r="I170" s="23" t="s">
        <v>281</v>
      </c>
      <c r="J170" s="24"/>
    </row>
    <row r="171" hidden="1">
      <c r="A171" s="3">
        <v>75.0</v>
      </c>
      <c r="B171" s="4">
        <v>150.0</v>
      </c>
      <c r="C171" s="3">
        <f t="shared" si="1"/>
        <v>2</v>
      </c>
      <c r="D171" s="3">
        <v>183.0</v>
      </c>
      <c r="E171" s="4" t="s">
        <v>16</v>
      </c>
      <c r="F171" s="4" t="s">
        <v>10</v>
      </c>
      <c r="G171" s="10" t="s">
        <v>17</v>
      </c>
      <c r="H171" s="5">
        <v>0.046435185185185184</v>
      </c>
      <c r="I171" s="25" t="s">
        <v>18</v>
      </c>
      <c r="J171" s="21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idden="1">
      <c r="A172" s="10">
        <v>50.0</v>
      </c>
      <c r="B172" s="10">
        <v>100.0</v>
      </c>
      <c r="C172" s="10">
        <f t="shared" si="1"/>
        <v>2</v>
      </c>
      <c r="D172" s="10">
        <v>183.0</v>
      </c>
      <c r="E172" s="10" t="s">
        <v>19</v>
      </c>
      <c r="F172" s="10" t="s">
        <v>10</v>
      </c>
      <c r="G172" s="10" t="s">
        <v>17</v>
      </c>
      <c r="H172" s="11">
        <v>0.04978009259259259</v>
      </c>
      <c r="I172" s="23" t="s">
        <v>282</v>
      </c>
      <c r="J172" s="24"/>
    </row>
    <row r="173">
      <c r="A173" s="10">
        <v>75.0</v>
      </c>
      <c r="B173" s="10">
        <v>300.0</v>
      </c>
      <c r="C173" s="10">
        <f t="shared" si="1"/>
        <v>4</v>
      </c>
      <c r="D173" s="10">
        <v>183.0</v>
      </c>
      <c r="E173" s="10" t="s">
        <v>268</v>
      </c>
      <c r="F173" s="10" t="s">
        <v>267</v>
      </c>
      <c r="G173" s="10" t="s">
        <v>268</v>
      </c>
      <c r="H173" s="11">
        <v>0.03743055555555556</v>
      </c>
      <c r="I173" s="23" t="s">
        <v>283</v>
      </c>
      <c r="J173" s="24"/>
    </row>
    <row r="174" hidden="1">
      <c r="A174" s="3">
        <v>75.0</v>
      </c>
      <c r="B174" s="4">
        <v>150.0</v>
      </c>
      <c r="C174" s="3">
        <f t="shared" si="1"/>
        <v>2</v>
      </c>
      <c r="D174" s="3">
        <v>183.0</v>
      </c>
      <c r="E174" s="4" t="s">
        <v>16</v>
      </c>
      <c r="F174" s="4" t="s">
        <v>10</v>
      </c>
      <c r="G174" s="10" t="s">
        <v>17</v>
      </c>
      <c r="H174" s="5">
        <v>0.046435185185185184</v>
      </c>
      <c r="I174" s="25" t="s">
        <v>18</v>
      </c>
      <c r="J174" s="21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A175" s="10">
        <v>75.0</v>
      </c>
      <c r="B175" s="10">
        <v>300.0</v>
      </c>
      <c r="C175" s="10">
        <f t="shared" si="1"/>
        <v>4</v>
      </c>
      <c r="D175" s="10">
        <v>183.0</v>
      </c>
      <c r="E175" s="10" t="s">
        <v>284</v>
      </c>
      <c r="F175" s="10" t="s">
        <v>285</v>
      </c>
      <c r="G175" s="10" t="s">
        <v>286</v>
      </c>
      <c r="H175" s="11">
        <v>0.038599537037037036</v>
      </c>
      <c r="I175" s="12" t="s">
        <v>287</v>
      </c>
      <c r="J175" s="2"/>
      <c r="L175" s="13" t="s">
        <v>288</v>
      </c>
    </row>
    <row r="176">
      <c r="A176" s="10">
        <v>75.0</v>
      </c>
      <c r="B176" s="10">
        <v>300.0</v>
      </c>
      <c r="C176" s="10">
        <f t="shared" si="1"/>
        <v>4</v>
      </c>
      <c r="D176" s="10">
        <v>183.0</v>
      </c>
      <c r="E176" s="10" t="s">
        <v>289</v>
      </c>
      <c r="F176" s="10" t="s">
        <v>285</v>
      </c>
      <c r="G176" s="10" t="s">
        <v>286</v>
      </c>
      <c r="H176" s="11">
        <v>0.038599537037037036</v>
      </c>
      <c r="I176" s="12" t="s">
        <v>290</v>
      </c>
      <c r="J176" s="2"/>
      <c r="L176" s="13" t="s">
        <v>288</v>
      </c>
    </row>
    <row r="177">
      <c r="A177" s="10">
        <v>75.0</v>
      </c>
      <c r="B177" s="10">
        <v>300.0</v>
      </c>
      <c r="C177" s="10">
        <f t="shared" si="1"/>
        <v>4</v>
      </c>
      <c r="D177" s="10">
        <v>183.0</v>
      </c>
      <c r="E177" s="10" t="s">
        <v>291</v>
      </c>
      <c r="F177" s="10" t="s">
        <v>285</v>
      </c>
      <c r="G177" s="10" t="s">
        <v>286</v>
      </c>
      <c r="H177" s="11">
        <v>0.03861111111111111</v>
      </c>
      <c r="I177" s="12" t="s">
        <v>292</v>
      </c>
      <c r="J177" s="2"/>
      <c r="L177" s="13" t="s">
        <v>288</v>
      </c>
    </row>
    <row r="178">
      <c r="A178" s="10">
        <v>75.0</v>
      </c>
      <c r="B178" s="10">
        <v>300.0</v>
      </c>
      <c r="C178" s="10">
        <f t="shared" si="1"/>
        <v>4</v>
      </c>
      <c r="D178" s="10">
        <v>183.0</v>
      </c>
      <c r="E178" s="10" t="s">
        <v>293</v>
      </c>
      <c r="F178" s="10" t="s">
        <v>285</v>
      </c>
      <c r="G178" s="10" t="s">
        <v>286</v>
      </c>
      <c r="H178" s="11">
        <v>0.038668981481481485</v>
      </c>
      <c r="I178" s="27" t="s">
        <v>294</v>
      </c>
      <c r="J178" s="24"/>
    </row>
    <row r="179">
      <c r="A179" s="3">
        <v>75.0</v>
      </c>
      <c r="B179" s="3">
        <v>300.0</v>
      </c>
      <c r="C179" s="3">
        <f t="shared" si="1"/>
        <v>4</v>
      </c>
      <c r="D179" s="3">
        <v>183.0</v>
      </c>
      <c r="E179" s="3" t="s">
        <v>284</v>
      </c>
      <c r="F179" s="3" t="s">
        <v>285</v>
      </c>
      <c r="G179" s="3" t="s">
        <v>286</v>
      </c>
      <c r="H179" s="5">
        <v>0.03869212962962963</v>
      </c>
      <c r="I179" s="9" t="s">
        <v>295</v>
      </c>
      <c r="J179" s="7"/>
      <c r="K179" s="8"/>
      <c r="L179" s="8" t="s">
        <v>262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A180" s="10">
        <v>75.0</v>
      </c>
      <c r="B180" s="10">
        <v>300.0</v>
      </c>
      <c r="C180" s="10">
        <f t="shared" si="1"/>
        <v>4</v>
      </c>
      <c r="D180" s="10">
        <v>183.0</v>
      </c>
      <c r="E180" s="10" t="s">
        <v>286</v>
      </c>
      <c r="F180" s="10" t="s">
        <v>285</v>
      </c>
      <c r="G180" s="10" t="s">
        <v>286</v>
      </c>
      <c r="H180" s="11">
        <v>0.03869212962962963</v>
      </c>
      <c r="I180" s="15" t="s">
        <v>296</v>
      </c>
      <c r="J180" s="2"/>
      <c r="L180" s="13" t="s">
        <v>288</v>
      </c>
    </row>
    <row r="181">
      <c r="A181" s="10">
        <v>75.0</v>
      </c>
      <c r="B181" s="10">
        <v>300.0</v>
      </c>
      <c r="C181" s="10">
        <f t="shared" si="1"/>
        <v>4</v>
      </c>
      <c r="D181" s="10">
        <v>183.0</v>
      </c>
      <c r="E181" s="10" t="s">
        <v>289</v>
      </c>
      <c r="F181" s="10" t="s">
        <v>285</v>
      </c>
      <c r="G181" s="10" t="s">
        <v>286</v>
      </c>
      <c r="H181" s="11">
        <v>0.038703703703703705</v>
      </c>
      <c r="I181" s="23" t="s">
        <v>297</v>
      </c>
      <c r="J181" s="24"/>
      <c r="L181" s="13" t="s">
        <v>298</v>
      </c>
    </row>
    <row r="182">
      <c r="A182" s="3">
        <v>75.0</v>
      </c>
      <c r="B182" s="3">
        <v>300.0</v>
      </c>
      <c r="C182" s="3">
        <f t="shared" si="1"/>
        <v>4</v>
      </c>
      <c r="D182" s="3">
        <v>183.0</v>
      </c>
      <c r="E182" s="3" t="s">
        <v>291</v>
      </c>
      <c r="F182" s="3" t="s">
        <v>285</v>
      </c>
      <c r="G182" s="3" t="s">
        <v>286</v>
      </c>
      <c r="H182" s="5">
        <v>0.03871527777777778</v>
      </c>
      <c r="I182" s="9" t="s">
        <v>299</v>
      </c>
      <c r="J182" s="7"/>
      <c r="K182" s="8"/>
      <c r="L182" s="8" t="s">
        <v>262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A183" s="3">
        <v>75.0</v>
      </c>
      <c r="B183" s="3">
        <v>300.0</v>
      </c>
      <c r="C183" s="3">
        <f t="shared" si="1"/>
        <v>4</v>
      </c>
      <c r="D183" s="3">
        <v>183.0</v>
      </c>
      <c r="E183" s="3" t="s">
        <v>286</v>
      </c>
      <c r="F183" s="3" t="s">
        <v>285</v>
      </c>
      <c r="G183" s="3" t="s">
        <v>286</v>
      </c>
      <c r="H183" s="5">
        <v>0.03880787037037037</v>
      </c>
      <c r="I183" s="9" t="s">
        <v>300</v>
      </c>
      <c r="J183" s="7"/>
      <c r="K183" s="8"/>
      <c r="L183" s="8" t="s">
        <v>262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A184" s="10">
        <v>75.0</v>
      </c>
      <c r="B184" s="10">
        <v>300.0</v>
      </c>
      <c r="C184" s="10">
        <f t="shared" si="1"/>
        <v>4</v>
      </c>
      <c r="D184" s="10">
        <v>183.0</v>
      </c>
      <c r="E184" s="10" t="s">
        <v>16</v>
      </c>
      <c r="F184" s="10" t="s">
        <v>10</v>
      </c>
      <c r="G184" s="10" t="s">
        <v>17</v>
      </c>
      <c r="H184" s="11">
        <v>0.03582175925925926</v>
      </c>
      <c r="I184" s="12" t="s">
        <v>301</v>
      </c>
      <c r="J184" s="2"/>
    </row>
    <row r="185">
      <c r="A185" s="10">
        <v>75.0</v>
      </c>
      <c r="B185" s="10">
        <v>300.0</v>
      </c>
      <c r="C185" s="10">
        <f t="shared" si="1"/>
        <v>4</v>
      </c>
      <c r="D185" s="10">
        <v>183.0</v>
      </c>
      <c r="E185" s="10" t="s">
        <v>19</v>
      </c>
      <c r="F185" s="10" t="s">
        <v>10</v>
      </c>
      <c r="G185" s="10" t="s">
        <v>302</v>
      </c>
      <c r="H185" s="11">
        <v>0.03576388888888889</v>
      </c>
      <c r="I185" s="12" t="s">
        <v>303</v>
      </c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A186" s="3">
        <v>75.0</v>
      </c>
      <c r="B186" s="3">
        <v>300.0</v>
      </c>
      <c r="C186" s="3">
        <f t="shared" si="1"/>
        <v>4</v>
      </c>
      <c r="D186" s="3">
        <v>183.0</v>
      </c>
      <c r="E186" s="4" t="s">
        <v>16</v>
      </c>
      <c r="F186" s="4" t="s">
        <v>10</v>
      </c>
      <c r="G186" s="10" t="s">
        <v>17</v>
      </c>
      <c r="H186" s="5">
        <v>0.035833333333333335</v>
      </c>
      <c r="I186" s="9" t="s">
        <v>18</v>
      </c>
      <c r="J186" s="21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A187" s="10">
        <v>75.0</v>
      </c>
      <c r="B187" s="10">
        <v>300.0</v>
      </c>
      <c r="C187" s="10">
        <f t="shared" si="1"/>
        <v>4</v>
      </c>
      <c r="D187" s="10">
        <v>183.0</v>
      </c>
      <c r="E187" s="10" t="s">
        <v>19</v>
      </c>
      <c r="F187" s="10" t="s">
        <v>10</v>
      </c>
      <c r="G187" s="10" t="s">
        <v>304</v>
      </c>
      <c r="H187" s="11">
        <v>0.03577546296296296</v>
      </c>
      <c r="I187" s="12" t="s">
        <v>202</v>
      </c>
      <c r="J187" s="2"/>
    </row>
    <row r="188">
      <c r="A188" s="10">
        <v>75.0</v>
      </c>
      <c r="B188" s="10">
        <v>300.0</v>
      </c>
      <c r="C188" s="10">
        <f t="shared" si="1"/>
        <v>4</v>
      </c>
      <c r="D188" s="10">
        <v>183.0</v>
      </c>
      <c r="E188" s="10" t="s">
        <v>253</v>
      </c>
      <c r="F188" s="10" t="s">
        <v>10</v>
      </c>
      <c r="G188" s="10" t="s">
        <v>17</v>
      </c>
      <c r="H188" s="11">
        <v>0.035833333333333335</v>
      </c>
      <c r="I188" s="12" t="s">
        <v>305</v>
      </c>
      <c r="J188" s="24"/>
    </row>
    <row r="189">
      <c r="A189" s="10">
        <v>75.0</v>
      </c>
      <c r="B189" s="10">
        <v>300.0</v>
      </c>
      <c r="C189" s="10">
        <f t="shared" si="1"/>
        <v>4</v>
      </c>
      <c r="D189" s="10">
        <v>183.0</v>
      </c>
      <c r="E189" s="10" t="s">
        <v>306</v>
      </c>
      <c r="F189" s="10" t="s">
        <v>10</v>
      </c>
      <c r="G189" s="10" t="s">
        <v>17</v>
      </c>
      <c r="H189" s="11">
        <v>0.03587962962962963</v>
      </c>
      <c r="I189" s="12" t="s">
        <v>307</v>
      </c>
      <c r="J189" s="2"/>
    </row>
    <row r="190" hidden="1">
      <c r="A190" s="10">
        <v>100.0</v>
      </c>
      <c r="B190" s="10">
        <v>300.0</v>
      </c>
      <c r="C190" s="10">
        <f t="shared" si="1"/>
        <v>3</v>
      </c>
      <c r="D190" s="10">
        <v>183.0</v>
      </c>
      <c r="E190" s="10" t="s">
        <v>19</v>
      </c>
      <c r="F190" s="10" t="s">
        <v>10</v>
      </c>
      <c r="G190" s="10" t="s">
        <v>17</v>
      </c>
      <c r="H190" s="11">
        <v>0.037696759259259256</v>
      </c>
      <c r="I190" s="12" t="s">
        <v>308</v>
      </c>
      <c r="J190" s="2"/>
    </row>
    <row r="191">
      <c r="A191" s="10">
        <v>75.0</v>
      </c>
      <c r="B191" s="10">
        <v>300.0</v>
      </c>
      <c r="C191" s="10">
        <f t="shared" si="1"/>
        <v>4</v>
      </c>
      <c r="D191" s="10">
        <v>183.0</v>
      </c>
      <c r="E191" s="10" t="s">
        <v>73</v>
      </c>
      <c r="F191" s="10" t="s">
        <v>10</v>
      </c>
      <c r="G191" s="10" t="s">
        <v>73</v>
      </c>
      <c r="H191" s="11">
        <v>0.03502314814814815</v>
      </c>
      <c r="I191" s="28" t="s">
        <v>309</v>
      </c>
      <c r="J191" s="29" t="s">
        <v>310</v>
      </c>
    </row>
  </sheetData>
  <autoFilter ref="$A$1:$H$191">
    <filterColumn colId="1">
      <filters>
        <filter val="375"/>
        <filter val="300"/>
      </filters>
    </filterColumn>
    <filterColumn colId="2">
      <filters>
        <filter val="2"/>
        <filter val="4"/>
      </filters>
    </filterColumn>
  </autoFilter>
  <customSheetViews>
    <customSheetView guid="{DBDE84F9-F6C7-4F52-A48E-BA40F4064F89}" filter="1" showAutoFilter="1">
      <autoFilter ref="$A$1:$I$116"/>
    </customSheetView>
    <customSheetView guid="{131ED934-56A5-4A4B-9246-8993FA1F050E}" filter="1" showAutoFilter="1">
      <autoFilter ref="$A$1:$H$157">
        <filterColumn colId="4">
          <filters>
            <filter val="Giant Propel Advanced SL Disc"/>
            <filter val="Specialized Tarmac"/>
            <filter val="Ribble Endurance"/>
            <filter val="Focus Izalco Max 2020"/>
            <filter val="Specialized Ruby S-Works"/>
            <filter val="Cube Aerium"/>
            <filter val="Specialized Tarmac Pro"/>
            <filter val="Canyon Speedmax CF SLX Disc"/>
            <filter val="Specialized Shiv Disc"/>
            <filter val="Specialized Allez"/>
            <filter val="Cannondale Synapse"/>
            <filter val="Zwift Big Wheel"/>
            <filter val="Scott Foil"/>
            <filter val="Specialized Amira S-Works"/>
            <filter val="Zwift Carbon"/>
            <filter val="Pinarello Bolide TT"/>
            <filter val="Specialized Tarmac SL7"/>
            <filter val="Ventum One"/>
            <filter val="Specialized Roubaix"/>
            <filter val="Specialized Ruby"/>
            <filter val="Specialized Venge"/>
            <filter val="Pinarello Dogma 65.1"/>
            <filter val="Giant TCR Advanced SL"/>
            <filter val="Colnago V3RS"/>
            <filter val="Specialized Allez Sprint"/>
            <filter val="Scott Plasma"/>
            <filter val="Chapter2 Rere"/>
            <filter val="Trek Emonda SL"/>
            <filter val="Specialized Roubaix S-Works"/>
            <filter val="Diamondback Andean"/>
            <filter val="Felt AR"/>
            <filter val="Specialized Aethos"/>
            <filter val="Cervelo P5"/>
            <filter val="Factor One"/>
            <filter val="Giant TCR Advanced SL Disc"/>
            <filter val="Specialized Shiv"/>
            <filter val="Bridgestone SR9s"/>
            <filter val="Chapter2 Tere"/>
            <filter val="Felt IA"/>
            <filter val="Canyon Speedmax"/>
            <filter val="Zwift Safety"/>
            <filter val="Zwift TT"/>
            <filter val="BMC Time Machine"/>
            <filter val="Cervelo P5x"/>
            <filter val="Pinarello Dogma F10"/>
            <filter val="Pinarello Dogma F12"/>
            <filter val="Cannondale EVO"/>
            <filter val="Trek Emonda"/>
            <filter val="Zwift Buffalo Fahrrad"/>
            <filter val="Pinarello F8"/>
            <filter val="Cannondale SuperSix EVO"/>
            <filter val="Specialized Shiv S-Works"/>
            <filter val="Ridley Noah Fast Disc"/>
            <filter val="Cervelo S3D"/>
            <filter val="BMC SLR01"/>
            <filter val="Pinarello Dogma F"/>
            <filter val="Ridley Helium"/>
            <filter val="Cube Litening"/>
            <filter val="Tron (Concept Z1)"/>
            <filter val="Cannondale CAAD12"/>
            <filter val="Specialized Amira"/>
            <filter val="Pinarello Bolide"/>
            <filter val="Canyon Grail"/>
            <filter val="Canyon Ultimate"/>
            <filter val="Liv Langma Advanced SL"/>
            <filter val="Cannondale SystemSix"/>
            <filter val="Parlee RZ7"/>
            <filter val="Cervelo Aspero"/>
            <filter val="Specialized Venge S-Works"/>
            <filter val="Canyon Aeroad 2021"/>
            <filter val="Cervelo R5"/>
          </filters>
        </filterColumn>
        <filterColumn colId="3">
          <filters>
            <filter val="183"/>
          </filters>
        </filterColumn>
        <filterColumn colId="0">
          <filters>
            <filter val="75"/>
          </filters>
        </filterColumn>
        <filterColumn colId="1">
          <filters/>
        </filterColumn>
        <filterColumn colId="6">
          <filters>
            <filter val="ENVE SES 6.7"/>
            <filter val="ENVE SES 7.8"/>
            <filter val="ENVE 3.4"/>
            <filter val="Shimano C40"/>
            <filter val="ENVE SES 8.9"/>
            <filter val="DT Swiss ARC 62"/>
            <filter val="Zwift Safety"/>
            <filter val="ENVE 7.8"/>
            <filter val="ENVE SES 3.4"/>
            <filter val="Standard"/>
            <filter val="Lightweight Meilenstein"/>
            <filter val="Shimano C60"/>
            <filter val="Roval Alpinist CLX"/>
            <filter val="Roval CLX64"/>
            <filter val="ENVE SES 2.2"/>
            <filter val="Campagnolo Bora Ultra 35"/>
            <filter val="Roval Rapide CLX"/>
            <filter val="50mm Carbon"/>
            <filter val="Bontrager Aeolus5"/>
            <filter val="32mm Carbon"/>
            <filter val="Zwift Big Wheel"/>
            <filter val="Zwift Gravel"/>
            <filter val="Campagnolo Bora Ultra 50"/>
            <filter val="Mavic Comete Pro Carbon SL UST"/>
            <filter val="Zipp 858/Super9"/>
            <filter val="Tron (Concept Z1)"/>
            <filter val="Zipp 808/Super9"/>
            <filter val="Giant SLR 0"/>
            <filter val="Zipp 454"/>
            <filter val="Zipp 353 NSW"/>
            <filter val="Mavic Cosmic Ultimate UST"/>
            <filter val="Zipp 858"/>
          </filters>
        </filterColumn>
      </autoFilter>
    </customSheetView>
  </customSheetView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L31"/>
    <hyperlink r:id="rId32" ref="I32"/>
    <hyperlink r:id="rId33" ref="I33"/>
    <hyperlink r:id="rId34" ref="I34"/>
    <hyperlink r:id="rId35" ref="I35"/>
    <hyperlink r:id="rId36" ref="I36"/>
    <hyperlink r:id="rId37" ref="I38"/>
    <hyperlink r:id="rId38" ref="I39"/>
    <hyperlink r:id="rId39" ref="I40"/>
    <hyperlink r:id="rId40" ref="I41"/>
    <hyperlink r:id="rId41" ref="I43"/>
    <hyperlink r:id="rId42" ref="I44"/>
    <hyperlink r:id="rId43" ref="I46"/>
    <hyperlink r:id="rId44" ref="I48"/>
    <hyperlink r:id="rId45" ref="I49"/>
    <hyperlink r:id="rId46" ref="I50"/>
    <hyperlink r:id="rId47" ref="I52"/>
    <hyperlink r:id="rId48" ref="I53"/>
    <hyperlink r:id="rId49" ref="I55"/>
    <hyperlink r:id="rId50" ref="L55"/>
    <hyperlink r:id="rId51" ref="I58"/>
    <hyperlink r:id="rId52" ref="I59"/>
    <hyperlink r:id="rId53" ref="I60"/>
    <hyperlink r:id="rId54" ref="I61"/>
    <hyperlink r:id="rId55" ref="I63"/>
    <hyperlink r:id="rId56" ref="I64"/>
    <hyperlink r:id="rId57" ref="I65"/>
    <hyperlink r:id="rId58" ref="I68"/>
    <hyperlink r:id="rId59" ref="I70"/>
    <hyperlink r:id="rId60" ref="I71"/>
    <hyperlink r:id="rId61" ref="I72"/>
    <hyperlink r:id="rId62" ref="I73"/>
    <hyperlink r:id="rId63" ref="I75"/>
    <hyperlink r:id="rId64" ref="I76"/>
    <hyperlink r:id="rId65" ref="I77"/>
    <hyperlink r:id="rId66" ref="I78"/>
    <hyperlink r:id="rId67" ref="I79"/>
    <hyperlink r:id="rId68" ref="I80"/>
    <hyperlink r:id="rId69" ref="I82"/>
    <hyperlink r:id="rId70" ref="I83"/>
    <hyperlink r:id="rId71" ref="I85"/>
    <hyperlink r:id="rId72" ref="I87"/>
    <hyperlink r:id="rId73" ref="I88"/>
    <hyperlink r:id="rId74" ref="I89"/>
    <hyperlink r:id="rId75" ref="I90"/>
    <hyperlink r:id="rId76" ref="I91"/>
    <hyperlink r:id="rId77" ref="I92"/>
    <hyperlink r:id="rId78" ref="I93"/>
    <hyperlink r:id="rId79" ref="I94"/>
    <hyperlink r:id="rId80" ref="I95"/>
    <hyperlink r:id="rId81" ref="I96"/>
    <hyperlink r:id="rId82" ref="I97"/>
    <hyperlink r:id="rId83" ref="I98"/>
    <hyperlink r:id="rId84" ref="L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  <hyperlink r:id="rId99" ref="I113"/>
    <hyperlink r:id="rId100" ref="I114"/>
    <hyperlink r:id="rId101" ref="I115"/>
    <hyperlink r:id="rId102" ref="I116"/>
    <hyperlink r:id="rId103" ref="I117"/>
    <hyperlink r:id="rId104" ref="I118"/>
    <hyperlink r:id="rId105" ref="I119"/>
    <hyperlink r:id="rId106" ref="I120"/>
    <hyperlink r:id="rId107" ref="I121"/>
    <hyperlink r:id="rId108" ref="I122"/>
    <hyperlink r:id="rId109" ref="I123"/>
    <hyperlink r:id="rId110" ref="I124"/>
    <hyperlink r:id="rId111" ref="I125"/>
    <hyperlink r:id="rId112" ref="I126"/>
    <hyperlink r:id="rId113" ref="I127"/>
    <hyperlink r:id="rId114" ref="I128"/>
    <hyperlink r:id="rId115" ref="I129"/>
    <hyperlink r:id="rId116" ref="I130"/>
    <hyperlink r:id="rId117" ref="I131"/>
    <hyperlink r:id="rId118" ref="I132"/>
    <hyperlink r:id="rId119" ref="I133"/>
    <hyperlink r:id="rId120" ref="I134"/>
    <hyperlink r:id="rId121" ref="I135"/>
    <hyperlink r:id="rId122" ref="I136"/>
    <hyperlink r:id="rId123" ref="I137"/>
    <hyperlink r:id="rId124" ref="I138"/>
    <hyperlink r:id="rId125" ref="I139"/>
    <hyperlink r:id="rId126" ref="I140"/>
    <hyperlink r:id="rId127" ref="I141"/>
    <hyperlink r:id="rId128" ref="I142"/>
    <hyperlink r:id="rId129" ref="I143"/>
    <hyperlink r:id="rId130" ref="I144"/>
    <hyperlink r:id="rId131" ref="I145"/>
    <hyperlink r:id="rId132" ref="I146"/>
    <hyperlink r:id="rId133" ref="I147"/>
    <hyperlink r:id="rId134" ref="I148"/>
    <hyperlink r:id="rId135" ref="I149"/>
    <hyperlink r:id="rId136" ref="I150"/>
    <hyperlink r:id="rId137" ref="I151"/>
    <hyperlink r:id="rId138" ref="I152"/>
    <hyperlink r:id="rId139" ref="I153"/>
    <hyperlink r:id="rId140" ref="I154"/>
    <hyperlink r:id="rId141" ref="I155"/>
    <hyperlink r:id="rId142" ref="I156"/>
    <hyperlink r:id="rId143" ref="I157"/>
    <hyperlink r:id="rId144" ref="I158"/>
    <hyperlink r:id="rId145" ref="I159"/>
    <hyperlink r:id="rId146" ref="I160"/>
    <hyperlink r:id="rId147" ref="I161"/>
    <hyperlink r:id="rId148" ref="I162"/>
    <hyperlink r:id="rId149" ref="I163"/>
    <hyperlink r:id="rId150" ref="I164"/>
    <hyperlink r:id="rId151" ref="I165"/>
    <hyperlink r:id="rId152" ref="I166"/>
    <hyperlink r:id="rId153" ref="I167"/>
    <hyperlink r:id="rId154" ref="I168"/>
    <hyperlink r:id="rId155" ref="I169"/>
    <hyperlink r:id="rId156" ref="I170"/>
    <hyperlink r:id="rId157" ref="I171"/>
    <hyperlink r:id="rId158" ref="I172"/>
    <hyperlink r:id="rId159" ref="I173"/>
    <hyperlink r:id="rId160" ref="I174"/>
    <hyperlink r:id="rId161" ref="I175"/>
    <hyperlink r:id="rId162" ref="I176"/>
    <hyperlink r:id="rId163" ref="I177"/>
    <hyperlink r:id="rId164" ref="I178"/>
    <hyperlink r:id="rId165" ref="I179"/>
    <hyperlink r:id="rId166" ref="I180"/>
    <hyperlink r:id="rId167" ref="I181"/>
    <hyperlink r:id="rId168" ref="I182"/>
    <hyperlink r:id="rId169" ref="I183"/>
    <hyperlink r:id="rId170" ref="I184"/>
    <hyperlink r:id="rId171" ref="I185"/>
    <hyperlink r:id="rId172" ref="I186"/>
    <hyperlink r:id="rId173" ref="I187"/>
    <hyperlink r:id="rId174" ref="I188"/>
    <hyperlink r:id="rId175" ref="I189"/>
    <hyperlink r:id="rId176" ref="I190"/>
    <hyperlink r:id="rId177" ref="I191"/>
  </hyperlinks>
  <drawing r:id="rId17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  <col customWidth="1" min="6" max="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454</v>
      </c>
      <c r="H1" s="30"/>
      <c r="I1" s="1" t="s">
        <v>8</v>
      </c>
    </row>
    <row r="2">
      <c r="A2" s="10">
        <v>75.0</v>
      </c>
      <c r="B2" s="10">
        <v>300.0</v>
      </c>
      <c r="C2" s="10">
        <f t="shared" ref="C2:C47" si="1">B2/A2</f>
        <v>4</v>
      </c>
      <c r="D2" s="10">
        <v>183.0</v>
      </c>
      <c r="E2" s="10" t="s">
        <v>286</v>
      </c>
      <c r="F2" s="10" t="s">
        <v>286</v>
      </c>
      <c r="G2" s="22">
        <v>0.009571759259259259</v>
      </c>
      <c r="H2" s="37" t="str">
        <f t="shared" ref="H2:H3" si="2">HYPERLINK("https://www.strava.com/activities/2783960184","Strava")</f>
        <v>Strava</v>
      </c>
      <c r="I2" s="13" t="s">
        <v>455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73</v>
      </c>
      <c r="F3" s="10" t="s">
        <v>351</v>
      </c>
      <c r="G3" s="11">
        <v>0.010416666666666666</v>
      </c>
      <c r="H3" s="37" t="str">
        <f t="shared" si="2"/>
        <v>Strava</v>
      </c>
      <c r="I3" s="13" t="s">
        <v>455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19</v>
      </c>
      <c r="F4" s="10" t="s">
        <v>79</v>
      </c>
      <c r="G4" s="11">
        <v>0.010462962962962962</v>
      </c>
      <c r="H4" s="37" t="str">
        <f>HYPERLINK("https://www.strava.com/activities/2836865749","Strava")</f>
        <v>Strava</v>
      </c>
      <c r="I4" s="13" t="s">
        <v>456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19</v>
      </c>
      <c r="F5" s="10" t="s">
        <v>79</v>
      </c>
      <c r="G5" s="11">
        <v>0.010474537037037037</v>
      </c>
      <c r="H5" s="37" t="str">
        <f>HYPERLINK("https://www.strava.com/activities/2787080223","Strava")</f>
        <v>Strava</v>
      </c>
      <c r="I5" s="13" t="s">
        <v>455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19</v>
      </c>
      <c r="F6" s="10" t="s">
        <v>106</v>
      </c>
      <c r="G6" s="11">
        <v>0.010474537037037037</v>
      </c>
      <c r="H6" s="37" t="str">
        <f>HYPERLINK("https://www.strava.com/activities/2833498283","Strava")</f>
        <v>Strava</v>
      </c>
      <c r="I6" s="13" t="s">
        <v>457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19</v>
      </c>
      <c r="F7" s="10" t="s">
        <v>65</v>
      </c>
      <c r="G7" s="11">
        <v>0.010474537037037037</v>
      </c>
      <c r="H7" s="37" t="str">
        <f t="shared" ref="H7:H8" si="3">HYPERLINK("https://www.strava.com/activities/2836865749","Strava")</f>
        <v>Strava</v>
      </c>
      <c r="I7" s="13" t="s">
        <v>456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 t="s">
        <v>19</v>
      </c>
      <c r="F8" s="10" t="s">
        <v>11</v>
      </c>
      <c r="G8" s="11">
        <v>0.010474537037037037</v>
      </c>
      <c r="H8" s="37" t="str">
        <f t="shared" si="3"/>
        <v>Strava</v>
      </c>
      <c r="I8" s="13" t="s">
        <v>456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 t="s">
        <v>19</v>
      </c>
      <c r="F9" s="10" t="s">
        <v>108</v>
      </c>
      <c r="G9" s="11">
        <v>0.010486111111111111</v>
      </c>
      <c r="H9" s="37" t="str">
        <f>HYPERLINK("https://www.strava.com/activities/2833498283","Strava")</f>
        <v>Strava</v>
      </c>
      <c r="I9" s="13" t="s">
        <v>457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 t="s">
        <v>19</v>
      </c>
      <c r="F10" s="10" t="s">
        <v>113</v>
      </c>
      <c r="G10" s="11">
        <v>0.010486111111111111</v>
      </c>
      <c r="H10" s="37" t="str">
        <f t="shared" ref="H10:H11" si="4">HYPERLINK("https://www.strava.com/activities/2836865749","Strava")</f>
        <v>Strava</v>
      </c>
      <c r="I10" s="13" t="s">
        <v>456</v>
      </c>
    </row>
    <row r="11">
      <c r="A11" s="10">
        <v>75.0</v>
      </c>
      <c r="B11" s="10">
        <v>300.0</v>
      </c>
      <c r="C11" s="10">
        <f t="shared" si="1"/>
        <v>4</v>
      </c>
      <c r="D11" s="10">
        <v>183.0</v>
      </c>
      <c r="E11" s="10" t="s">
        <v>19</v>
      </c>
      <c r="F11" s="10" t="s">
        <v>91</v>
      </c>
      <c r="G11" s="11">
        <v>0.010486111111111111</v>
      </c>
      <c r="H11" s="37" t="str">
        <f t="shared" si="4"/>
        <v>Strava</v>
      </c>
      <c r="I11" s="13" t="s">
        <v>456</v>
      </c>
    </row>
    <row r="12">
      <c r="A12" s="10">
        <v>75.0</v>
      </c>
      <c r="B12" s="10">
        <v>300.0</v>
      </c>
      <c r="C12" s="10">
        <f t="shared" si="1"/>
        <v>4</v>
      </c>
      <c r="D12" s="10">
        <v>183.0</v>
      </c>
      <c r="E12" s="10" t="s">
        <v>19</v>
      </c>
      <c r="F12" s="10" t="s">
        <v>129</v>
      </c>
      <c r="G12" s="11">
        <v>0.01050925925925926</v>
      </c>
      <c r="H12" s="37" t="str">
        <f>HYPERLINK("https://www.strava.com/activities/2787080223","Strava")</f>
        <v>Strava</v>
      </c>
      <c r="I12" s="13" t="s">
        <v>455</v>
      </c>
    </row>
    <row r="13">
      <c r="A13" s="10">
        <v>75.0</v>
      </c>
      <c r="B13" s="10">
        <v>300.0</v>
      </c>
      <c r="C13" s="10">
        <f t="shared" si="1"/>
        <v>4</v>
      </c>
      <c r="D13" s="10">
        <v>183.0</v>
      </c>
      <c r="E13" s="10" t="s">
        <v>19</v>
      </c>
      <c r="F13" s="10" t="s">
        <v>458</v>
      </c>
      <c r="G13" s="11">
        <v>0.01050925925925926</v>
      </c>
      <c r="H13" s="37" t="str">
        <f t="shared" ref="H13:H15" si="5">HYPERLINK("https://www.strava.com/activities/2833498283","Strava")</f>
        <v>Strava</v>
      </c>
      <c r="I13" s="13" t="s">
        <v>457</v>
      </c>
    </row>
    <row r="14">
      <c r="A14" s="10">
        <v>75.0</v>
      </c>
      <c r="B14" s="10">
        <v>300.0</v>
      </c>
      <c r="C14" s="10">
        <f t="shared" si="1"/>
        <v>4</v>
      </c>
      <c r="D14" s="10">
        <v>183.0</v>
      </c>
      <c r="E14" s="10" t="s">
        <v>19</v>
      </c>
      <c r="F14" s="10" t="s">
        <v>129</v>
      </c>
      <c r="G14" s="11">
        <v>0.01050925925925926</v>
      </c>
      <c r="H14" s="37" t="str">
        <f t="shared" si="5"/>
        <v>Strava</v>
      </c>
      <c r="I14" s="13" t="s">
        <v>457</v>
      </c>
    </row>
    <row r="15">
      <c r="A15" s="10">
        <v>75.0</v>
      </c>
      <c r="B15" s="10">
        <v>300.0</v>
      </c>
      <c r="C15" s="10">
        <f t="shared" si="1"/>
        <v>4</v>
      </c>
      <c r="D15" s="10">
        <v>183.0</v>
      </c>
      <c r="E15" s="10" t="s">
        <v>19</v>
      </c>
      <c r="F15" s="10" t="s">
        <v>459</v>
      </c>
      <c r="G15" s="11">
        <v>0.01050925925925926</v>
      </c>
      <c r="H15" s="37" t="str">
        <f t="shared" si="5"/>
        <v>Strava</v>
      </c>
      <c r="I15" s="13" t="s">
        <v>457</v>
      </c>
    </row>
    <row r="16">
      <c r="A16" s="10">
        <v>75.0</v>
      </c>
      <c r="B16" s="10">
        <v>300.0</v>
      </c>
      <c r="C16" s="10">
        <f t="shared" si="1"/>
        <v>4</v>
      </c>
      <c r="D16" s="10">
        <v>183.0</v>
      </c>
      <c r="E16" s="10" t="s">
        <v>19</v>
      </c>
      <c r="F16" s="10" t="s">
        <v>135</v>
      </c>
      <c r="G16" s="11">
        <v>0.01050925925925926</v>
      </c>
      <c r="H16" s="37" t="str">
        <f>HYPERLINK("https://www.strava.com/activities/2833781846","Strava")</f>
        <v>Strava</v>
      </c>
      <c r="I16" s="13" t="s">
        <v>457</v>
      </c>
    </row>
    <row r="17">
      <c r="A17" s="10">
        <v>75.0</v>
      </c>
      <c r="B17" s="10">
        <v>300.0</v>
      </c>
      <c r="C17" s="10">
        <f t="shared" si="1"/>
        <v>4</v>
      </c>
      <c r="D17" s="10">
        <v>183.0</v>
      </c>
      <c r="E17" s="10" t="s">
        <v>19</v>
      </c>
      <c r="F17" s="10" t="s">
        <v>120</v>
      </c>
      <c r="G17" s="11">
        <v>0.01050925925925926</v>
      </c>
      <c r="H17" s="37" t="str">
        <f t="shared" ref="H17:H19" si="6">HYPERLINK("https://www.strava.com/activities/2834186552","Strava")</f>
        <v>Strava</v>
      </c>
      <c r="I17" s="13" t="s">
        <v>456</v>
      </c>
    </row>
    <row r="18">
      <c r="A18" s="10">
        <v>75.0</v>
      </c>
      <c r="B18" s="10">
        <v>300.0</v>
      </c>
      <c r="C18" s="10">
        <f t="shared" si="1"/>
        <v>4</v>
      </c>
      <c r="D18" s="10">
        <v>183.0</v>
      </c>
      <c r="E18" s="10" t="s">
        <v>19</v>
      </c>
      <c r="F18" s="10" t="s">
        <v>118</v>
      </c>
      <c r="G18" s="11">
        <v>0.01050925925925926</v>
      </c>
      <c r="H18" s="37" t="str">
        <f t="shared" si="6"/>
        <v>Strava</v>
      </c>
      <c r="I18" s="13" t="s">
        <v>456</v>
      </c>
    </row>
    <row r="19">
      <c r="A19" s="10">
        <v>75.0</v>
      </c>
      <c r="B19" s="10">
        <v>300.0</v>
      </c>
      <c r="C19" s="10">
        <f t="shared" si="1"/>
        <v>4</v>
      </c>
      <c r="D19" s="10">
        <v>183.0</v>
      </c>
      <c r="E19" s="10" t="s">
        <v>19</v>
      </c>
      <c r="F19" s="10" t="s">
        <v>133</v>
      </c>
      <c r="G19" s="11">
        <v>0.010520833333333333</v>
      </c>
      <c r="H19" s="37" t="str">
        <f t="shared" si="6"/>
        <v>Strava</v>
      </c>
      <c r="I19" s="13" t="s">
        <v>456</v>
      </c>
    </row>
    <row r="20">
      <c r="A20" s="10">
        <v>75.0</v>
      </c>
      <c r="B20" s="10">
        <v>300.0</v>
      </c>
      <c r="C20" s="10">
        <f t="shared" si="1"/>
        <v>4</v>
      </c>
      <c r="D20" s="10">
        <v>183.0</v>
      </c>
      <c r="E20" s="10" t="s">
        <v>19</v>
      </c>
      <c r="F20" s="10" t="s">
        <v>141</v>
      </c>
      <c r="G20" s="11">
        <v>0.010532407407407407</v>
      </c>
      <c r="H20" s="37" t="str">
        <f>HYPERLINK("https://www.strava.com/activities/2833498283","Strava")</f>
        <v>Strava</v>
      </c>
      <c r="I20" s="13" t="s">
        <v>457</v>
      </c>
    </row>
    <row r="21">
      <c r="A21" s="10">
        <v>75.0</v>
      </c>
      <c r="B21" s="10">
        <v>300.0</v>
      </c>
      <c r="C21" s="10">
        <f t="shared" si="1"/>
        <v>4</v>
      </c>
      <c r="D21" s="10">
        <v>183.0</v>
      </c>
      <c r="E21" s="10" t="s">
        <v>19</v>
      </c>
      <c r="F21" s="10" t="s">
        <v>131</v>
      </c>
      <c r="G21" s="11">
        <v>0.010532407407407407</v>
      </c>
      <c r="H21" s="37" t="str">
        <f t="shared" ref="H21:H25" si="7">HYPERLINK("https://www.strava.com/activities/2834186552","Strava")</f>
        <v>Strava</v>
      </c>
      <c r="I21" s="13" t="s">
        <v>456</v>
      </c>
    </row>
    <row r="22">
      <c r="A22" s="10">
        <v>75.0</v>
      </c>
      <c r="B22" s="10">
        <v>300.0</v>
      </c>
      <c r="C22" s="10">
        <f t="shared" si="1"/>
        <v>4</v>
      </c>
      <c r="D22" s="10">
        <v>183.0</v>
      </c>
      <c r="E22" s="10" t="s">
        <v>19</v>
      </c>
      <c r="F22" s="10" t="s">
        <v>139</v>
      </c>
      <c r="G22" s="11">
        <v>0.010532407407407407</v>
      </c>
      <c r="H22" s="37" t="str">
        <f t="shared" si="7"/>
        <v>Strava</v>
      </c>
      <c r="I22" s="13" t="s">
        <v>456</v>
      </c>
    </row>
    <row r="23">
      <c r="A23" s="10">
        <v>75.0</v>
      </c>
      <c r="B23" s="10">
        <v>300.0</v>
      </c>
      <c r="C23" s="10">
        <f t="shared" si="1"/>
        <v>4</v>
      </c>
      <c r="D23" s="10">
        <v>183.0</v>
      </c>
      <c r="E23" s="10" t="s">
        <v>19</v>
      </c>
      <c r="F23" s="10" t="s">
        <v>137</v>
      </c>
      <c r="G23" s="11">
        <v>0.010532407407407407</v>
      </c>
      <c r="H23" s="37" t="str">
        <f t="shared" si="7"/>
        <v>Strava</v>
      </c>
      <c r="I23" s="13" t="s">
        <v>456</v>
      </c>
    </row>
    <row r="24">
      <c r="A24" s="10">
        <v>75.0</v>
      </c>
      <c r="B24" s="10">
        <v>300.0</v>
      </c>
      <c r="C24" s="10">
        <f t="shared" si="1"/>
        <v>4</v>
      </c>
      <c r="D24" s="10">
        <v>183.0</v>
      </c>
      <c r="E24" s="10" t="s">
        <v>19</v>
      </c>
      <c r="F24" s="10" t="s">
        <v>460</v>
      </c>
      <c r="G24" s="11">
        <v>0.010543981481481482</v>
      </c>
      <c r="H24" s="37" t="str">
        <f t="shared" si="7"/>
        <v>Strava</v>
      </c>
      <c r="I24" s="13" t="s">
        <v>456</v>
      </c>
    </row>
    <row r="25">
      <c r="A25" s="10">
        <v>75.0</v>
      </c>
      <c r="B25" s="10">
        <v>300.0</v>
      </c>
      <c r="C25" s="10">
        <f t="shared" si="1"/>
        <v>4</v>
      </c>
      <c r="D25" s="10">
        <v>183.0</v>
      </c>
      <c r="E25" s="10" t="s">
        <v>19</v>
      </c>
      <c r="F25" s="10" t="s">
        <v>188</v>
      </c>
      <c r="G25" s="11">
        <v>0.010543981481481482</v>
      </c>
      <c r="H25" s="37" t="str">
        <f t="shared" si="7"/>
        <v>Strava</v>
      </c>
      <c r="I25" s="13" t="s">
        <v>456</v>
      </c>
    </row>
    <row r="26">
      <c r="A26" s="10">
        <v>75.0</v>
      </c>
      <c r="B26" s="10">
        <v>300.0</v>
      </c>
      <c r="C26" s="10">
        <f t="shared" si="1"/>
        <v>4</v>
      </c>
      <c r="D26" s="10">
        <v>183.0</v>
      </c>
      <c r="E26" s="10" t="s">
        <v>19</v>
      </c>
      <c r="F26" s="10" t="s">
        <v>461</v>
      </c>
      <c r="G26" s="11">
        <v>0.010555555555555556</v>
      </c>
      <c r="H26" s="37" t="str">
        <f>HYPERLINK("https://www.strava.com/activities/2833498283","Strava")</f>
        <v>Strava</v>
      </c>
      <c r="I26" s="13" t="s">
        <v>457</v>
      </c>
    </row>
    <row r="27">
      <c r="A27" s="10">
        <v>75.0</v>
      </c>
      <c r="B27" s="10">
        <v>300.0</v>
      </c>
      <c r="C27" s="10">
        <f t="shared" si="1"/>
        <v>4</v>
      </c>
      <c r="D27" s="10">
        <v>183.0</v>
      </c>
      <c r="E27" s="10" t="s">
        <v>19</v>
      </c>
      <c r="F27" s="10" t="s">
        <v>170</v>
      </c>
      <c r="G27" s="11">
        <v>0.010555555555555556</v>
      </c>
      <c r="H27" s="37" t="str">
        <f>HYPERLINK("https://www.strava.com/activities/2834186552","Strava")</f>
        <v>Strava</v>
      </c>
      <c r="I27" s="13" t="s">
        <v>456</v>
      </c>
    </row>
    <row r="28">
      <c r="A28" s="10">
        <v>75.0</v>
      </c>
      <c r="B28" s="10">
        <v>300.0</v>
      </c>
      <c r="C28" s="10">
        <f t="shared" si="1"/>
        <v>4</v>
      </c>
      <c r="D28" s="10">
        <v>183.0</v>
      </c>
      <c r="E28" s="10" t="s">
        <v>19</v>
      </c>
      <c r="F28" s="10" t="s">
        <v>462</v>
      </c>
      <c r="G28" s="11">
        <v>0.010555555555555556</v>
      </c>
      <c r="H28" s="37" t="str">
        <f>HYPERLINK("https://www.strava.com/activities/2836865749","Strava")</f>
        <v>Strava</v>
      </c>
      <c r="I28" s="13" t="s">
        <v>456</v>
      </c>
    </row>
    <row r="29">
      <c r="A29" s="10">
        <v>75.0</v>
      </c>
      <c r="B29" s="10">
        <v>300.0</v>
      </c>
      <c r="C29" s="10">
        <f t="shared" si="1"/>
        <v>4</v>
      </c>
      <c r="D29" s="10">
        <v>183.0</v>
      </c>
      <c r="E29" s="10" t="s">
        <v>19</v>
      </c>
      <c r="F29" s="10" t="s">
        <v>213</v>
      </c>
      <c r="G29" s="11">
        <v>0.01056712962962963</v>
      </c>
      <c r="H29" s="37" t="str">
        <f>HYPERLINK("https://www.strava.com/activities/2833498283","Strava")</f>
        <v>Strava</v>
      </c>
      <c r="I29" s="13" t="s">
        <v>457</v>
      </c>
    </row>
    <row r="30">
      <c r="A30" s="10">
        <v>75.0</v>
      </c>
      <c r="B30" s="10">
        <v>300.0</v>
      </c>
      <c r="C30" s="10">
        <f t="shared" si="1"/>
        <v>4</v>
      </c>
      <c r="D30" s="10">
        <v>183.0</v>
      </c>
      <c r="E30" s="10" t="s">
        <v>19</v>
      </c>
      <c r="F30" s="10" t="s">
        <v>463</v>
      </c>
      <c r="G30" s="11">
        <v>0.010578703703703703</v>
      </c>
      <c r="H30" s="37" t="str">
        <f t="shared" ref="H30:H33" si="8">HYPERLINK("https://www.strava.com/activities/2836865749","Strava")</f>
        <v>Strava</v>
      </c>
      <c r="I30" s="13" t="s">
        <v>456</v>
      </c>
    </row>
    <row r="31">
      <c r="A31" s="10">
        <v>75.0</v>
      </c>
      <c r="B31" s="10">
        <v>300.0</v>
      </c>
      <c r="C31" s="10">
        <f t="shared" si="1"/>
        <v>4</v>
      </c>
      <c r="D31" s="10">
        <v>183.0</v>
      </c>
      <c r="E31" s="10" t="s">
        <v>19</v>
      </c>
      <c r="F31" s="10" t="s">
        <v>253</v>
      </c>
      <c r="G31" s="11">
        <v>0.010578703703703703</v>
      </c>
      <c r="H31" s="37" t="str">
        <f t="shared" si="8"/>
        <v>Strava</v>
      </c>
      <c r="I31" s="13" t="s">
        <v>456</v>
      </c>
    </row>
    <row r="32">
      <c r="A32" s="10">
        <v>75.0</v>
      </c>
      <c r="B32" s="10">
        <v>300.0</v>
      </c>
      <c r="C32" s="10">
        <f t="shared" si="1"/>
        <v>4</v>
      </c>
      <c r="D32" s="10">
        <v>183.0</v>
      </c>
      <c r="E32" s="10" t="s">
        <v>19</v>
      </c>
      <c r="F32" s="10" t="s">
        <v>464</v>
      </c>
      <c r="G32" s="11">
        <v>0.010601851851851852</v>
      </c>
      <c r="H32" s="37" t="str">
        <f t="shared" si="8"/>
        <v>Strava</v>
      </c>
      <c r="I32" s="13" t="s">
        <v>456</v>
      </c>
    </row>
    <row r="33">
      <c r="A33" s="10">
        <v>75.0</v>
      </c>
      <c r="B33" s="10">
        <v>300.0</v>
      </c>
      <c r="C33" s="10">
        <f t="shared" si="1"/>
        <v>4</v>
      </c>
      <c r="D33" s="10">
        <v>183.0</v>
      </c>
      <c r="E33" s="10" t="s">
        <v>19</v>
      </c>
      <c r="F33" s="10" t="s">
        <v>302</v>
      </c>
      <c r="G33" s="11">
        <v>0.010601851851851852</v>
      </c>
      <c r="H33" s="37" t="str">
        <f t="shared" si="8"/>
        <v>Strava</v>
      </c>
      <c r="I33" s="13" t="s">
        <v>456</v>
      </c>
    </row>
    <row r="34">
      <c r="A34" s="10">
        <v>75.0</v>
      </c>
      <c r="B34" s="10">
        <v>300.0</v>
      </c>
      <c r="C34" s="10">
        <f t="shared" si="1"/>
        <v>4</v>
      </c>
      <c r="D34" s="10">
        <v>183.0</v>
      </c>
      <c r="E34" s="10" t="s">
        <v>270</v>
      </c>
      <c r="F34" s="10" t="s">
        <v>268</v>
      </c>
      <c r="G34" s="11">
        <v>0.009849537037037037</v>
      </c>
      <c r="H34" s="28" t="s">
        <v>465</v>
      </c>
      <c r="I34" s="13" t="s">
        <v>466</v>
      </c>
    </row>
    <row r="35">
      <c r="A35" s="10">
        <v>75.0</v>
      </c>
      <c r="B35" s="10">
        <v>300.0</v>
      </c>
      <c r="C35" s="10">
        <f t="shared" si="1"/>
        <v>4</v>
      </c>
      <c r="D35" s="10">
        <v>183.0</v>
      </c>
      <c r="E35" s="10" t="s">
        <v>268</v>
      </c>
      <c r="F35" s="10" t="s">
        <v>268</v>
      </c>
      <c r="G35" s="11">
        <v>0.00988425925925926</v>
      </c>
      <c r="H35" s="28" t="s">
        <v>465</v>
      </c>
      <c r="I35" s="13" t="s">
        <v>466</v>
      </c>
    </row>
    <row r="36">
      <c r="A36" s="10">
        <v>75.0</v>
      </c>
      <c r="B36" s="10">
        <v>300.0</v>
      </c>
      <c r="C36" s="10">
        <f t="shared" si="1"/>
        <v>4</v>
      </c>
      <c r="D36" s="10">
        <v>183.0</v>
      </c>
      <c r="E36" s="10" t="s">
        <v>272</v>
      </c>
      <c r="F36" s="10" t="s">
        <v>268</v>
      </c>
      <c r="G36" s="11">
        <v>0.00988425925925926</v>
      </c>
      <c r="H36" s="28" t="s">
        <v>467</v>
      </c>
      <c r="I36" s="13" t="s">
        <v>466</v>
      </c>
    </row>
    <row r="37">
      <c r="A37" s="10">
        <v>75.0</v>
      </c>
      <c r="B37" s="10">
        <v>300.0</v>
      </c>
      <c r="C37" s="10">
        <f t="shared" si="1"/>
        <v>4</v>
      </c>
      <c r="D37" s="10">
        <v>183.0</v>
      </c>
      <c r="E37" s="10" t="s">
        <v>266</v>
      </c>
      <c r="F37" s="10" t="s">
        <v>268</v>
      </c>
      <c r="G37" s="11">
        <v>0.00986111111111111</v>
      </c>
      <c r="H37" s="28" t="s">
        <v>467</v>
      </c>
      <c r="I37" s="13" t="s">
        <v>466</v>
      </c>
    </row>
    <row r="38">
      <c r="A38" s="10">
        <v>75.0</v>
      </c>
      <c r="B38" s="10">
        <v>300.0</v>
      </c>
      <c r="C38" s="10">
        <f t="shared" si="1"/>
        <v>4</v>
      </c>
      <c r="D38" s="10">
        <v>183.0</v>
      </c>
      <c r="E38" s="10" t="s">
        <v>284</v>
      </c>
      <c r="F38" s="10" t="s">
        <v>286</v>
      </c>
      <c r="G38" s="11">
        <v>0.00962962962962963</v>
      </c>
      <c r="H38" s="28" t="s">
        <v>467</v>
      </c>
      <c r="I38" s="13" t="s">
        <v>466</v>
      </c>
    </row>
    <row r="39">
      <c r="A39" s="10">
        <v>75.0</v>
      </c>
      <c r="B39" s="10">
        <v>300.0</v>
      </c>
      <c r="C39" s="10">
        <f t="shared" si="1"/>
        <v>4</v>
      </c>
      <c r="D39" s="10">
        <v>183.0</v>
      </c>
      <c r="E39" s="10" t="s">
        <v>286</v>
      </c>
      <c r="F39" s="10" t="s">
        <v>286</v>
      </c>
      <c r="G39" s="11">
        <v>0.009652777777777777</v>
      </c>
      <c r="H39" s="28" t="s">
        <v>467</v>
      </c>
      <c r="I39" s="13" t="s">
        <v>466</v>
      </c>
    </row>
    <row r="40">
      <c r="A40" s="10">
        <v>75.0</v>
      </c>
      <c r="B40" s="10">
        <v>300.0</v>
      </c>
      <c r="C40" s="10">
        <f t="shared" si="1"/>
        <v>4</v>
      </c>
      <c r="D40" s="10">
        <v>183.0</v>
      </c>
      <c r="E40" s="10" t="s">
        <v>291</v>
      </c>
      <c r="F40" s="10" t="s">
        <v>286</v>
      </c>
      <c r="G40" s="11">
        <v>0.00962962962962963</v>
      </c>
      <c r="H40" s="28" t="s">
        <v>467</v>
      </c>
      <c r="I40" s="13" t="s">
        <v>466</v>
      </c>
    </row>
    <row r="41">
      <c r="A41" s="10">
        <v>75.0</v>
      </c>
      <c r="B41" s="10">
        <v>300.0</v>
      </c>
      <c r="C41" s="10">
        <f t="shared" si="1"/>
        <v>4</v>
      </c>
      <c r="D41" s="10">
        <v>183.0</v>
      </c>
      <c r="E41" s="10" t="s">
        <v>289</v>
      </c>
      <c r="F41" s="10" t="s">
        <v>286</v>
      </c>
      <c r="G41" s="11">
        <v>0.009618055555555555</v>
      </c>
      <c r="H41" s="28" t="s">
        <v>467</v>
      </c>
      <c r="I41" s="13" t="s">
        <v>466</v>
      </c>
    </row>
    <row r="42">
      <c r="A42" s="10">
        <v>75.0</v>
      </c>
      <c r="B42" s="10">
        <v>300.0</v>
      </c>
      <c r="C42" s="10">
        <f t="shared" si="1"/>
        <v>4</v>
      </c>
      <c r="D42" s="10">
        <v>183.0</v>
      </c>
      <c r="E42" s="10" t="s">
        <v>406</v>
      </c>
      <c r="F42" s="10" t="s">
        <v>286</v>
      </c>
      <c r="G42" s="11">
        <v>0.009664351851851851</v>
      </c>
      <c r="H42" s="28" t="s">
        <v>468</v>
      </c>
    </row>
    <row r="43">
      <c r="A43" s="10">
        <v>75.0</v>
      </c>
      <c r="B43" s="10">
        <v>300.0</v>
      </c>
      <c r="C43" s="10">
        <f t="shared" si="1"/>
        <v>4</v>
      </c>
      <c r="D43" s="10">
        <v>183.0</v>
      </c>
      <c r="E43" s="10" t="s">
        <v>289</v>
      </c>
      <c r="F43" s="10" t="s">
        <v>286</v>
      </c>
      <c r="G43" s="11">
        <v>0.009675925925925926</v>
      </c>
      <c r="H43" s="28" t="s">
        <v>469</v>
      </c>
      <c r="I43" s="13" t="s">
        <v>470</v>
      </c>
    </row>
    <row r="44">
      <c r="A44" s="10">
        <v>75.0</v>
      </c>
      <c r="B44" s="10">
        <v>300.0</v>
      </c>
      <c r="C44" s="10">
        <f t="shared" si="1"/>
        <v>4</v>
      </c>
      <c r="D44" s="10">
        <v>183.0</v>
      </c>
      <c r="E44" s="10" t="s">
        <v>291</v>
      </c>
      <c r="F44" s="10" t="s">
        <v>286</v>
      </c>
      <c r="G44" s="11">
        <v>0.009675925925925926</v>
      </c>
      <c r="H44" s="28" t="s">
        <v>469</v>
      </c>
      <c r="I44" s="13" t="s">
        <v>470</v>
      </c>
    </row>
    <row r="45">
      <c r="A45" s="10">
        <v>75.0</v>
      </c>
      <c r="B45" s="10">
        <v>300.0</v>
      </c>
      <c r="C45" s="10">
        <f t="shared" si="1"/>
        <v>4</v>
      </c>
      <c r="D45" s="10">
        <v>183.0</v>
      </c>
      <c r="E45" s="10" t="s">
        <v>286</v>
      </c>
      <c r="F45" s="10" t="s">
        <v>286</v>
      </c>
      <c r="G45" s="11">
        <v>0.009699074074074074</v>
      </c>
      <c r="H45" s="28" t="s">
        <v>471</v>
      </c>
      <c r="I45" s="13" t="s">
        <v>470</v>
      </c>
    </row>
    <row r="46">
      <c r="A46" s="10">
        <v>75.0</v>
      </c>
      <c r="B46" s="10">
        <v>300.0</v>
      </c>
      <c r="C46" s="10">
        <f t="shared" si="1"/>
        <v>4</v>
      </c>
      <c r="D46" s="10">
        <v>183.0</v>
      </c>
      <c r="E46" s="10" t="s">
        <v>284</v>
      </c>
      <c r="F46" s="10" t="s">
        <v>286</v>
      </c>
      <c r="G46" s="11">
        <v>0.009675925925925926</v>
      </c>
      <c r="H46" s="28" t="s">
        <v>471</v>
      </c>
      <c r="I46" s="13" t="s">
        <v>470</v>
      </c>
    </row>
    <row r="47">
      <c r="A47" s="10">
        <v>75.0</v>
      </c>
      <c r="B47" s="10">
        <v>300.0</v>
      </c>
      <c r="C47" s="10">
        <f t="shared" si="1"/>
        <v>4</v>
      </c>
      <c r="D47" s="10">
        <v>183.0</v>
      </c>
      <c r="E47" s="10" t="s">
        <v>274</v>
      </c>
      <c r="F47" s="10" t="s">
        <v>268</v>
      </c>
      <c r="G47" s="11">
        <v>0.009895833333333333</v>
      </c>
      <c r="H47" s="28" t="s">
        <v>398</v>
      </c>
    </row>
    <row r="48">
      <c r="A48" s="10"/>
      <c r="B48" s="10"/>
      <c r="C48" s="10"/>
      <c r="D48" s="10"/>
      <c r="E48" s="10"/>
      <c r="F48" s="10"/>
      <c r="G48" s="11"/>
      <c r="H48" s="62"/>
    </row>
    <row r="49">
      <c r="A49" s="10"/>
      <c r="B49" s="10"/>
      <c r="C49" s="10"/>
      <c r="D49" s="10"/>
      <c r="E49" s="10"/>
      <c r="F49" s="10"/>
      <c r="G49" s="11"/>
      <c r="H49" s="62"/>
    </row>
    <row r="50">
      <c r="A50" s="10"/>
      <c r="B50" s="10"/>
      <c r="C50" s="10"/>
      <c r="D50" s="10"/>
      <c r="E50" s="10"/>
      <c r="F50" s="10"/>
      <c r="G50" s="11"/>
      <c r="H50" s="62"/>
    </row>
    <row r="51">
      <c r="A51" s="10"/>
      <c r="B51" s="10"/>
      <c r="C51" s="10"/>
      <c r="D51" s="10"/>
      <c r="E51" s="10"/>
      <c r="F51" s="10"/>
      <c r="G51" s="11"/>
      <c r="H51" s="62"/>
    </row>
    <row r="52">
      <c r="A52" s="10"/>
      <c r="B52" s="10"/>
      <c r="C52" s="10"/>
      <c r="D52" s="10"/>
      <c r="E52" s="10"/>
      <c r="F52" s="10"/>
      <c r="G52" s="11"/>
      <c r="H52" s="62"/>
    </row>
    <row r="53">
      <c r="A53" s="10"/>
      <c r="B53" s="10"/>
      <c r="C53" s="10"/>
      <c r="D53" s="10"/>
      <c r="E53" s="10"/>
      <c r="F53" s="10"/>
      <c r="G53" s="11"/>
      <c r="H53" s="62"/>
    </row>
    <row r="54">
      <c r="A54" s="10"/>
      <c r="B54" s="10"/>
      <c r="C54" s="10"/>
      <c r="D54" s="10"/>
      <c r="E54" s="10"/>
      <c r="F54" s="10"/>
      <c r="G54" s="11"/>
      <c r="H54" s="62"/>
    </row>
    <row r="55">
      <c r="A55" s="10"/>
      <c r="B55" s="10"/>
      <c r="C55" s="10"/>
      <c r="D55" s="10"/>
      <c r="E55" s="10"/>
      <c r="F55" s="10"/>
      <c r="G55" s="11"/>
      <c r="H55" s="62"/>
    </row>
    <row r="56">
      <c r="A56" s="10"/>
      <c r="B56" s="10"/>
      <c r="C56" s="10"/>
      <c r="D56" s="10"/>
      <c r="E56" s="10"/>
      <c r="F56" s="10"/>
      <c r="G56" s="11"/>
      <c r="H56" s="62"/>
    </row>
    <row r="57">
      <c r="A57" s="10"/>
      <c r="B57" s="10"/>
      <c r="C57" s="10"/>
      <c r="D57" s="10"/>
      <c r="E57" s="10"/>
      <c r="F57" s="10"/>
      <c r="G57" s="11"/>
      <c r="H57" s="62"/>
    </row>
    <row r="58">
      <c r="A58" s="10"/>
      <c r="B58" s="10"/>
      <c r="C58" s="10"/>
      <c r="D58" s="10"/>
      <c r="E58" s="10"/>
      <c r="F58" s="10"/>
      <c r="G58" s="11"/>
      <c r="H58" s="62"/>
    </row>
    <row r="59">
      <c r="A59" s="10"/>
      <c r="B59" s="10"/>
      <c r="C59" s="10"/>
      <c r="D59" s="10"/>
      <c r="E59" s="10"/>
      <c r="F59" s="10"/>
      <c r="G59" s="11"/>
      <c r="H59" s="62"/>
    </row>
    <row r="60">
      <c r="A60" s="10"/>
      <c r="B60" s="10"/>
      <c r="C60" s="10"/>
      <c r="D60" s="10"/>
      <c r="E60" s="10"/>
      <c r="F60" s="10"/>
      <c r="G60" s="11"/>
      <c r="H60" s="62"/>
    </row>
    <row r="61">
      <c r="A61" s="10"/>
      <c r="B61" s="10"/>
      <c r="C61" s="10"/>
      <c r="D61" s="10"/>
      <c r="E61" s="10"/>
      <c r="F61" s="10"/>
      <c r="G61" s="11"/>
      <c r="H61" s="62"/>
    </row>
    <row r="62">
      <c r="A62" s="10"/>
      <c r="B62" s="10"/>
      <c r="C62" s="10"/>
      <c r="D62" s="10"/>
      <c r="E62" s="10"/>
      <c r="F62" s="10"/>
      <c r="G62" s="11"/>
      <c r="H62" s="62"/>
    </row>
    <row r="63">
      <c r="A63" s="10"/>
      <c r="B63" s="10"/>
      <c r="C63" s="10"/>
      <c r="D63" s="10"/>
      <c r="E63" s="10"/>
      <c r="F63" s="10"/>
      <c r="G63" s="11"/>
      <c r="H63" s="62"/>
    </row>
    <row r="64">
      <c r="A64" s="10"/>
      <c r="B64" s="10"/>
      <c r="C64" s="10"/>
      <c r="D64" s="10"/>
      <c r="E64" s="10"/>
      <c r="F64" s="10"/>
      <c r="G64" s="11"/>
      <c r="H64" s="62"/>
    </row>
    <row r="65">
      <c r="A65" s="10"/>
      <c r="B65" s="10"/>
      <c r="C65" s="10"/>
      <c r="D65" s="10"/>
      <c r="E65" s="10"/>
      <c r="F65" s="10"/>
      <c r="G65" s="11"/>
      <c r="H65" s="62"/>
    </row>
    <row r="66">
      <c r="A66" s="10"/>
      <c r="B66" s="10"/>
      <c r="C66" s="10"/>
      <c r="D66" s="10"/>
      <c r="E66" s="10"/>
      <c r="F66" s="10"/>
      <c r="G66" s="11"/>
      <c r="H66" s="62"/>
    </row>
    <row r="67">
      <c r="A67" s="10"/>
      <c r="B67" s="10"/>
      <c r="C67" s="10"/>
      <c r="D67" s="10"/>
      <c r="E67" s="10"/>
      <c r="F67" s="10"/>
      <c r="G67" s="11"/>
      <c r="H67" s="62"/>
    </row>
    <row r="68">
      <c r="A68" s="10"/>
      <c r="B68" s="10"/>
      <c r="C68" s="10"/>
      <c r="D68" s="10"/>
      <c r="E68" s="10"/>
      <c r="F68" s="10"/>
      <c r="G68" s="11"/>
      <c r="H68" s="62"/>
    </row>
    <row r="69">
      <c r="E69" s="10"/>
    </row>
    <row r="70">
      <c r="E70" s="10"/>
    </row>
    <row r="71">
      <c r="E71" s="10"/>
    </row>
    <row r="73">
      <c r="E73" s="10"/>
    </row>
    <row r="74">
      <c r="E74" s="10"/>
    </row>
    <row r="75">
      <c r="E75" s="10"/>
    </row>
    <row r="76">
      <c r="A76" s="10"/>
      <c r="B76" s="10"/>
      <c r="C76" s="10"/>
      <c r="D76" s="10"/>
      <c r="E76" s="10"/>
      <c r="F76" s="10"/>
      <c r="G76" s="11"/>
      <c r="H76" s="62"/>
    </row>
    <row r="77">
      <c r="A77" s="10"/>
      <c r="B77" s="10"/>
      <c r="C77" s="10"/>
      <c r="D77" s="10"/>
      <c r="E77" s="10"/>
      <c r="F77" s="10"/>
      <c r="G77" s="11"/>
      <c r="H77" s="62"/>
    </row>
    <row r="78">
      <c r="A78" s="10"/>
      <c r="B78" s="10"/>
      <c r="C78" s="10"/>
      <c r="D78" s="10"/>
      <c r="E78" s="10"/>
      <c r="F78" s="10"/>
      <c r="G78" s="11"/>
      <c r="H78" s="62"/>
    </row>
    <row r="79">
      <c r="A79" s="10"/>
      <c r="B79" s="10"/>
      <c r="C79" s="10"/>
      <c r="D79" s="10"/>
      <c r="E79" s="10"/>
      <c r="F79" s="10"/>
      <c r="G79" s="11"/>
      <c r="H79" s="62"/>
    </row>
    <row r="80">
      <c r="A80" s="10"/>
      <c r="B80" s="10"/>
      <c r="C80" s="10"/>
      <c r="D80" s="10"/>
      <c r="E80" s="10"/>
      <c r="F80" s="10"/>
      <c r="G80" s="11"/>
      <c r="H80" s="62"/>
    </row>
    <row r="81">
      <c r="A81" s="10"/>
      <c r="B81" s="10"/>
      <c r="C81" s="10"/>
      <c r="D81" s="10"/>
      <c r="E81" s="10"/>
      <c r="F81" s="10"/>
      <c r="G81" s="11"/>
      <c r="H81" s="62"/>
    </row>
    <row r="82">
      <c r="A82" s="10"/>
      <c r="B82" s="10"/>
      <c r="C82" s="10"/>
      <c r="D82" s="10"/>
      <c r="E82" s="10"/>
      <c r="F82" s="10"/>
      <c r="G82" s="11"/>
      <c r="H82" s="62"/>
    </row>
    <row r="83">
      <c r="A83" s="10"/>
      <c r="B83" s="10"/>
      <c r="C83" s="10"/>
      <c r="D83" s="10"/>
      <c r="E83" s="10"/>
      <c r="F83" s="10"/>
      <c r="G83" s="11"/>
      <c r="H83" s="62"/>
    </row>
    <row r="84">
      <c r="A84" s="10"/>
      <c r="B84" s="10"/>
      <c r="C84" s="10"/>
      <c r="D84" s="10"/>
      <c r="E84" s="10"/>
      <c r="F84" s="10"/>
      <c r="G84" s="11"/>
      <c r="H84" s="62"/>
    </row>
    <row r="85">
      <c r="A85" s="10"/>
      <c r="B85" s="10"/>
      <c r="C85" s="10"/>
      <c r="D85" s="10"/>
      <c r="E85" s="10"/>
      <c r="F85" s="10"/>
      <c r="G85" s="11"/>
      <c r="H85" s="62"/>
    </row>
    <row r="86">
      <c r="A86" s="10"/>
      <c r="B86" s="10"/>
      <c r="C86" s="10"/>
      <c r="D86" s="10"/>
      <c r="E86" s="10"/>
      <c r="F86" s="10"/>
      <c r="G86" s="11"/>
      <c r="H86" s="62"/>
    </row>
  </sheetData>
  <autoFilter ref="$A$1:$I$47"/>
  <customSheetViews>
    <customSheetView guid="{131ED934-56A5-4A4B-9246-8993FA1F050E}" filter="1" showAutoFilter="1">
      <autoFilter ref="$A$1:$H$86">
        <filterColumn colId="4">
          <filters blank="1">
            <filter val="Lauf True Grit"/>
            <filter val="Canyon Inflite"/>
            <filter val="Tron (Concept Z1)"/>
            <filter val="Specialized Epic S-Works"/>
            <filter val="Canyon Grail"/>
            <filter val="Canyon Lux"/>
            <filter val="Zwift Mountain"/>
            <filter val="Cervelo Aspero"/>
            <filter val="Trek Supercaliber"/>
            <filter val="Scott Spark RC"/>
            <filter val="Zwift Gravel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5">
          <filters blank="1">
            <filter val="ENVE SES 7.8"/>
            <filter val="ENVE SES 6,7"/>
            <filter val="Shimano C40"/>
            <filter val="ENVE SES 8.9"/>
            <filter val="Zwift Safety"/>
            <filter val="ENVE SES 3.4"/>
            <filter val="Lightweight Meilenstein"/>
            <filter val="Shimano C60"/>
            <filter val="Zwift Buffalo Fahrhad"/>
            <filter val="Roval CLX64"/>
            <filter val="Mavic Ultimate UST"/>
            <filter val="ENVE SES 2.2"/>
            <filter val="Tron"/>
            <filter val="Bontrager Aeolus5"/>
            <filter val="Zwift Gravel"/>
            <filter val="Zwift 32mm"/>
            <filter val="Bora Ultra 50"/>
            <filter val="Mavic Comete Pro Carbon SL UST"/>
            <filter val="Zipp 858/Super9"/>
            <filter val="Zwift 50mm"/>
            <filter val="Bora Ultra 35"/>
            <filter val="Zipp 808/Super9"/>
            <filter val="Giant SLR 0"/>
            <filter val="Zipp 454"/>
            <filter val="Zwift Mountain"/>
            <filter val="Zipp 858"/>
            <filter val="Zwift Classic"/>
          </filters>
        </filterColumn>
      </autoFilter>
    </customSheetView>
  </customSheetViews>
  <hyperlinks>
    <hyperlink r:id="rId1" ref="H34"/>
    <hyperlink r:id="rId2" ref="H35"/>
    <hyperlink r:id="rId3" ref="H36"/>
    <hyperlink r:id="rId4" ref="H37"/>
    <hyperlink r:id="rId5" ref="H38"/>
    <hyperlink r:id="rId6" ref="H39"/>
    <hyperlink r:id="rId7" ref="H40"/>
    <hyperlink r:id="rId8" ref="H41"/>
    <hyperlink r:id="rId9" ref="H42"/>
    <hyperlink r:id="rId10" ref="H43"/>
    <hyperlink r:id="rId11" ref="H44"/>
    <hyperlink r:id="rId12" ref="H45"/>
    <hyperlink r:id="rId13" ref="H46"/>
    <hyperlink r:id="rId14" ref="H47"/>
  </hyperlinks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472</v>
      </c>
      <c r="H1" s="1" t="s">
        <v>430</v>
      </c>
      <c r="I1" s="1" t="s">
        <v>473</v>
      </c>
      <c r="J1" s="1" t="s">
        <v>430</v>
      </c>
      <c r="K1" s="1" t="s">
        <v>8</v>
      </c>
    </row>
    <row r="2">
      <c r="A2" s="10">
        <v>75.0</v>
      </c>
      <c r="B2" s="10">
        <v>300.0</v>
      </c>
      <c r="C2" s="10">
        <f t="shared" ref="C2:C65" si="1">B2/A2</f>
        <v>4</v>
      </c>
      <c r="D2" s="10">
        <v>183.0</v>
      </c>
      <c r="E2" s="63" t="s">
        <v>26</v>
      </c>
      <c r="F2" s="10" t="s">
        <v>17</v>
      </c>
      <c r="G2" s="11">
        <v>0.009710648148148149</v>
      </c>
      <c r="H2" s="48">
        <f t="shared" ref="H2:H65" si="2">1-(PERCENTRANK(G:G,G2,4))</f>
        <v>1</v>
      </c>
      <c r="I2" s="11">
        <v>0.009189814814814816</v>
      </c>
      <c r="J2" s="48">
        <f t="shared" ref="J2:J65" si="3">1-(PERCENTRANK(I:I,I2,4))</f>
        <v>1</v>
      </c>
      <c r="K2" s="28" t="s">
        <v>474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63" t="s">
        <v>30</v>
      </c>
      <c r="F3" s="10" t="s">
        <v>17</v>
      </c>
      <c r="G3" s="11">
        <v>0.009710648148148149</v>
      </c>
      <c r="H3" s="48">
        <f t="shared" si="2"/>
        <v>1</v>
      </c>
      <c r="I3" s="11">
        <v>0.00920138888888889</v>
      </c>
      <c r="J3" s="48">
        <f t="shared" si="3"/>
        <v>0.9683</v>
      </c>
      <c r="K3" s="28" t="s">
        <v>475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63" t="s">
        <v>28</v>
      </c>
      <c r="F4" s="10" t="s">
        <v>17</v>
      </c>
      <c r="G4" s="11">
        <v>0.009722222222222222</v>
      </c>
      <c r="H4" s="48">
        <f t="shared" si="2"/>
        <v>0.9683</v>
      </c>
      <c r="I4" s="11">
        <v>0.009189814814814816</v>
      </c>
      <c r="J4" s="48">
        <f t="shared" si="3"/>
        <v>1</v>
      </c>
      <c r="K4" s="28" t="s">
        <v>476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63" t="s">
        <v>32</v>
      </c>
      <c r="F5" s="10" t="s">
        <v>17</v>
      </c>
      <c r="G5" s="11">
        <v>0.009733796296296296</v>
      </c>
      <c r="H5" s="48">
        <f t="shared" si="2"/>
        <v>0.9524</v>
      </c>
      <c r="I5" s="11">
        <v>0.00920138888888889</v>
      </c>
      <c r="J5" s="48">
        <f t="shared" si="3"/>
        <v>0.9683</v>
      </c>
      <c r="K5" s="28" t="s">
        <v>477</v>
      </c>
    </row>
    <row r="6" hidden="1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192</v>
      </c>
      <c r="F6" s="10" t="s">
        <v>11</v>
      </c>
      <c r="G6" s="11">
        <v>0.00986111111111111</v>
      </c>
      <c r="H6" s="48">
        <f t="shared" si="2"/>
        <v>0.7143</v>
      </c>
      <c r="I6" s="11">
        <v>0.009328703703703704</v>
      </c>
      <c r="J6" s="48">
        <f t="shared" si="3"/>
        <v>0.7302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63" t="s">
        <v>34</v>
      </c>
      <c r="F7" s="10" t="s">
        <v>17</v>
      </c>
      <c r="G7" s="11">
        <v>0.009733796296296296</v>
      </c>
      <c r="H7" s="48">
        <f t="shared" si="2"/>
        <v>0.9524</v>
      </c>
      <c r="I7" s="11">
        <v>0.009224537037037036</v>
      </c>
      <c r="J7" s="48">
        <f t="shared" si="3"/>
        <v>0.9365</v>
      </c>
      <c r="K7" s="28" t="s">
        <v>478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63" t="s">
        <v>44</v>
      </c>
      <c r="F8" s="10" t="s">
        <v>17</v>
      </c>
      <c r="G8" s="11">
        <v>0.00974537037037037</v>
      </c>
      <c r="H8" s="48">
        <f t="shared" si="2"/>
        <v>0.9206</v>
      </c>
      <c r="I8" s="11">
        <v>0.009236111111111112</v>
      </c>
      <c r="J8" s="48">
        <f t="shared" si="3"/>
        <v>0.8571</v>
      </c>
      <c r="K8" s="28" t="s">
        <v>479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63" t="s">
        <v>46</v>
      </c>
      <c r="F9" s="10" t="s">
        <v>17</v>
      </c>
      <c r="G9" s="11">
        <v>0.00974537037037037</v>
      </c>
      <c r="H9" s="48">
        <f t="shared" si="2"/>
        <v>0.9206</v>
      </c>
      <c r="I9" s="11">
        <v>0.009236111111111112</v>
      </c>
      <c r="J9" s="48">
        <f t="shared" si="3"/>
        <v>0.8571</v>
      </c>
      <c r="K9" s="28" t="s">
        <v>480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63" t="s">
        <v>36</v>
      </c>
      <c r="F10" s="10" t="s">
        <v>17</v>
      </c>
      <c r="G10" s="11">
        <v>0.00974537037037037</v>
      </c>
      <c r="H10" s="48">
        <f t="shared" si="2"/>
        <v>0.9206</v>
      </c>
      <c r="I10" s="11">
        <v>0.009224537037037036</v>
      </c>
      <c r="J10" s="48">
        <f t="shared" si="3"/>
        <v>0.9365</v>
      </c>
      <c r="K10" s="28" t="s">
        <v>481</v>
      </c>
    </row>
    <row r="11">
      <c r="A11" s="10">
        <v>75.0</v>
      </c>
      <c r="B11" s="10">
        <v>300.0</v>
      </c>
      <c r="C11" s="10">
        <f t="shared" si="1"/>
        <v>4</v>
      </c>
      <c r="D11" s="10">
        <v>183.0</v>
      </c>
      <c r="E11" s="63" t="s">
        <v>48</v>
      </c>
      <c r="F11" s="10" t="s">
        <v>17</v>
      </c>
      <c r="G11" s="11">
        <v>0.00974537037037037</v>
      </c>
      <c r="H11" s="48">
        <f t="shared" si="2"/>
        <v>0.9206</v>
      </c>
      <c r="I11" s="11">
        <v>0.009236111111111112</v>
      </c>
      <c r="J11" s="48">
        <f t="shared" si="3"/>
        <v>0.8571</v>
      </c>
      <c r="K11" s="28" t="s">
        <v>482</v>
      </c>
    </row>
    <row r="12">
      <c r="A12" s="10">
        <v>75.0</v>
      </c>
      <c r="B12" s="10">
        <v>300.0</v>
      </c>
      <c r="C12" s="10">
        <f t="shared" si="1"/>
        <v>4</v>
      </c>
      <c r="D12" s="10">
        <v>183.0</v>
      </c>
      <c r="E12" s="63" t="s">
        <v>50</v>
      </c>
      <c r="F12" s="10" t="s">
        <v>17</v>
      </c>
      <c r="G12" s="11">
        <v>0.00974537037037037</v>
      </c>
      <c r="H12" s="48">
        <f t="shared" si="2"/>
        <v>0.9206</v>
      </c>
      <c r="I12" s="11">
        <v>0.009259259259259259</v>
      </c>
      <c r="J12" s="48">
        <f t="shared" si="3"/>
        <v>0.8095</v>
      </c>
      <c r="K12" s="28" t="s">
        <v>483</v>
      </c>
    </row>
    <row r="13">
      <c r="A13" s="10">
        <v>75.0</v>
      </c>
      <c r="B13" s="10">
        <v>300.0</v>
      </c>
      <c r="C13" s="10">
        <f t="shared" si="1"/>
        <v>4</v>
      </c>
      <c r="D13" s="10">
        <v>183.0</v>
      </c>
      <c r="E13" s="63" t="s">
        <v>40</v>
      </c>
      <c r="F13" s="10" t="s">
        <v>17</v>
      </c>
      <c r="G13" s="11">
        <v>0.00974537037037037</v>
      </c>
      <c r="H13" s="48">
        <f t="shared" si="2"/>
        <v>0.9206</v>
      </c>
      <c r="I13" s="11">
        <v>0.009224537037037036</v>
      </c>
      <c r="J13" s="48">
        <f t="shared" si="3"/>
        <v>0.9365</v>
      </c>
      <c r="K13" s="28" t="s">
        <v>484</v>
      </c>
    </row>
    <row r="14">
      <c r="A14" s="10">
        <v>75.0</v>
      </c>
      <c r="B14" s="10">
        <v>300.0</v>
      </c>
      <c r="C14" s="10">
        <f t="shared" si="1"/>
        <v>4</v>
      </c>
      <c r="D14" s="10">
        <v>183.0</v>
      </c>
      <c r="E14" s="63" t="s">
        <v>52</v>
      </c>
      <c r="F14" s="10" t="s">
        <v>17</v>
      </c>
      <c r="G14" s="11">
        <v>0.00974537037037037</v>
      </c>
      <c r="H14" s="48">
        <f t="shared" si="2"/>
        <v>0.9206</v>
      </c>
      <c r="I14" s="11">
        <v>0.009351851851851853</v>
      </c>
      <c r="J14" s="48">
        <f t="shared" si="3"/>
        <v>0.7143</v>
      </c>
      <c r="K14" s="28" t="s">
        <v>485</v>
      </c>
    </row>
    <row r="15">
      <c r="A15" s="10">
        <v>75.0</v>
      </c>
      <c r="B15" s="10">
        <v>300.0</v>
      </c>
      <c r="C15" s="10">
        <f t="shared" si="1"/>
        <v>4</v>
      </c>
      <c r="D15" s="10">
        <v>183.0</v>
      </c>
      <c r="E15" s="63" t="s">
        <v>42</v>
      </c>
      <c r="F15" s="10" t="s">
        <v>17</v>
      </c>
      <c r="G15" s="11">
        <v>0.00974537037037037</v>
      </c>
      <c r="H15" s="48">
        <f t="shared" si="2"/>
        <v>0.9206</v>
      </c>
      <c r="I15" s="11">
        <v>0.009224537037037036</v>
      </c>
      <c r="J15" s="48">
        <f t="shared" si="3"/>
        <v>0.9365</v>
      </c>
      <c r="K15" s="28" t="s">
        <v>486</v>
      </c>
    </row>
    <row r="16">
      <c r="A16" s="10">
        <v>75.0</v>
      </c>
      <c r="B16" s="10">
        <v>300.0</v>
      </c>
      <c r="C16" s="10">
        <f t="shared" si="1"/>
        <v>4</v>
      </c>
      <c r="D16" s="10">
        <v>183.0</v>
      </c>
      <c r="E16" s="63" t="s">
        <v>38</v>
      </c>
      <c r="F16" s="10" t="s">
        <v>17</v>
      </c>
      <c r="G16" s="11">
        <v>0.009756944444444445</v>
      </c>
      <c r="H16" s="48">
        <f t="shared" si="2"/>
        <v>0.7937</v>
      </c>
      <c r="I16" s="11">
        <v>0.009224537037037036</v>
      </c>
      <c r="J16" s="48">
        <f t="shared" si="3"/>
        <v>0.9365</v>
      </c>
      <c r="K16" s="28" t="s">
        <v>487</v>
      </c>
    </row>
    <row r="17">
      <c r="A17" s="10">
        <v>75.0</v>
      </c>
      <c r="B17" s="10">
        <v>300.0</v>
      </c>
      <c r="C17" s="10">
        <f t="shared" si="1"/>
        <v>4</v>
      </c>
      <c r="D17" s="10">
        <v>183.0</v>
      </c>
      <c r="E17" s="63" t="s">
        <v>56</v>
      </c>
      <c r="F17" s="10" t="s">
        <v>17</v>
      </c>
      <c r="G17" s="11">
        <v>0.00980324074074074</v>
      </c>
      <c r="H17" s="48">
        <f t="shared" si="2"/>
        <v>0.7778</v>
      </c>
      <c r="I17" s="11">
        <v>0.009282407407407408</v>
      </c>
      <c r="J17" s="48">
        <f t="shared" si="3"/>
        <v>0.7937</v>
      </c>
      <c r="K17" s="28" t="s">
        <v>488</v>
      </c>
    </row>
    <row r="18">
      <c r="A18" s="10">
        <v>75.0</v>
      </c>
      <c r="B18" s="10">
        <v>300.0</v>
      </c>
      <c r="C18" s="10">
        <f t="shared" si="1"/>
        <v>4</v>
      </c>
      <c r="D18" s="10">
        <v>183.0</v>
      </c>
      <c r="E18" s="10" t="s">
        <v>58</v>
      </c>
      <c r="F18" s="10" t="s">
        <v>17</v>
      </c>
      <c r="G18" s="11">
        <v>0.01</v>
      </c>
      <c r="H18" s="48">
        <f t="shared" si="2"/>
        <v>0.6984</v>
      </c>
      <c r="I18" s="11">
        <v>0.009444444444444445</v>
      </c>
      <c r="J18" s="48">
        <f t="shared" si="3"/>
        <v>0.6984</v>
      </c>
      <c r="K18" s="28" t="s">
        <v>489</v>
      </c>
    </row>
    <row r="19">
      <c r="A19" s="10">
        <v>75.0</v>
      </c>
      <c r="B19" s="10">
        <v>300.0</v>
      </c>
      <c r="C19" s="10">
        <f t="shared" si="1"/>
        <v>4</v>
      </c>
      <c r="D19" s="10">
        <v>183.0</v>
      </c>
      <c r="E19" s="10" t="s">
        <v>61</v>
      </c>
      <c r="F19" s="10" t="s">
        <v>17</v>
      </c>
      <c r="G19" s="11">
        <v>0.01</v>
      </c>
      <c r="H19" s="48">
        <f t="shared" si="2"/>
        <v>0.6984</v>
      </c>
      <c r="I19" s="11">
        <v>0.009444444444444445</v>
      </c>
      <c r="J19" s="48">
        <f t="shared" si="3"/>
        <v>0.6984</v>
      </c>
      <c r="K19" s="28" t="s">
        <v>490</v>
      </c>
    </row>
    <row r="20">
      <c r="A20" s="10">
        <v>75.0</v>
      </c>
      <c r="B20" s="10">
        <v>300.0</v>
      </c>
      <c r="C20" s="10">
        <f t="shared" si="1"/>
        <v>4</v>
      </c>
      <c r="D20" s="10">
        <v>183.0</v>
      </c>
      <c r="E20" s="10" t="s">
        <v>67</v>
      </c>
      <c r="F20" s="10" t="s">
        <v>17</v>
      </c>
      <c r="G20" s="11">
        <v>0.010011574074074074</v>
      </c>
      <c r="H20" s="48">
        <f t="shared" si="2"/>
        <v>0.6667</v>
      </c>
      <c r="I20" s="11">
        <v>0.009456018518518518</v>
      </c>
      <c r="J20" s="48">
        <f t="shared" si="3"/>
        <v>0.6032</v>
      </c>
      <c r="K20" s="28" t="s">
        <v>491</v>
      </c>
    </row>
    <row r="21">
      <c r="A21" s="10">
        <v>75.0</v>
      </c>
      <c r="B21" s="10">
        <v>300.0</v>
      </c>
      <c r="C21" s="10">
        <f t="shared" si="1"/>
        <v>4</v>
      </c>
      <c r="D21" s="10">
        <v>183.0</v>
      </c>
      <c r="E21" s="10" t="s">
        <v>75</v>
      </c>
      <c r="F21" s="10" t="s">
        <v>17</v>
      </c>
      <c r="G21" s="11">
        <v>0.010011574074074074</v>
      </c>
      <c r="H21" s="48">
        <f t="shared" si="2"/>
        <v>0.6667</v>
      </c>
      <c r="I21" s="11">
        <v>0.009467592592592593</v>
      </c>
      <c r="J21" s="48">
        <f t="shared" si="3"/>
        <v>0.5873</v>
      </c>
      <c r="K21" s="28" t="s">
        <v>492</v>
      </c>
    </row>
    <row r="22">
      <c r="A22" s="10">
        <v>75.0</v>
      </c>
      <c r="B22" s="10">
        <v>300.0</v>
      </c>
      <c r="C22" s="10">
        <f t="shared" si="1"/>
        <v>4</v>
      </c>
      <c r="D22" s="10">
        <v>183.0</v>
      </c>
      <c r="E22" s="10" t="s">
        <v>77</v>
      </c>
      <c r="F22" s="10" t="s">
        <v>17</v>
      </c>
      <c r="G22" s="11">
        <v>0.010011574074074074</v>
      </c>
      <c r="H22" s="48">
        <f t="shared" si="2"/>
        <v>0.6667</v>
      </c>
      <c r="I22" s="11">
        <v>0.009467592592592593</v>
      </c>
      <c r="J22" s="48">
        <f t="shared" si="3"/>
        <v>0.5873</v>
      </c>
      <c r="K22" s="28" t="s">
        <v>493</v>
      </c>
    </row>
    <row r="23" hidden="1">
      <c r="A23" s="10">
        <v>75.0</v>
      </c>
      <c r="B23" s="10">
        <v>300.0</v>
      </c>
      <c r="C23" s="10">
        <f t="shared" si="1"/>
        <v>4</v>
      </c>
      <c r="D23" s="10">
        <v>183.0</v>
      </c>
      <c r="E23" s="10" t="s">
        <v>61</v>
      </c>
      <c r="F23" s="10" t="s">
        <v>11</v>
      </c>
      <c r="G23" s="11">
        <v>0.009837962962962963</v>
      </c>
      <c r="H23" s="48">
        <f t="shared" si="2"/>
        <v>0.746</v>
      </c>
      <c r="I23" s="11">
        <v>0.009293981481481481</v>
      </c>
      <c r="J23" s="48">
        <f t="shared" si="3"/>
        <v>0.7778</v>
      </c>
      <c r="K23" s="28" t="s">
        <v>494</v>
      </c>
    </row>
    <row r="24">
      <c r="A24" s="10">
        <v>75.0</v>
      </c>
      <c r="B24" s="10">
        <v>300.0</v>
      </c>
      <c r="C24" s="10">
        <f t="shared" si="1"/>
        <v>4</v>
      </c>
      <c r="D24" s="10">
        <v>183.0</v>
      </c>
      <c r="E24" s="10" t="s">
        <v>9</v>
      </c>
      <c r="F24" s="10" t="s">
        <v>17</v>
      </c>
      <c r="G24" s="11">
        <v>0.010011574074074074</v>
      </c>
      <c r="H24" s="48">
        <f t="shared" si="2"/>
        <v>0.6667</v>
      </c>
      <c r="I24" s="11">
        <v>0.009444444444444445</v>
      </c>
      <c r="J24" s="48">
        <f t="shared" si="3"/>
        <v>0.6984</v>
      </c>
      <c r="K24" s="28" t="s">
        <v>495</v>
      </c>
    </row>
    <row r="25">
      <c r="A25" s="10">
        <v>75.0</v>
      </c>
      <c r="B25" s="10">
        <v>300.0</v>
      </c>
      <c r="C25" s="10">
        <f t="shared" si="1"/>
        <v>4</v>
      </c>
      <c r="D25" s="10">
        <v>183.0</v>
      </c>
      <c r="E25" s="10" t="s">
        <v>63</v>
      </c>
      <c r="F25" s="10" t="s">
        <v>17</v>
      </c>
      <c r="G25" s="11">
        <v>0.010011574074074074</v>
      </c>
      <c r="H25" s="48">
        <f t="shared" si="2"/>
        <v>0.6667</v>
      </c>
      <c r="I25" s="11">
        <v>0.009444444444444445</v>
      </c>
      <c r="J25" s="48">
        <f t="shared" si="3"/>
        <v>0.6984</v>
      </c>
      <c r="K25" s="28" t="s">
        <v>496</v>
      </c>
    </row>
    <row r="26">
      <c r="A26" s="10">
        <v>75.0</v>
      </c>
      <c r="B26" s="10">
        <v>300.0</v>
      </c>
      <c r="C26" s="10">
        <f t="shared" si="1"/>
        <v>4</v>
      </c>
      <c r="D26" s="10">
        <v>183.0</v>
      </c>
      <c r="E26" s="10" t="s">
        <v>73</v>
      </c>
      <c r="F26" s="10" t="s">
        <v>17</v>
      </c>
      <c r="G26" s="11">
        <v>0.010011574074074074</v>
      </c>
      <c r="H26" s="48">
        <f t="shared" si="2"/>
        <v>0.6667</v>
      </c>
      <c r="I26" s="11">
        <v>0.009444444444444445</v>
      </c>
      <c r="J26" s="48">
        <f t="shared" si="3"/>
        <v>0.6984</v>
      </c>
      <c r="K26" s="13" t="s">
        <v>497</v>
      </c>
    </row>
    <row r="27">
      <c r="A27" s="10">
        <v>75.0</v>
      </c>
      <c r="B27" s="10">
        <v>300.0</v>
      </c>
      <c r="C27" s="10">
        <f t="shared" si="1"/>
        <v>4</v>
      </c>
      <c r="D27" s="10">
        <v>183.0</v>
      </c>
      <c r="E27" s="10" t="s">
        <v>168</v>
      </c>
      <c r="F27" s="10" t="s">
        <v>17</v>
      </c>
      <c r="G27" s="11">
        <v>0.010023148148148147</v>
      </c>
      <c r="H27" s="48">
        <f t="shared" si="2"/>
        <v>0.5714</v>
      </c>
      <c r="I27" s="11">
        <v>0.009467592592592593</v>
      </c>
      <c r="J27" s="48">
        <f t="shared" si="3"/>
        <v>0.5873</v>
      </c>
      <c r="K27" s="28" t="s">
        <v>498</v>
      </c>
    </row>
    <row r="28">
      <c r="A28" s="10">
        <v>75.0</v>
      </c>
      <c r="B28" s="10">
        <v>300.0</v>
      </c>
      <c r="C28" s="10">
        <f t="shared" si="1"/>
        <v>4</v>
      </c>
      <c r="D28" s="10">
        <v>183.0</v>
      </c>
      <c r="E28" s="10" t="s">
        <v>164</v>
      </c>
      <c r="F28" s="10" t="s">
        <v>17</v>
      </c>
      <c r="G28" s="11">
        <v>0.010023148148148147</v>
      </c>
      <c r="H28" s="48">
        <f t="shared" si="2"/>
        <v>0.5714</v>
      </c>
      <c r="I28" s="11">
        <v>0.009467592592592593</v>
      </c>
      <c r="J28" s="48">
        <f t="shared" si="3"/>
        <v>0.5873</v>
      </c>
      <c r="K28" s="28" t="s">
        <v>499</v>
      </c>
    </row>
    <row r="29">
      <c r="A29" s="10">
        <v>75.0</v>
      </c>
      <c r="B29" s="10">
        <v>300.0</v>
      </c>
      <c r="C29" s="10">
        <f t="shared" si="1"/>
        <v>4</v>
      </c>
      <c r="D29" s="10">
        <v>183.0</v>
      </c>
      <c r="E29" s="10" t="s">
        <v>71</v>
      </c>
      <c r="F29" s="10" t="s">
        <v>17</v>
      </c>
      <c r="G29" s="11">
        <v>0.010023148148148147</v>
      </c>
      <c r="H29" s="48">
        <f t="shared" si="2"/>
        <v>0.5714</v>
      </c>
      <c r="I29" s="11">
        <v>0.009444444444444445</v>
      </c>
      <c r="J29" s="48">
        <f t="shared" si="3"/>
        <v>0.6984</v>
      </c>
      <c r="K29" s="28" t="s">
        <v>500</v>
      </c>
    </row>
    <row r="30">
      <c r="A30" s="10">
        <v>75.0</v>
      </c>
      <c r="B30" s="10">
        <v>300.0</v>
      </c>
      <c r="C30" s="10">
        <f t="shared" si="1"/>
        <v>4</v>
      </c>
      <c r="D30" s="10">
        <v>183.0</v>
      </c>
      <c r="E30" s="10" t="s">
        <v>19</v>
      </c>
      <c r="F30" s="10" t="s">
        <v>17</v>
      </c>
      <c r="G30" s="11">
        <v>0.010023148148148147</v>
      </c>
      <c r="H30" s="48">
        <f t="shared" si="2"/>
        <v>0.5714</v>
      </c>
      <c r="I30" s="11">
        <v>0.009479166666666667</v>
      </c>
      <c r="J30" s="48">
        <f t="shared" si="3"/>
        <v>0.4921</v>
      </c>
      <c r="K30" s="28" t="s">
        <v>501</v>
      </c>
    </row>
    <row r="31">
      <c r="A31" s="10">
        <v>75.0</v>
      </c>
      <c r="B31" s="10">
        <v>300.0</v>
      </c>
      <c r="C31" s="10">
        <f t="shared" si="1"/>
        <v>4</v>
      </c>
      <c r="D31" s="10">
        <v>183.0</v>
      </c>
      <c r="E31" s="10" t="s">
        <v>502</v>
      </c>
      <c r="F31" s="10" t="s">
        <v>17</v>
      </c>
      <c r="G31" s="11">
        <v>0.010034722222222223</v>
      </c>
      <c r="H31" s="48">
        <f t="shared" si="2"/>
        <v>0.5079</v>
      </c>
      <c r="I31" s="11">
        <v>0.009479166666666667</v>
      </c>
      <c r="J31" s="48">
        <f t="shared" si="3"/>
        <v>0.4921</v>
      </c>
      <c r="K31" s="28" t="s">
        <v>503</v>
      </c>
    </row>
    <row r="32">
      <c r="A32" s="10">
        <v>75.0</v>
      </c>
      <c r="B32" s="10">
        <v>300.0</v>
      </c>
      <c r="C32" s="10">
        <f t="shared" si="1"/>
        <v>4</v>
      </c>
      <c r="D32" s="10">
        <v>183.0</v>
      </c>
      <c r="E32" s="10" t="s">
        <v>199</v>
      </c>
      <c r="F32" s="10" t="s">
        <v>17</v>
      </c>
      <c r="G32" s="11">
        <v>0.010034722222222223</v>
      </c>
      <c r="H32" s="48">
        <f t="shared" si="2"/>
        <v>0.5079</v>
      </c>
      <c r="I32" s="11">
        <v>0.00949074074074074</v>
      </c>
      <c r="J32" s="48">
        <f t="shared" si="3"/>
        <v>0.3492</v>
      </c>
      <c r="K32" s="28" t="s">
        <v>504</v>
      </c>
    </row>
    <row r="33">
      <c r="A33" s="10">
        <v>75.0</v>
      </c>
      <c r="B33" s="10">
        <v>300.0</v>
      </c>
      <c r="C33" s="10">
        <f t="shared" si="1"/>
        <v>4</v>
      </c>
      <c r="D33" s="10">
        <v>183.0</v>
      </c>
      <c r="E33" s="10" t="s">
        <v>179</v>
      </c>
      <c r="F33" s="10" t="s">
        <v>17</v>
      </c>
      <c r="G33" s="11">
        <v>0.010034722222222223</v>
      </c>
      <c r="H33" s="48">
        <f t="shared" si="2"/>
        <v>0.5079</v>
      </c>
      <c r="I33" s="11">
        <v>0.009467592592592593</v>
      </c>
      <c r="J33" s="48">
        <f t="shared" si="3"/>
        <v>0.5873</v>
      </c>
      <c r="K33" s="28" t="s">
        <v>505</v>
      </c>
    </row>
    <row r="34">
      <c r="A34" s="10">
        <v>75.0</v>
      </c>
      <c r="B34" s="10">
        <v>300.0</v>
      </c>
      <c r="C34" s="10">
        <f t="shared" si="1"/>
        <v>4</v>
      </c>
      <c r="D34" s="10">
        <v>183.0</v>
      </c>
      <c r="E34" s="10" t="s">
        <v>205</v>
      </c>
      <c r="F34" s="10" t="s">
        <v>17</v>
      </c>
      <c r="G34" s="11">
        <v>0.010034722222222223</v>
      </c>
      <c r="H34" s="48">
        <f t="shared" si="2"/>
        <v>0.5079</v>
      </c>
      <c r="I34" s="11">
        <v>0.009479166666666667</v>
      </c>
      <c r="J34" s="48">
        <f t="shared" si="3"/>
        <v>0.4921</v>
      </c>
      <c r="K34" s="28" t="s">
        <v>506</v>
      </c>
    </row>
    <row r="35">
      <c r="A35" s="10">
        <v>75.0</v>
      </c>
      <c r="B35" s="10">
        <v>300.0</v>
      </c>
      <c r="C35" s="10">
        <f t="shared" si="1"/>
        <v>4</v>
      </c>
      <c r="D35" s="10">
        <v>183.0</v>
      </c>
      <c r="E35" s="10" t="s">
        <v>190</v>
      </c>
      <c r="F35" s="10" t="s">
        <v>17</v>
      </c>
      <c r="G35" s="11">
        <v>0.010034722222222223</v>
      </c>
      <c r="H35" s="48">
        <f t="shared" si="2"/>
        <v>0.5079</v>
      </c>
      <c r="I35" s="11">
        <v>0.009467592592592593</v>
      </c>
      <c r="J35" s="48">
        <f t="shared" si="3"/>
        <v>0.5873</v>
      </c>
      <c r="K35" s="28" t="s">
        <v>507</v>
      </c>
    </row>
    <row r="36">
      <c r="A36" s="10">
        <v>75.0</v>
      </c>
      <c r="B36" s="10">
        <v>300.0</v>
      </c>
      <c r="C36" s="10">
        <f t="shared" si="1"/>
        <v>4</v>
      </c>
      <c r="D36" s="10">
        <v>183.0</v>
      </c>
      <c r="E36" s="10" t="s">
        <v>209</v>
      </c>
      <c r="F36" s="10" t="s">
        <v>17</v>
      </c>
      <c r="G36" s="11">
        <v>0.010046296296296296</v>
      </c>
      <c r="H36" s="48">
        <f t="shared" si="2"/>
        <v>0.4286</v>
      </c>
      <c r="I36" s="11">
        <v>0.009583333333333333</v>
      </c>
      <c r="J36" s="48">
        <f t="shared" si="3"/>
        <v>0</v>
      </c>
      <c r="K36" s="28" t="s">
        <v>508</v>
      </c>
    </row>
    <row r="37">
      <c r="A37" s="10">
        <v>75.0</v>
      </c>
      <c r="B37" s="10">
        <v>300.0</v>
      </c>
      <c r="C37" s="10">
        <f t="shared" si="1"/>
        <v>4</v>
      </c>
      <c r="D37" s="10">
        <v>183.0</v>
      </c>
      <c r="E37" s="10" t="s">
        <v>192</v>
      </c>
      <c r="F37" s="10" t="s">
        <v>17</v>
      </c>
      <c r="G37" s="11">
        <v>0.010046296296296296</v>
      </c>
      <c r="H37" s="48">
        <f t="shared" si="2"/>
        <v>0.4286</v>
      </c>
      <c r="I37" s="11">
        <v>0.009479166666666667</v>
      </c>
      <c r="J37" s="48">
        <f t="shared" si="3"/>
        <v>0.4921</v>
      </c>
      <c r="K37" s="28" t="s">
        <v>509</v>
      </c>
    </row>
    <row r="38">
      <c r="A38" s="10">
        <v>75.0</v>
      </c>
      <c r="B38" s="10">
        <v>300.0</v>
      </c>
      <c r="C38" s="10">
        <f t="shared" si="1"/>
        <v>4</v>
      </c>
      <c r="D38" s="10">
        <v>183.0</v>
      </c>
      <c r="E38" s="10" t="s">
        <v>251</v>
      </c>
      <c r="F38" s="10" t="s">
        <v>17</v>
      </c>
      <c r="G38" s="11">
        <v>0.010046296296296296</v>
      </c>
      <c r="H38" s="48">
        <f t="shared" si="2"/>
        <v>0.4286</v>
      </c>
      <c r="I38" s="11">
        <v>0.00949074074074074</v>
      </c>
      <c r="J38" s="48">
        <f t="shared" si="3"/>
        <v>0.3492</v>
      </c>
      <c r="K38" s="28" t="s">
        <v>491</v>
      </c>
    </row>
    <row r="39">
      <c r="A39" s="10">
        <v>75.0</v>
      </c>
      <c r="B39" s="10">
        <v>300.0</v>
      </c>
      <c r="C39" s="10">
        <f t="shared" si="1"/>
        <v>4</v>
      </c>
      <c r="D39" s="10">
        <v>183.0</v>
      </c>
      <c r="E39" s="10" t="s">
        <v>233</v>
      </c>
      <c r="F39" s="10" t="s">
        <v>17</v>
      </c>
      <c r="G39" s="11">
        <v>0.010046296296296296</v>
      </c>
      <c r="H39" s="48">
        <f t="shared" si="2"/>
        <v>0.4286</v>
      </c>
      <c r="I39" s="11">
        <v>0.009479166666666667</v>
      </c>
      <c r="J39" s="48">
        <f t="shared" si="3"/>
        <v>0.4921</v>
      </c>
      <c r="K39" s="28" t="s">
        <v>510</v>
      </c>
    </row>
    <row r="40">
      <c r="A40" s="10">
        <v>75.0</v>
      </c>
      <c r="B40" s="10">
        <v>300.0</v>
      </c>
      <c r="C40" s="10">
        <f t="shared" si="1"/>
        <v>4</v>
      </c>
      <c r="D40" s="10">
        <v>183.0</v>
      </c>
      <c r="E40" s="10" t="s">
        <v>211</v>
      </c>
      <c r="F40" s="10" t="s">
        <v>17</v>
      </c>
      <c r="G40" s="11">
        <v>0.010046296296296296</v>
      </c>
      <c r="H40" s="48">
        <f t="shared" si="2"/>
        <v>0.4286</v>
      </c>
      <c r="I40" s="11">
        <v>0.00949074074074074</v>
      </c>
      <c r="J40" s="48">
        <f t="shared" si="3"/>
        <v>0.3492</v>
      </c>
      <c r="K40" s="28" t="s">
        <v>511</v>
      </c>
    </row>
    <row r="41">
      <c r="A41" s="10">
        <v>75.0</v>
      </c>
      <c r="B41" s="10">
        <v>300.0</v>
      </c>
      <c r="C41" s="10">
        <f t="shared" si="1"/>
        <v>4</v>
      </c>
      <c r="D41" s="10">
        <v>183.0</v>
      </c>
      <c r="E41" s="10" t="s">
        <v>235</v>
      </c>
      <c r="F41" s="10" t="s">
        <v>17</v>
      </c>
      <c r="G41" s="11">
        <v>0.010046296296296296</v>
      </c>
      <c r="H41" s="48">
        <f t="shared" si="2"/>
        <v>0.4286</v>
      </c>
      <c r="I41" s="11">
        <v>0.009479166666666667</v>
      </c>
      <c r="J41" s="48">
        <f t="shared" si="3"/>
        <v>0.4921</v>
      </c>
      <c r="K41" s="28" t="s">
        <v>512</v>
      </c>
    </row>
    <row r="42">
      <c r="A42" s="10">
        <v>75.0</v>
      </c>
      <c r="B42" s="10">
        <v>300.0</v>
      </c>
      <c r="C42" s="10">
        <f t="shared" si="1"/>
        <v>4</v>
      </c>
      <c r="D42" s="10">
        <v>183.0</v>
      </c>
      <c r="E42" s="10" t="s">
        <v>203</v>
      </c>
      <c r="F42" s="10" t="s">
        <v>17</v>
      </c>
      <c r="G42" s="11">
        <v>0.010046296296296296</v>
      </c>
      <c r="H42" s="48">
        <f t="shared" si="2"/>
        <v>0.4286</v>
      </c>
      <c r="I42" s="11">
        <v>0.00949074074074074</v>
      </c>
      <c r="J42" s="48">
        <f t="shared" si="3"/>
        <v>0.3492</v>
      </c>
      <c r="K42" s="28" t="s">
        <v>513</v>
      </c>
    </row>
    <row r="43">
      <c r="A43" s="10">
        <v>75.0</v>
      </c>
      <c r="B43" s="10">
        <v>300.0</v>
      </c>
      <c r="C43" s="10">
        <f t="shared" si="1"/>
        <v>4</v>
      </c>
      <c r="D43" s="10">
        <v>183.0</v>
      </c>
      <c r="E43" s="10" t="s">
        <v>258</v>
      </c>
      <c r="F43" s="10" t="s">
        <v>17</v>
      </c>
      <c r="G43" s="11">
        <v>0.010046296296296296</v>
      </c>
      <c r="H43" s="48">
        <f t="shared" si="2"/>
        <v>0.4286</v>
      </c>
      <c r="I43" s="11">
        <v>0.00949074074074074</v>
      </c>
      <c r="J43" s="48">
        <f t="shared" si="3"/>
        <v>0.3492</v>
      </c>
      <c r="K43" s="28" t="s">
        <v>514</v>
      </c>
    </row>
    <row r="44">
      <c r="A44" s="10">
        <v>75.0</v>
      </c>
      <c r="B44" s="10">
        <v>300.0</v>
      </c>
      <c r="C44" s="10">
        <f t="shared" si="1"/>
        <v>4</v>
      </c>
      <c r="D44" s="10">
        <v>183.0</v>
      </c>
      <c r="E44" s="10" t="s">
        <v>264</v>
      </c>
      <c r="F44" s="10" t="s">
        <v>17</v>
      </c>
      <c r="G44" s="11">
        <v>0.010046296296296296</v>
      </c>
      <c r="H44" s="48">
        <f t="shared" si="2"/>
        <v>0.4286</v>
      </c>
      <c r="I44" s="11">
        <v>0.00949074074074074</v>
      </c>
      <c r="J44" s="48">
        <f t="shared" si="3"/>
        <v>0.3492</v>
      </c>
      <c r="K44" s="28" t="s">
        <v>515</v>
      </c>
    </row>
    <row r="45">
      <c r="A45" s="10">
        <v>75.0</v>
      </c>
      <c r="B45" s="10">
        <v>300.0</v>
      </c>
      <c r="C45" s="10">
        <f t="shared" si="1"/>
        <v>4</v>
      </c>
      <c r="D45" s="10">
        <v>183.0</v>
      </c>
      <c r="E45" s="10" t="s">
        <v>241</v>
      </c>
      <c r="F45" s="10" t="s">
        <v>17</v>
      </c>
      <c r="G45" s="11">
        <v>0.010046296296296296</v>
      </c>
      <c r="H45" s="48">
        <f t="shared" si="2"/>
        <v>0.4286</v>
      </c>
      <c r="I45" s="11">
        <v>0.00949074074074074</v>
      </c>
      <c r="J45" s="48">
        <f t="shared" si="3"/>
        <v>0.3492</v>
      </c>
      <c r="K45" s="28" t="s">
        <v>516</v>
      </c>
    </row>
    <row r="46">
      <c r="A46" s="10">
        <v>75.0</v>
      </c>
      <c r="B46" s="10">
        <v>300.0</v>
      </c>
      <c r="C46" s="10">
        <f t="shared" si="1"/>
        <v>4</v>
      </c>
      <c r="D46" s="10">
        <v>183.0</v>
      </c>
      <c r="E46" s="10" t="s">
        <v>221</v>
      </c>
      <c r="F46" s="10" t="s">
        <v>17</v>
      </c>
      <c r="G46" s="11">
        <v>0.010046296296296296</v>
      </c>
      <c r="H46" s="48">
        <f t="shared" si="2"/>
        <v>0.4286</v>
      </c>
      <c r="I46" s="11">
        <v>0.00949074074074074</v>
      </c>
      <c r="J46" s="48">
        <f t="shared" si="3"/>
        <v>0.3492</v>
      </c>
      <c r="K46" s="28" t="s">
        <v>517</v>
      </c>
    </row>
    <row r="47">
      <c r="A47" s="10">
        <v>75.0</v>
      </c>
      <c r="B47" s="10">
        <v>300.0</v>
      </c>
      <c r="C47" s="10">
        <f t="shared" si="1"/>
        <v>4</v>
      </c>
      <c r="D47" s="10">
        <v>183.0</v>
      </c>
      <c r="E47" s="10" t="s">
        <v>94</v>
      </c>
      <c r="F47" s="10" t="s">
        <v>17</v>
      </c>
      <c r="G47" s="11">
        <v>0.010046296296296296</v>
      </c>
      <c r="H47" s="48">
        <f t="shared" si="2"/>
        <v>0.4286</v>
      </c>
      <c r="I47" s="11">
        <v>0.009479166666666667</v>
      </c>
      <c r="J47" s="48">
        <f t="shared" si="3"/>
        <v>0.4921</v>
      </c>
      <c r="K47" s="28" t="s">
        <v>518</v>
      </c>
    </row>
    <row r="48">
      <c r="A48" s="10">
        <v>75.0</v>
      </c>
      <c r="B48" s="10">
        <v>300.0</v>
      </c>
      <c r="C48" s="10">
        <f t="shared" si="1"/>
        <v>4</v>
      </c>
      <c r="D48" s="10">
        <v>183.0</v>
      </c>
      <c r="E48" s="10" t="s">
        <v>225</v>
      </c>
      <c r="F48" s="10" t="s">
        <v>17</v>
      </c>
      <c r="G48" s="11">
        <v>0.010046296296296296</v>
      </c>
      <c r="H48" s="48">
        <f t="shared" si="2"/>
        <v>0.4286</v>
      </c>
      <c r="I48" s="11">
        <v>0.00949074074074074</v>
      </c>
      <c r="J48" s="48">
        <f t="shared" si="3"/>
        <v>0.3492</v>
      </c>
      <c r="K48" s="28" t="s">
        <v>519</v>
      </c>
    </row>
    <row r="49">
      <c r="A49" s="10">
        <v>75.0</v>
      </c>
      <c r="B49" s="10">
        <v>300.0</v>
      </c>
      <c r="C49" s="10">
        <f t="shared" si="1"/>
        <v>4</v>
      </c>
      <c r="D49" s="10">
        <v>183.0</v>
      </c>
      <c r="E49" s="10" t="s">
        <v>231</v>
      </c>
      <c r="F49" s="10" t="s">
        <v>17</v>
      </c>
      <c r="G49" s="11">
        <v>0.01005787037037037</v>
      </c>
      <c r="H49" s="48">
        <f t="shared" si="2"/>
        <v>0.2222</v>
      </c>
      <c r="I49" s="11">
        <v>0.00949074074074074</v>
      </c>
      <c r="J49" s="48">
        <f t="shared" si="3"/>
        <v>0.3492</v>
      </c>
      <c r="K49" s="28" t="s">
        <v>520</v>
      </c>
    </row>
    <row r="50">
      <c r="A50" s="10">
        <v>75.0</v>
      </c>
      <c r="B50" s="10">
        <v>300.0</v>
      </c>
      <c r="C50" s="10">
        <f t="shared" si="1"/>
        <v>4</v>
      </c>
      <c r="D50" s="10">
        <v>183.0</v>
      </c>
      <c r="E50" s="10" t="s">
        <v>521</v>
      </c>
      <c r="F50" s="10" t="s">
        <v>17</v>
      </c>
      <c r="G50" s="11">
        <v>0.01005787037037037</v>
      </c>
      <c r="H50" s="48">
        <f t="shared" si="2"/>
        <v>0.2222</v>
      </c>
      <c r="I50" s="11">
        <v>0.00949074074074074</v>
      </c>
      <c r="J50" s="48">
        <f t="shared" si="3"/>
        <v>0.3492</v>
      </c>
      <c r="K50" s="28" t="s">
        <v>522</v>
      </c>
    </row>
    <row r="51">
      <c r="A51" s="10">
        <v>75.0</v>
      </c>
      <c r="B51" s="10">
        <v>300.0</v>
      </c>
      <c r="C51" s="10">
        <f t="shared" si="1"/>
        <v>4</v>
      </c>
      <c r="D51" s="10">
        <v>183.0</v>
      </c>
      <c r="E51" s="10" t="s">
        <v>523</v>
      </c>
      <c r="F51" s="10" t="s">
        <v>17</v>
      </c>
      <c r="G51" s="11">
        <v>0.01005787037037037</v>
      </c>
      <c r="H51" s="48">
        <f t="shared" si="2"/>
        <v>0.2222</v>
      </c>
      <c r="I51" s="11">
        <v>0.00949074074074074</v>
      </c>
      <c r="J51" s="48">
        <f t="shared" si="3"/>
        <v>0.3492</v>
      </c>
      <c r="K51" s="28" t="s">
        <v>524</v>
      </c>
    </row>
    <row r="52">
      <c r="A52" s="10">
        <v>75.0</v>
      </c>
      <c r="B52" s="10">
        <v>300.0</v>
      </c>
      <c r="C52" s="10">
        <f t="shared" si="1"/>
        <v>4</v>
      </c>
      <c r="D52" s="10">
        <v>183.0</v>
      </c>
      <c r="E52" s="10" t="s">
        <v>217</v>
      </c>
      <c r="F52" s="10" t="s">
        <v>17</v>
      </c>
      <c r="G52" s="11">
        <v>0.01005787037037037</v>
      </c>
      <c r="H52" s="48">
        <f t="shared" si="2"/>
        <v>0.2222</v>
      </c>
      <c r="I52" s="11">
        <v>0.00949074074074074</v>
      </c>
      <c r="J52" s="48">
        <f t="shared" si="3"/>
        <v>0.3492</v>
      </c>
      <c r="K52" s="28" t="s">
        <v>525</v>
      </c>
    </row>
    <row r="53" hidden="1">
      <c r="A53" s="10">
        <v>75.0</v>
      </c>
      <c r="B53" s="10">
        <v>300.0</v>
      </c>
      <c r="C53" s="10">
        <f t="shared" si="1"/>
        <v>4</v>
      </c>
      <c r="D53" s="10">
        <v>183.0</v>
      </c>
      <c r="E53" s="10" t="s">
        <v>9</v>
      </c>
      <c r="F53" s="10" t="s">
        <v>11</v>
      </c>
      <c r="G53" s="11">
        <v>0.00982638888888889</v>
      </c>
      <c r="H53" s="48">
        <f t="shared" si="2"/>
        <v>0.7619</v>
      </c>
      <c r="I53" s="11">
        <v>0.009293981481481481</v>
      </c>
      <c r="J53" s="48">
        <f t="shared" si="3"/>
        <v>0.7778</v>
      </c>
      <c r="K53" s="28" t="s">
        <v>526</v>
      </c>
    </row>
    <row r="54">
      <c r="A54" s="10">
        <v>75.0</v>
      </c>
      <c r="B54" s="10">
        <v>300.0</v>
      </c>
      <c r="C54" s="10">
        <f t="shared" si="1"/>
        <v>4</v>
      </c>
      <c r="D54" s="10">
        <v>183.0</v>
      </c>
      <c r="E54" s="10" t="s">
        <v>237</v>
      </c>
      <c r="F54" s="10" t="s">
        <v>17</v>
      </c>
      <c r="G54" s="11">
        <v>0.01005787037037037</v>
      </c>
      <c r="H54" s="48">
        <f t="shared" si="2"/>
        <v>0.2222</v>
      </c>
      <c r="I54" s="11">
        <v>0.00949074074074074</v>
      </c>
      <c r="J54" s="48">
        <f t="shared" si="3"/>
        <v>0.3492</v>
      </c>
      <c r="K54" s="28" t="s">
        <v>527</v>
      </c>
    </row>
    <row r="55">
      <c r="A55" s="10">
        <v>75.0</v>
      </c>
      <c r="B55" s="10">
        <v>300.0</v>
      </c>
      <c r="C55" s="10">
        <f t="shared" si="1"/>
        <v>4</v>
      </c>
      <c r="D55" s="10">
        <v>183.0</v>
      </c>
      <c r="E55" s="10" t="s">
        <v>239</v>
      </c>
      <c r="F55" s="10" t="s">
        <v>17</v>
      </c>
      <c r="G55" s="11">
        <v>0.01005787037037037</v>
      </c>
      <c r="H55" s="48">
        <f t="shared" si="2"/>
        <v>0.2222</v>
      </c>
      <c r="I55" s="11">
        <v>0.00949074074074074</v>
      </c>
      <c r="J55" s="48">
        <f t="shared" si="3"/>
        <v>0.3492</v>
      </c>
      <c r="K55" s="28" t="s">
        <v>528</v>
      </c>
    </row>
    <row r="56">
      <c r="A56" s="10">
        <v>75.0</v>
      </c>
      <c r="B56" s="10">
        <v>300.0</v>
      </c>
      <c r="C56" s="10">
        <f t="shared" si="1"/>
        <v>4</v>
      </c>
      <c r="D56" s="10">
        <v>183.0</v>
      </c>
      <c r="E56" s="10" t="s">
        <v>219</v>
      </c>
      <c r="F56" s="10" t="s">
        <v>17</v>
      </c>
      <c r="G56" s="11">
        <v>0.01005787037037037</v>
      </c>
      <c r="H56" s="48">
        <f t="shared" si="2"/>
        <v>0.2222</v>
      </c>
      <c r="I56" s="11">
        <v>0.009479166666666667</v>
      </c>
      <c r="J56" s="48">
        <f t="shared" si="3"/>
        <v>0.4921</v>
      </c>
      <c r="K56" s="28" t="s">
        <v>529</v>
      </c>
    </row>
    <row r="57" hidden="1">
      <c r="A57" s="10">
        <v>75.0</v>
      </c>
      <c r="B57" s="10">
        <v>300.0</v>
      </c>
      <c r="C57" s="10">
        <f t="shared" si="1"/>
        <v>4</v>
      </c>
      <c r="D57" s="10">
        <v>183.0</v>
      </c>
      <c r="E57" s="10" t="s">
        <v>73</v>
      </c>
      <c r="F57" s="10" t="s">
        <v>351</v>
      </c>
      <c r="G57" s="11">
        <v>0.009837962962962963</v>
      </c>
      <c r="H57" s="48">
        <f t="shared" si="2"/>
        <v>0.746</v>
      </c>
      <c r="I57" s="11">
        <v>0.009293981481481481</v>
      </c>
      <c r="J57" s="48">
        <f t="shared" si="3"/>
        <v>0.7778</v>
      </c>
      <c r="K57" s="28" t="s">
        <v>530</v>
      </c>
    </row>
    <row r="58">
      <c r="A58" s="10">
        <v>75.0</v>
      </c>
      <c r="B58" s="10">
        <v>300.0</v>
      </c>
      <c r="C58" s="10">
        <f t="shared" si="1"/>
        <v>4</v>
      </c>
      <c r="D58" s="10">
        <v>183.0</v>
      </c>
      <c r="E58" s="10" t="s">
        <v>243</v>
      </c>
      <c r="F58" s="10" t="s">
        <v>17</v>
      </c>
      <c r="G58" s="11">
        <v>0.01005787037037037</v>
      </c>
      <c r="H58" s="48">
        <f t="shared" si="2"/>
        <v>0.2222</v>
      </c>
      <c r="I58" s="11">
        <v>0.00949074074074074</v>
      </c>
      <c r="J58" s="48">
        <f t="shared" si="3"/>
        <v>0.3492</v>
      </c>
      <c r="K58" s="28" t="s">
        <v>531</v>
      </c>
    </row>
    <row r="59">
      <c r="A59" s="10">
        <v>75.0</v>
      </c>
      <c r="B59" s="10">
        <v>300.0</v>
      </c>
      <c r="C59" s="10">
        <f t="shared" si="1"/>
        <v>4</v>
      </c>
      <c r="D59" s="10">
        <v>183.0</v>
      </c>
      <c r="E59" s="10" t="s">
        <v>245</v>
      </c>
      <c r="F59" s="10" t="s">
        <v>17</v>
      </c>
      <c r="G59" s="11">
        <v>0.01005787037037037</v>
      </c>
      <c r="H59" s="48">
        <f t="shared" si="2"/>
        <v>0.2222</v>
      </c>
      <c r="I59" s="11">
        <v>0.00949074074074074</v>
      </c>
      <c r="J59" s="48">
        <f t="shared" si="3"/>
        <v>0.3492</v>
      </c>
      <c r="K59" s="28" t="s">
        <v>532</v>
      </c>
    </row>
    <row r="60">
      <c r="A60" s="10">
        <v>75.0</v>
      </c>
      <c r="B60" s="10">
        <v>300.0</v>
      </c>
      <c r="C60" s="10">
        <f t="shared" si="1"/>
        <v>4</v>
      </c>
      <c r="D60" s="10">
        <v>183.0</v>
      </c>
      <c r="E60" s="10" t="s">
        <v>247</v>
      </c>
      <c r="F60" s="10" t="s">
        <v>17</v>
      </c>
      <c r="G60" s="11">
        <v>0.01005787037037037</v>
      </c>
      <c r="H60" s="48">
        <f t="shared" si="2"/>
        <v>0.2222</v>
      </c>
      <c r="I60" s="11">
        <v>0.00949074074074074</v>
      </c>
      <c r="J60" s="48">
        <f t="shared" si="3"/>
        <v>0.3492</v>
      </c>
      <c r="K60" s="28" t="s">
        <v>533</v>
      </c>
    </row>
    <row r="61">
      <c r="A61" s="10">
        <v>75.0</v>
      </c>
      <c r="B61" s="10">
        <v>300.0</v>
      </c>
      <c r="C61" s="10">
        <f t="shared" si="1"/>
        <v>4</v>
      </c>
      <c r="D61" s="10">
        <v>183.0</v>
      </c>
      <c r="E61" s="10" t="s">
        <v>227</v>
      </c>
      <c r="F61" s="10" t="s">
        <v>17</v>
      </c>
      <c r="G61" s="11">
        <v>0.01005787037037037</v>
      </c>
      <c r="H61" s="48">
        <f t="shared" si="2"/>
        <v>0.2222</v>
      </c>
      <c r="I61" s="11">
        <v>0.009479166666666667</v>
      </c>
      <c r="J61" s="48">
        <f t="shared" si="3"/>
        <v>0.4921</v>
      </c>
      <c r="K61" s="28" t="s">
        <v>534</v>
      </c>
    </row>
    <row r="62">
      <c r="A62" s="10">
        <v>75.0</v>
      </c>
      <c r="B62" s="10">
        <v>300.0</v>
      </c>
      <c r="C62" s="10">
        <f t="shared" si="1"/>
        <v>4</v>
      </c>
      <c r="D62" s="10">
        <v>183.0</v>
      </c>
      <c r="E62" s="10" t="s">
        <v>16</v>
      </c>
      <c r="F62" s="10" t="s">
        <v>17</v>
      </c>
      <c r="G62" s="11">
        <v>0.01005787037037037</v>
      </c>
      <c r="H62" s="48">
        <f t="shared" si="2"/>
        <v>0.2222</v>
      </c>
      <c r="I62" s="11">
        <v>0.009502314814814814</v>
      </c>
      <c r="J62" s="48">
        <f t="shared" si="3"/>
        <v>0.0635</v>
      </c>
      <c r="K62" s="28" t="s">
        <v>535</v>
      </c>
    </row>
    <row r="63">
      <c r="A63" s="10">
        <v>75.0</v>
      </c>
      <c r="B63" s="10">
        <v>300.0</v>
      </c>
      <c r="C63" s="10">
        <f t="shared" si="1"/>
        <v>4</v>
      </c>
      <c r="D63" s="10">
        <v>183.0</v>
      </c>
      <c r="E63" s="10" t="s">
        <v>253</v>
      </c>
      <c r="F63" s="10" t="s">
        <v>17</v>
      </c>
      <c r="G63" s="11">
        <v>0.01005787037037037</v>
      </c>
      <c r="H63" s="48">
        <f t="shared" si="2"/>
        <v>0.2222</v>
      </c>
      <c r="I63" s="11">
        <v>0.009502314814814814</v>
      </c>
      <c r="J63" s="48">
        <f t="shared" si="3"/>
        <v>0.0635</v>
      </c>
      <c r="K63" s="28" t="s">
        <v>536</v>
      </c>
    </row>
    <row r="64">
      <c r="A64" s="10">
        <v>75.0</v>
      </c>
      <c r="B64" s="10">
        <v>300.0</v>
      </c>
      <c r="C64" s="10">
        <f t="shared" si="1"/>
        <v>4</v>
      </c>
      <c r="D64" s="10">
        <v>183.0</v>
      </c>
      <c r="E64" s="10" t="s">
        <v>306</v>
      </c>
      <c r="F64" s="10" t="s">
        <v>17</v>
      </c>
      <c r="G64" s="11">
        <v>0.010069444444444445</v>
      </c>
      <c r="H64" s="48">
        <f t="shared" si="2"/>
        <v>0.0159</v>
      </c>
      <c r="I64" s="11">
        <v>0.00951388888888889</v>
      </c>
      <c r="J64" s="48">
        <f t="shared" si="3"/>
        <v>0.0317</v>
      </c>
      <c r="K64" s="28" t="s">
        <v>537</v>
      </c>
    </row>
    <row r="65">
      <c r="A65" s="10">
        <v>75.0</v>
      </c>
      <c r="B65" s="10">
        <v>300.0</v>
      </c>
      <c r="C65" s="10">
        <f t="shared" si="1"/>
        <v>4</v>
      </c>
      <c r="D65" s="10">
        <v>183.0</v>
      </c>
      <c r="E65" s="10" t="s">
        <v>201</v>
      </c>
      <c r="F65" s="10" t="s">
        <v>17</v>
      </c>
      <c r="G65" s="11">
        <v>0.010092592592592592</v>
      </c>
      <c r="H65" s="48">
        <f t="shared" si="2"/>
        <v>0</v>
      </c>
      <c r="I65" s="11">
        <v>0.009548611111111112</v>
      </c>
      <c r="J65" s="48">
        <f t="shared" si="3"/>
        <v>0.0159</v>
      </c>
      <c r="K65" s="28" t="s">
        <v>538</v>
      </c>
    </row>
    <row r="66" hidden="1">
      <c r="A66" s="10"/>
      <c r="B66" s="10"/>
      <c r="C66" s="10"/>
      <c r="D66" s="10"/>
      <c r="E66" s="10"/>
      <c r="F66" s="10"/>
      <c r="G66" s="11"/>
      <c r="H66" s="11"/>
      <c r="I66" s="11"/>
      <c r="J66" s="11"/>
    </row>
    <row r="67" hidden="1">
      <c r="A67" s="10"/>
      <c r="B67" s="10"/>
      <c r="C67" s="10"/>
      <c r="D67" s="10"/>
      <c r="E67" s="10"/>
      <c r="F67" s="10"/>
      <c r="G67" s="11"/>
      <c r="H67" s="11"/>
      <c r="I67" s="64"/>
      <c r="J67" s="11"/>
      <c r="K67" s="65"/>
    </row>
    <row r="68" hidden="1">
      <c r="A68" s="10"/>
      <c r="B68" s="10"/>
      <c r="C68" s="10"/>
      <c r="D68" s="10"/>
      <c r="E68" s="10"/>
      <c r="F68" s="10"/>
      <c r="G68" s="11"/>
      <c r="H68" s="11"/>
      <c r="I68" s="11"/>
      <c r="J68" s="11"/>
    </row>
    <row r="69" hidden="1">
      <c r="A69" s="10"/>
      <c r="B69" s="10"/>
      <c r="C69" s="10"/>
      <c r="D69" s="10"/>
      <c r="E69" s="10"/>
      <c r="F69" s="10"/>
      <c r="G69" s="11"/>
      <c r="H69" s="11"/>
      <c r="I69" s="11"/>
      <c r="J69" s="11"/>
    </row>
    <row r="70" hidden="1">
      <c r="A70" s="10"/>
      <c r="B70" s="10"/>
      <c r="C70" s="10"/>
      <c r="D70" s="10"/>
      <c r="E70" s="63"/>
      <c r="F70" s="10"/>
      <c r="G70" s="11"/>
      <c r="H70" s="11"/>
      <c r="I70" s="11"/>
      <c r="J70" s="11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idden="1">
      <c r="A71" s="10"/>
      <c r="B71" s="10"/>
      <c r="C71" s="10"/>
      <c r="D71" s="10"/>
      <c r="E71" s="63"/>
      <c r="F71" s="10"/>
      <c r="G71" s="11"/>
      <c r="H71" s="11"/>
      <c r="I71" s="11"/>
      <c r="J71" s="11"/>
    </row>
    <row r="72" hidden="1">
      <c r="A72" s="10"/>
      <c r="B72" s="10"/>
      <c r="C72" s="10"/>
      <c r="D72" s="10"/>
      <c r="E72" s="63"/>
      <c r="F72" s="10"/>
      <c r="G72" s="11"/>
      <c r="H72" s="11"/>
      <c r="I72" s="11"/>
      <c r="J72" s="11"/>
    </row>
    <row r="73" hidden="1">
      <c r="A73" s="10"/>
      <c r="B73" s="10"/>
      <c r="C73" s="10"/>
      <c r="D73" s="10"/>
      <c r="E73" s="63"/>
      <c r="F73" s="10"/>
      <c r="G73" s="11"/>
      <c r="H73" s="11"/>
      <c r="I73" s="11"/>
      <c r="J73" s="11"/>
    </row>
    <row r="74" hidden="1">
      <c r="A74" s="10"/>
      <c r="B74" s="10"/>
      <c r="C74" s="10"/>
      <c r="D74" s="10"/>
      <c r="E74" s="10"/>
      <c r="F74" s="10"/>
      <c r="G74" s="11"/>
      <c r="H74" s="11"/>
      <c r="I74" s="11"/>
      <c r="J74" s="11"/>
    </row>
    <row r="75" hidden="1">
      <c r="A75" s="10"/>
      <c r="B75" s="10"/>
      <c r="C75" s="10"/>
      <c r="D75" s="10"/>
      <c r="E75" s="10"/>
      <c r="F75" s="10"/>
      <c r="G75" s="11"/>
      <c r="H75" s="11"/>
      <c r="I75" s="11"/>
      <c r="J75" s="11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idden="1">
      <c r="A76" s="10"/>
      <c r="B76" s="10"/>
      <c r="C76" s="10"/>
      <c r="D76" s="10"/>
      <c r="E76" s="10"/>
      <c r="F76" s="10"/>
      <c r="G76" s="11"/>
      <c r="H76" s="11"/>
      <c r="I76" s="11"/>
      <c r="J76" s="11"/>
    </row>
    <row r="77" hidden="1">
      <c r="A77" s="10"/>
      <c r="B77" s="10"/>
      <c r="C77" s="10"/>
      <c r="D77" s="10"/>
      <c r="E77" s="10"/>
      <c r="F77" s="10"/>
      <c r="G77" s="11"/>
      <c r="H77" s="11"/>
      <c r="I77" s="11"/>
      <c r="J77" s="11"/>
    </row>
    <row r="78" hidden="1">
      <c r="A78" s="10"/>
      <c r="B78" s="10"/>
      <c r="C78" s="10"/>
      <c r="D78" s="10"/>
      <c r="E78" s="10"/>
      <c r="F78" s="10"/>
      <c r="G78" s="11"/>
      <c r="H78" s="11"/>
      <c r="I78" s="11"/>
      <c r="J78" s="11"/>
    </row>
    <row r="79" hidden="1">
      <c r="A79" s="10"/>
      <c r="B79" s="10"/>
      <c r="C79" s="10"/>
      <c r="D79" s="10"/>
      <c r="E79" s="10"/>
      <c r="F79" s="10"/>
      <c r="G79" s="11"/>
      <c r="H79" s="11"/>
      <c r="I79" s="11"/>
      <c r="J79" s="11"/>
    </row>
    <row r="80" hidden="1">
      <c r="A80" s="10"/>
      <c r="B80" s="10"/>
      <c r="C80" s="10"/>
      <c r="D80" s="10"/>
      <c r="E80" s="10"/>
      <c r="F80" s="10"/>
      <c r="G80" s="11"/>
      <c r="H80" s="11"/>
      <c r="I80" s="11"/>
      <c r="J80" s="11"/>
    </row>
    <row r="81" hidden="1">
      <c r="A81" s="10"/>
      <c r="B81" s="10"/>
      <c r="C81" s="10"/>
      <c r="D81" s="10"/>
      <c r="E81" s="10"/>
      <c r="F81" s="10"/>
      <c r="G81" s="11"/>
      <c r="H81" s="11"/>
      <c r="I81" s="11"/>
      <c r="J81" s="11"/>
    </row>
    <row r="82" hidden="1">
      <c r="A82" s="10"/>
      <c r="B82" s="10"/>
      <c r="C82" s="10"/>
      <c r="D82" s="10"/>
      <c r="E82" s="10"/>
      <c r="F82" s="10"/>
      <c r="G82" s="11"/>
      <c r="H82" s="11"/>
      <c r="I82" s="11"/>
      <c r="J82" s="11"/>
    </row>
    <row r="83" hidden="1">
      <c r="A83" s="10"/>
      <c r="B83" s="10"/>
      <c r="C83" s="10"/>
      <c r="D83" s="10"/>
      <c r="E83" s="10"/>
      <c r="F83" s="10"/>
      <c r="G83" s="11"/>
      <c r="H83" s="11"/>
      <c r="I83" s="11"/>
      <c r="J83" s="11"/>
    </row>
    <row r="84" hidden="1">
      <c r="A84" s="10"/>
      <c r="B84" s="10"/>
      <c r="C84" s="10"/>
      <c r="D84" s="10"/>
      <c r="E84" s="10"/>
      <c r="F84" s="10"/>
      <c r="G84" s="11"/>
      <c r="H84" s="11"/>
      <c r="I84" s="11"/>
      <c r="J84" s="11"/>
    </row>
    <row r="85" hidden="1">
      <c r="A85" s="10"/>
      <c r="B85" s="10"/>
      <c r="C85" s="10"/>
      <c r="D85" s="10"/>
      <c r="E85" s="63"/>
      <c r="F85" s="10"/>
      <c r="G85" s="11"/>
      <c r="H85" s="11"/>
      <c r="I85" s="11"/>
      <c r="J85" s="11"/>
    </row>
    <row r="86" hidden="1">
      <c r="A86" s="10"/>
      <c r="B86" s="10"/>
      <c r="C86" s="10"/>
      <c r="D86" s="10"/>
      <c r="E86" s="10"/>
      <c r="F86" s="10"/>
      <c r="G86" s="11"/>
      <c r="H86" s="11"/>
      <c r="I86" s="11"/>
      <c r="J86" s="11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idden="1">
      <c r="A87" s="10"/>
      <c r="B87" s="10"/>
      <c r="C87" s="10"/>
      <c r="D87" s="10"/>
      <c r="E87" s="10"/>
      <c r="F87" s="10"/>
      <c r="G87" s="11"/>
      <c r="H87" s="11"/>
      <c r="I87" s="11"/>
      <c r="J87" s="11"/>
    </row>
    <row r="88" hidden="1">
      <c r="E88" s="10"/>
    </row>
    <row r="89" hidden="1">
      <c r="E89" s="10"/>
    </row>
    <row r="90" hidden="1">
      <c r="E90" s="10"/>
    </row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</sheetData>
  <autoFilter ref="$A$1:$J$992">
    <filterColumn colId="5">
      <filters>
        <filter val="32mm Carbon"/>
      </filters>
    </filterColumn>
  </autoFilter>
  <customSheetViews>
    <customSheetView guid="{131ED934-56A5-4A4B-9246-8993FA1F050E}" filter="1" showAutoFilter="1">
      <autoFilter ref="$A$1:$J$992">
        <filterColumn colId="4">
          <filters blank="1">
            <filter val="Giant Propel Advanced SL Disc"/>
            <filter val="Specialized Tarmac"/>
            <filter val="Specialized Ruby S-Works"/>
            <filter val="Zwift Steel"/>
            <filter val="Cube Aerium"/>
            <filter val="Specialized Tarmac Pro"/>
            <filter val="Specialized Shiv Disc"/>
            <filter val="Specialized Allez"/>
            <filter val="Cannondale Synapse"/>
            <filter val="Cannondale Caad12"/>
            <filter val="Scott Foil"/>
            <filter val="Specialized Amira S-Works"/>
            <filter val="Pinarello Bolide TT"/>
            <filter val="Zwift Carbon"/>
            <filter val="Ventum One"/>
            <filter val="Specialized Roubaix"/>
            <filter val="Specialized Ruby"/>
            <filter val="Specialized Venge"/>
            <filter val="Pinarello Dogma 65.1"/>
            <filter val="Giant TCR Advanced SL"/>
            <filter val="Chapter 2 Tere"/>
            <filter val="Specialized Allez Sprint"/>
            <filter val="Scott Plasma"/>
            <filter val="Specialized Roubaix S-Works"/>
            <filter val="Trek Emonda SL"/>
            <filter val="Diamondback Andean"/>
            <filter val="Felt AR"/>
            <filter val="Cervelo P5"/>
            <filter val="Specialized Shiv"/>
            <filter val="Felt IA"/>
            <filter val="Canyon Speedmax"/>
            <filter val="Zwift Safety"/>
            <filter val="Zwift TT"/>
            <filter val="BMC Time Machine"/>
            <filter val="Cervelo P5x"/>
            <filter val="Pinarello Dogma F10"/>
            <filter val="Cannondale EVO"/>
            <filter val="Trek Emonda"/>
            <filter val="Zwift Buffalo Fahrrad"/>
            <filter val="Pinarello F8"/>
            <filter val="Cannondale SuperSix EVO"/>
            <filter val="Specialized Shiv S-Works"/>
            <filter val="Cervelo S3D"/>
            <filter val="BMC SLR01"/>
            <filter val="Ridley Helium"/>
            <filter val="Cube Litening"/>
            <filter val="Tron (Concept Z1)"/>
            <filter val="Specialized Amira"/>
            <filter val="Chapter 2 Rere"/>
            <filter val="Pinarello Bolide"/>
            <filter val="Canyon Ultimate"/>
            <filter val="Liv Langma Advanced SL"/>
            <filter val="Cannondale SystemSix"/>
            <filter val="Specialized Venge S-Works"/>
            <filter val="Cervelo R5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5">
          <filters blank="1">
            <filter val="Zipp 858/Super9"/>
            <filter val="Tron"/>
            <filter val="32mm Carbon"/>
          </filters>
        </filterColumn>
      </autoFilter>
    </customSheetView>
  </customSheetViews>
  <conditionalFormatting sqref="H1:H1181 J1:J118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K2"/>
    <hyperlink r:id="rId2" ref="K3"/>
    <hyperlink r:id="rId3" ref="K4"/>
    <hyperlink r:id="rId4" ref="K5"/>
    <hyperlink r:id="rId5" ref="K7"/>
    <hyperlink r:id="rId6" ref="K8"/>
    <hyperlink r:id="rId7" ref="K9"/>
    <hyperlink r:id="rId8" ref="K10"/>
    <hyperlink r:id="rId9" ref="K11"/>
    <hyperlink r:id="rId10" ref="K12"/>
    <hyperlink r:id="rId11" ref="K13"/>
    <hyperlink r:id="rId12" ref="K14"/>
    <hyperlink r:id="rId13" ref="K15"/>
    <hyperlink r:id="rId14" ref="K16"/>
    <hyperlink r:id="rId15" ref="K17"/>
    <hyperlink r:id="rId16" ref="K18"/>
    <hyperlink r:id="rId17" ref="K19"/>
    <hyperlink r:id="rId18" ref="K20"/>
    <hyperlink r:id="rId19" ref="K21"/>
    <hyperlink r:id="rId20" ref="K22"/>
    <hyperlink r:id="rId21" ref="K23"/>
    <hyperlink r:id="rId22" ref="K24"/>
    <hyperlink r:id="rId23" ref="K25"/>
    <hyperlink r:id="rId24" ref="K27"/>
    <hyperlink r:id="rId25" ref="K28"/>
    <hyperlink r:id="rId26" ref="K29"/>
    <hyperlink r:id="rId27" ref="K30"/>
    <hyperlink r:id="rId28" ref="K31"/>
    <hyperlink r:id="rId29" ref="K32"/>
    <hyperlink r:id="rId30" ref="K33"/>
    <hyperlink r:id="rId31" ref="K34"/>
    <hyperlink r:id="rId32" ref="K35"/>
    <hyperlink r:id="rId33" ref="K36"/>
    <hyperlink r:id="rId34" ref="K37"/>
    <hyperlink r:id="rId35" ref="K38"/>
    <hyperlink r:id="rId36" ref="K39"/>
    <hyperlink r:id="rId37" ref="K40"/>
    <hyperlink r:id="rId38" ref="K41"/>
    <hyperlink r:id="rId39" ref="K42"/>
    <hyperlink r:id="rId40" ref="K43"/>
    <hyperlink r:id="rId41" ref="K44"/>
    <hyperlink r:id="rId42" ref="K45"/>
    <hyperlink r:id="rId43" ref="K46"/>
    <hyperlink r:id="rId44" ref="K47"/>
    <hyperlink r:id="rId45" ref="K48"/>
    <hyperlink r:id="rId46" ref="K49"/>
    <hyperlink r:id="rId47" ref="K50"/>
    <hyperlink r:id="rId48" ref="K51"/>
    <hyperlink r:id="rId49" ref="K52"/>
    <hyperlink r:id="rId50" ref="K53"/>
    <hyperlink r:id="rId51" ref="K54"/>
    <hyperlink r:id="rId52" ref="K55"/>
    <hyperlink r:id="rId53" ref="K56"/>
    <hyperlink r:id="rId54" ref="K57"/>
    <hyperlink r:id="rId55" ref="K58"/>
    <hyperlink r:id="rId56" ref="K59"/>
    <hyperlink r:id="rId57" ref="K60"/>
    <hyperlink r:id="rId58" ref="K61"/>
    <hyperlink r:id="rId59" ref="K62"/>
    <hyperlink r:id="rId60" ref="K63"/>
    <hyperlink r:id="rId61" ref="K64"/>
    <hyperlink r:id="rId62" ref="K65"/>
  </hyperlinks>
  <drawing r:id="rId6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  <col customWidth="1" min="6" max="6" width="16.75"/>
    <col customWidth="1" min="9" max="9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540</v>
      </c>
      <c r="I1" s="1" t="s">
        <v>541</v>
      </c>
      <c r="J1" s="1" t="s">
        <v>542</v>
      </c>
      <c r="K1" s="30"/>
      <c r="L1" s="1" t="s">
        <v>8</v>
      </c>
    </row>
    <row r="2">
      <c r="A2" s="10">
        <v>75.0</v>
      </c>
      <c r="B2" s="10">
        <v>300.0</v>
      </c>
      <c r="C2" s="10">
        <f t="shared" ref="C2:C104" si="1">B2/A2</f>
        <v>4</v>
      </c>
      <c r="D2" s="10">
        <v>183.0</v>
      </c>
      <c r="E2" s="63" t="s">
        <v>26</v>
      </c>
      <c r="F2" s="10" t="s">
        <v>65</v>
      </c>
      <c r="G2" s="11">
        <v>0.023657407407407408</v>
      </c>
      <c r="H2" s="11">
        <v>0.01</v>
      </c>
      <c r="I2" s="11">
        <v>0.005706018518518518</v>
      </c>
      <c r="J2" s="11">
        <v>0.0025462962962962965</v>
      </c>
      <c r="K2" s="37" t="str">
        <f>HYPERLINK("https://www.strava.com/activities/2187523578","Strava")</f>
        <v>Strava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63" t="s">
        <v>26</v>
      </c>
      <c r="F3" s="10" t="s">
        <v>11</v>
      </c>
      <c r="G3" s="11">
        <v>0.023645833333333335</v>
      </c>
      <c r="H3" s="11">
        <v>0.01</v>
      </c>
      <c r="I3" s="11">
        <v>0.005717592592592593</v>
      </c>
      <c r="J3" s="11">
        <v>0.0025462962962962965</v>
      </c>
      <c r="K3" s="37" t="str">
        <f>HYPERLINK("https://www.strava.com/activities/2302367066","Strava")</f>
        <v>Strava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63" t="s">
        <v>28</v>
      </c>
      <c r="F4" s="10" t="s">
        <v>65</v>
      </c>
      <c r="G4" s="11">
        <v>0.023645833333333335</v>
      </c>
      <c r="H4" s="11">
        <v>0.01</v>
      </c>
      <c r="I4" s="11">
        <v>0.005717592592592593</v>
      </c>
      <c r="J4" s="11">
        <v>0.0025462962962962965</v>
      </c>
      <c r="K4" s="37" t="str">
        <f>HYPERLINK("https://www.strava.com/activities/2412367319","Strava")</f>
        <v>Strava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63" t="s">
        <v>30</v>
      </c>
      <c r="F5" s="10" t="s">
        <v>65</v>
      </c>
      <c r="G5" s="11">
        <v>0.023657407407407408</v>
      </c>
      <c r="H5" s="11">
        <v>0.01</v>
      </c>
      <c r="I5" s="11">
        <v>0.005717592592592593</v>
      </c>
      <c r="J5" s="11">
        <v>0.0025578703703703705</v>
      </c>
      <c r="K5" s="37" t="str">
        <f>HYPERLINK("https://www.strava.com/activities/2187524133","Strava")</f>
        <v>Strava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63" t="s">
        <v>32</v>
      </c>
      <c r="F6" s="10" t="s">
        <v>65</v>
      </c>
      <c r="G6" s="11">
        <v>0.023703703703703703</v>
      </c>
      <c r="H6" s="11">
        <v>0.010023148148148147</v>
      </c>
      <c r="I6" s="11">
        <v>0.005717592592592593</v>
      </c>
      <c r="J6" s="11">
        <v>0.0025578703703703705</v>
      </c>
      <c r="K6" s="37" t="str">
        <f>HYPERLINK("https://www.strava.com/activities/2187524145","Strava")</f>
        <v>Strava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9</v>
      </c>
      <c r="F7" s="10" t="s">
        <v>11</v>
      </c>
      <c r="G7" s="11">
        <v>0.024305555555555556</v>
      </c>
      <c r="H7" s="11">
        <v>0.010324074074074074</v>
      </c>
      <c r="I7" s="11">
        <v>0.005729166666666666</v>
      </c>
      <c r="J7" s="11">
        <v>0.002673611111111111</v>
      </c>
      <c r="K7" s="37" t="str">
        <f>HYPERLINK("https://www.strava.com/activities/2316339893","Strava")</f>
        <v>Strava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 t="s">
        <v>73</v>
      </c>
      <c r="F8" s="10" t="s">
        <v>351</v>
      </c>
      <c r="G8" s="11">
        <v>0.024305555555555556</v>
      </c>
      <c r="H8" s="11">
        <v>0.010324074074074074</v>
      </c>
      <c r="I8" s="11">
        <v>0.005729166666666666</v>
      </c>
      <c r="J8" s="11">
        <v>0.002685185185185185</v>
      </c>
      <c r="K8" s="37" t="str">
        <f>HYPERLINK("https://www.strava.com/activities/2182067318","Strava")</f>
        <v>Strava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 t="s">
        <v>9</v>
      </c>
      <c r="F9" s="10" t="s">
        <v>65</v>
      </c>
      <c r="G9" s="11">
        <v>0.02431712962962963</v>
      </c>
      <c r="H9" s="11">
        <v>0.0103125</v>
      </c>
      <c r="I9" s="11">
        <v>0.005729166666666666</v>
      </c>
      <c r="J9" s="11">
        <v>0.002673611111111111</v>
      </c>
      <c r="K9" s="37" t="str">
        <f>HYPERLINK("https://www.strava.com/activities/2187388690","Strava")</f>
        <v>Strava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 t="s">
        <v>58</v>
      </c>
      <c r="F10" s="10" t="s">
        <v>65</v>
      </c>
      <c r="G10" s="11">
        <v>0.02431712962962963</v>
      </c>
      <c r="H10" s="11">
        <v>0.010324074074074074</v>
      </c>
      <c r="I10" s="11">
        <v>0.005740740740740741</v>
      </c>
      <c r="J10" s="11">
        <v>0.002673611111111111</v>
      </c>
      <c r="K10" s="37" t="str">
        <f>HYPERLINK("https://www.strava.com/activities/2187419145","Strava")</f>
        <v>Strava</v>
      </c>
    </row>
    <row r="11">
      <c r="A11" s="10">
        <v>75.0</v>
      </c>
      <c r="B11" s="10">
        <v>300.0</v>
      </c>
      <c r="C11" s="10">
        <f t="shared" si="1"/>
        <v>4</v>
      </c>
      <c r="D11" s="10">
        <v>183.0</v>
      </c>
      <c r="E11" s="10" t="s">
        <v>61</v>
      </c>
      <c r="F11" s="10" t="s">
        <v>65</v>
      </c>
      <c r="G11" s="11">
        <v>0.02431712962962963</v>
      </c>
      <c r="H11" s="11">
        <v>0.0103125</v>
      </c>
      <c r="I11" s="11">
        <v>0.005740740740740741</v>
      </c>
      <c r="J11" s="11">
        <v>0.002662037037037037</v>
      </c>
      <c r="K11" s="37" t="str">
        <f>HYPERLINK("https://www.strava.com/activities/2412813844","Strava")</f>
        <v>Strava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>
      <c r="A12" s="10">
        <v>75.0</v>
      </c>
      <c r="B12" s="10">
        <v>300.0</v>
      </c>
      <c r="C12" s="10">
        <f t="shared" si="1"/>
        <v>4</v>
      </c>
      <c r="D12" s="10">
        <v>183.0</v>
      </c>
      <c r="E12" s="10" t="s">
        <v>63</v>
      </c>
      <c r="F12" s="10" t="s">
        <v>65</v>
      </c>
      <c r="G12" s="11">
        <v>0.024328703703703703</v>
      </c>
      <c r="H12" s="11">
        <v>0.0103125</v>
      </c>
      <c r="I12" s="11">
        <v>0.005740740740740741</v>
      </c>
      <c r="J12" s="11">
        <v>0.002673611111111111</v>
      </c>
      <c r="K12" s="37" t="str">
        <f>HYPERLINK("https://www.strava.com/activities/2187419292","Strava")</f>
        <v>Strava</v>
      </c>
    </row>
    <row r="13">
      <c r="A13" s="10">
        <v>75.0</v>
      </c>
      <c r="B13" s="10">
        <v>300.0</v>
      </c>
      <c r="C13" s="10">
        <f t="shared" si="1"/>
        <v>4</v>
      </c>
      <c r="D13" s="10">
        <v>183.0</v>
      </c>
      <c r="E13" s="10" t="s">
        <v>543</v>
      </c>
      <c r="F13" s="10" t="s">
        <v>65</v>
      </c>
      <c r="G13" s="11">
        <v>0.024340277777777777</v>
      </c>
      <c r="H13" s="11">
        <v>0.010324074074074074</v>
      </c>
      <c r="I13" s="11">
        <v>0.005740740740740741</v>
      </c>
      <c r="J13" s="11">
        <v>0.002673611111111111</v>
      </c>
      <c r="K13" s="37" t="str">
        <f>HYPERLINK("https://www.strava.com/activities/2187447226","Strava")</f>
        <v>Strava</v>
      </c>
    </row>
    <row r="14">
      <c r="A14" s="10">
        <v>75.0</v>
      </c>
      <c r="B14" s="10">
        <v>300.0</v>
      </c>
      <c r="C14" s="10">
        <f t="shared" si="1"/>
        <v>4</v>
      </c>
      <c r="D14" s="10">
        <v>183.0</v>
      </c>
      <c r="E14" s="63" t="s">
        <v>28</v>
      </c>
      <c r="F14" s="10" t="s">
        <v>17</v>
      </c>
      <c r="G14" s="11">
        <v>0.024039351851851853</v>
      </c>
      <c r="H14" s="11">
        <v>0.010185185185185186</v>
      </c>
      <c r="I14" s="11">
        <v>0.005752314814814815</v>
      </c>
      <c r="J14" s="11">
        <v>0.0026041666666666665</v>
      </c>
      <c r="K14" s="37" t="str">
        <f>HYPERLINK("https://www.strava.com/activities/2412265056","Strava")</f>
        <v>Strava</v>
      </c>
    </row>
    <row r="15">
      <c r="A15" s="10">
        <v>75.0</v>
      </c>
      <c r="B15" s="10">
        <v>300.0</v>
      </c>
      <c r="C15" s="10">
        <f t="shared" si="1"/>
        <v>4</v>
      </c>
      <c r="D15" s="10">
        <v>183.0</v>
      </c>
      <c r="E15" s="66" t="s">
        <v>26</v>
      </c>
      <c r="F15" s="10" t="s">
        <v>17</v>
      </c>
      <c r="G15" s="11">
        <v>0.024050925925925927</v>
      </c>
      <c r="H15" s="11">
        <v>0.010185185185185186</v>
      </c>
      <c r="I15" s="11">
        <v>0.005752314814814815</v>
      </c>
      <c r="J15" s="11">
        <v>0.0026157407407407405</v>
      </c>
      <c r="K15" s="37" t="str">
        <f>HYPERLINK("https://www.strava.com/activities/2184396568","Strava")</f>
        <v>Strava</v>
      </c>
    </row>
    <row r="16">
      <c r="A16" s="10">
        <v>75.0</v>
      </c>
      <c r="B16" s="10">
        <v>300.0</v>
      </c>
      <c r="C16" s="10">
        <f t="shared" si="1"/>
        <v>4</v>
      </c>
      <c r="D16" s="10">
        <v>183.0</v>
      </c>
      <c r="E16" s="66" t="s">
        <v>42</v>
      </c>
      <c r="F16" s="10" t="s">
        <v>17</v>
      </c>
      <c r="G16" s="11">
        <v>0.02414351851851852</v>
      </c>
      <c r="H16" s="11">
        <v>0.010219907407407407</v>
      </c>
      <c r="I16" s="11">
        <v>0.005752314814814815</v>
      </c>
      <c r="J16" s="11">
        <v>0.002627314814814815</v>
      </c>
      <c r="K16" s="37" t="str">
        <f>HYPERLINK("https://www.strava.com/activities/2186036507","Strava")</f>
        <v>Strava</v>
      </c>
    </row>
    <row r="17">
      <c r="A17" s="10">
        <v>75.0</v>
      </c>
      <c r="B17" s="10">
        <v>300.0</v>
      </c>
      <c r="C17" s="10">
        <f t="shared" si="1"/>
        <v>4</v>
      </c>
      <c r="D17" s="10">
        <v>183.0</v>
      </c>
      <c r="E17" s="10" t="s">
        <v>77</v>
      </c>
      <c r="F17" s="10" t="s">
        <v>65</v>
      </c>
      <c r="G17" s="11">
        <v>0.02435185185185185</v>
      </c>
      <c r="H17" s="11">
        <v>0.010324074074074074</v>
      </c>
      <c r="I17" s="11">
        <v>0.005752314814814815</v>
      </c>
      <c r="J17" s="11">
        <v>0.002673611111111111</v>
      </c>
      <c r="K17" s="37" t="str">
        <f>HYPERLINK("https://www.strava.com/activities/2187478207","Strava")</f>
        <v>Strava</v>
      </c>
    </row>
    <row r="18">
      <c r="A18" s="10">
        <v>75.0</v>
      </c>
      <c r="B18" s="10">
        <v>300.0</v>
      </c>
      <c r="C18" s="10">
        <f t="shared" si="1"/>
        <v>4</v>
      </c>
      <c r="D18" s="10">
        <v>183.0</v>
      </c>
      <c r="E18" s="10" t="s">
        <v>19</v>
      </c>
      <c r="F18" s="10" t="s">
        <v>106</v>
      </c>
      <c r="G18" s="11">
        <v>0.02443287037037037</v>
      </c>
      <c r="H18" s="11">
        <v>0.010381944444444444</v>
      </c>
      <c r="I18" s="11">
        <v>0.005752314814814815</v>
      </c>
      <c r="J18" s="11">
        <v>0.002685185185185185</v>
      </c>
      <c r="K18" s="37" t="str">
        <f>HYPERLINK("https://www.strava.com/activities/2182660672","Strava")</f>
        <v>Strava</v>
      </c>
    </row>
    <row r="19">
      <c r="A19" s="10">
        <v>75.0</v>
      </c>
      <c r="B19" s="10">
        <v>300.0</v>
      </c>
      <c r="C19" s="10">
        <f t="shared" si="1"/>
        <v>4</v>
      </c>
      <c r="D19" s="10">
        <v>183.0</v>
      </c>
      <c r="E19" s="10" t="s">
        <v>9</v>
      </c>
      <c r="F19" s="10" t="s">
        <v>14</v>
      </c>
      <c r="G19" s="11"/>
      <c r="H19" s="11"/>
      <c r="I19" s="11">
        <v>0.005752314814814815</v>
      </c>
      <c r="J19" s="11"/>
      <c r="K19" s="37" t="s">
        <v>544</v>
      </c>
    </row>
    <row r="20">
      <c r="A20" s="10">
        <v>75.0</v>
      </c>
      <c r="B20" s="10">
        <v>300.0</v>
      </c>
      <c r="C20" s="10">
        <f t="shared" si="1"/>
        <v>4</v>
      </c>
      <c r="D20" s="10">
        <v>183.0</v>
      </c>
      <c r="E20" s="66" t="s">
        <v>30</v>
      </c>
      <c r="F20" s="10" t="s">
        <v>17</v>
      </c>
      <c r="G20" s="11">
        <v>0.0240625</v>
      </c>
      <c r="H20" s="11">
        <v>0.010185185185185186</v>
      </c>
      <c r="I20" s="11">
        <v>0.005763888888888889</v>
      </c>
      <c r="J20" s="11">
        <v>0.0026157407407407405</v>
      </c>
      <c r="K20" s="37" t="str">
        <f>HYPERLINK("https://www.strava.com/activities/2186035487","Strava")</f>
        <v>Strava</v>
      </c>
    </row>
    <row r="21">
      <c r="A21" s="10">
        <v>75.0</v>
      </c>
      <c r="B21" s="10">
        <v>300.0</v>
      </c>
      <c r="C21" s="10">
        <f t="shared" si="1"/>
        <v>4</v>
      </c>
      <c r="D21" s="10">
        <v>183.0</v>
      </c>
      <c r="E21" s="66" t="s">
        <v>32</v>
      </c>
      <c r="F21" s="10" t="s">
        <v>17</v>
      </c>
      <c r="G21" s="11">
        <v>0.024085648148148148</v>
      </c>
      <c r="H21" s="11">
        <v>0.010208333333333333</v>
      </c>
      <c r="I21" s="11">
        <v>0.005763888888888889</v>
      </c>
      <c r="J21" s="11">
        <v>0.0026157407407407405</v>
      </c>
      <c r="K21" s="37" t="str">
        <f>HYPERLINK("https://www.strava.com/activities/2184396610","Strava")</f>
        <v>Strava</v>
      </c>
    </row>
    <row r="22">
      <c r="A22" s="10">
        <v>75.0</v>
      </c>
      <c r="B22" s="10">
        <v>300.0</v>
      </c>
      <c r="C22" s="10">
        <f t="shared" si="1"/>
        <v>4</v>
      </c>
      <c r="D22" s="10">
        <v>183.0</v>
      </c>
      <c r="E22" s="63" t="s">
        <v>36</v>
      </c>
      <c r="F22" s="10" t="s">
        <v>17</v>
      </c>
      <c r="G22" s="11">
        <v>0.02414351851851852</v>
      </c>
      <c r="H22" s="11">
        <v>0.010219907407407407</v>
      </c>
      <c r="I22" s="11">
        <v>0.005763888888888889</v>
      </c>
      <c r="J22" s="11">
        <v>0.002627314814814815</v>
      </c>
      <c r="K22" s="37" t="str">
        <f>HYPERLINK("https://www.strava.com/activities/2356949681","Strava")</f>
        <v>Strava</v>
      </c>
    </row>
    <row r="23">
      <c r="A23" s="10">
        <v>75.0</v>
      </c>
      <c r="B23" s="10">
        <v>300.0</v>
      </c>
      <c r="C23" s="10">
        <f t="shared" si="1"/>
        <v>4</v>
      </c>
      <c r="D23" s="10">
        <v>183.0</v>
      </c>
      <c r="E23" s="66" t="s">
        <v>38</v>
      </c>
      <c r="F23" s="10" t="s">
        <v>17</v>
      </c>
      <c r="G23" s="11">
        <v>0.02414351851851852</v>
      </c>
      <c r="H23" s="11">
        <v>0.010231481481481482</v>
      </c>
      <c r="I23" s="11">
        <v>0.005763888888888889</v>
      </c>
      <c r="J23" s="11">
        <v>0.002627314814814815</v>
      </c>
      <c r="K23" s="37" t="str">
        <f>HYPERLINK("https://www.strava.com/activities/2183022153","Strava")</f>
        <v>Strava</v>
      </c>
    </row>
    <row r="24">
      <c r="A24" s="10">
        <v>75.0</v>
      </c>
      <c r="B24" s="10">
        <v>300.0</v>
      </c>
      <c r="C24" s="10">
        <f t="shared" si="1"/>
        <v>4</v>
      </c>
      <c r="D24" s="10">
        <v>183.0</v>
      </c>
      <c r="E24" s="63" t="s">
        <v>40</v>
      </c>
      <c r="F24" s="10" t="s">
        <v>17</v>
      </c>
      <c r="G24" s="11">
        <v>0.02414351851851852</v>
      </c>
      <c r="H24" s="11">
        <v>0.010219907407407407</v>
      </c>
      <c r="I24" s="11">
        <v>0.005763888888888889</v>
      </c>
      <c r="J24" s="11">
        <v>0.002627314814814815</v>
      </c>
      <c r="K24" s="37" t="str">
        <f>HYPERLINK("https://www.strava.com/activities/2356934477","Strava")</f>
        <v>Strava</v>
      </c>
    </row>
    <row r="25">
      <c r="A25" s="10">
        <v>75.0</v>
      </c>
      <c r="B25" s="10">
        <v>300.0</v>
      </c>
      <c r="C25" s="10">
        <f t="shared" si="1"/>
        <v>4</v>
      </c>
      <c r="D25" s="10">
        <v>183.0</v>
      </c>
      <c r="E25" s="66" t="s">
        <v>385</v>
      </c>
      <c r="F25" s="10" t="s">
        <v>17</v>
      </c>
      <c r="G25" s="11">
        <v>0.024155092592592593</v>
      </c>
      <c r="H25" s="11">
        <v>0.010231481481481482</v>
      </c>
      <c r="I25" s="11">
        <v>0.005763888888888889</v>
      </c>
      <c r="J25" s="11">
        <v>0.002627314814814815</v>
      </c>
      <c r="K25" s="37" t="str">
        <f>HYPERLINK("https://www.strava.com/activities/2184210218","Strava")</f>
        <v>Strava</v>
      </c>
    </row>
    <row r="26">
      <c r="A26" s="10">
        <v>75.0</v>
      </c>
      <c r="B26" s="10">
        <v>300.0</v>
      </c>
      <c r="C26" s="10">
        <f t="shared" si="1"/>
        <v>4</v>
      </c>
      <c r="D26" s="10">
        <v>183.0</v>
      </c>
      <c r="E26" s="66" t="s">
        <v>52</v>
      </c>
      <c r="F26" s="10" t="s">
        <v>17</v>
      </c>
      <c r="G26" s="11">
        <v>0.024155092592592593</v>
      </c>
      <c r="H26" s="11">
        <v>0.010231481481481482</v>
      </c>
      <c r="I26" s="11">
        <v>0.005763888888888889</v>
      </c>
      <c r="J26" s="11">
        <v>0.002627314814814815</v>
      </c>
      <c r="K26" s="37" t="str">
        <f>HYPERLINK("https://www.strava.com/activities/2184934229","Strava")</f>
        <v>Strava</v>
      </c>
    </row>
    <row r="27">
      <c r="A27" s="10">
        <v>75.0</v>
      </c>
      <c r="B27" s="10">
        <v>300.0</v>
      </c>
      <c r="C27" s="10">
        <f t="shared" si="1"/>
        <v>4</v>
      </c>
      <c r="D27" s="10">
        <v>183.0</v>
      </c>
      <c r="E27" s="10" t="s">
        <v>545</v>
      </c>
      <c r="F27" s="10" t="s">
        <v>65</v>
      </c>
      <c r="G27" s="11">
        <v>0.024340277777777777</v>
      </c>
      <c r="H27" s="11">
        <v>0.010324074074074074</v>
      </c>
      <c r="I27" s="11">
        <v>0.005763888888888889</v>
      </c>
      <c r="J27" s="11">
        <v>0.002662037037037037</v>
      </c>
      <c r="K27" s="37" t="str">
        <f>HYPERLINK("https://www.strava.com/activities/2187479000","Strava")</f>
        <v>Strava</v>
      </c>
    </row>
    <row r="28">
      <c r="A28" s="10">
        <v>75.0</v>
      </c>
      <c r="B28" s="10">
        <v>300.0</v>
      </c>
      <c r="C28" s="10">
        <f t="shared" si="1"/>
        <v>4</v>
      </c>
      <c r="D28" s="10">
        <v>183.0</v>
      </c>
      <c r="E28" s="10" t="s">
        <v>71</v>
      </c>
      <c r="F28" s="10" t="s">
        <v>65</v>
      </c>
      <c r="G28" s="11">
        <v>0.024340277777777777</v>
      </c>
      <c r="H28" s="11">
        <v>0.010324074074074074</v>
      </c>
      <c r="I28" s="11">
        <v>0.005763888888888889</v>
      </c>
      <c r="J28" s="11">
        <v>0.002662037037037037</v>
      </c>
      <c r="K28" s="37" t="str">
        <f>HYPERLINK("https://www.strava.com/activities/2187446571","Strava")</f>
        <v>Strava</v>
      </c>
    </row>
    <row r="29">
      <c r="A29" s="10">
        <v>75.0</v>
      </c>
      <c r="B29" s="10">
        <v>300.0</v>
      </c>
      <c r="C29" s="10">
        <f t="shared" si="1"/>
        <v>4</v>
      </c>
      <c r="D29" s="10">
        <v>183.0</v>
      </c>
      <c r="E29" s="10" t="s">
        <v>75</v>
      </c>
      <c r="F29" s="10" t="s">
        <v>65</v>
      </c>
      <c r="G29" s="11">
        <v>0.02435185185185185</v>
      </c>
      <c r="H29" s="11">
        <v>0.010324074074074074</v>
      </c>
      <c r="I29" s="11">
        <v>0.005763888888888889</v>
      </c>
      <c r="J29" s="11">
        <v>0.002662037037037037</v>
      </c>
      <c r="K29" s="37" t="str">
        <f>HYPERLINK("https://www.strava.com/activities/2187480396","Strava")</f>
        <v>Strava</v>
      </c>
    </row>
    <row r="30">
      <c r="A30" s="10">
        <v>75.0</v>
      </c>
      <c r="B30" s="10">
        <v>300.0</v>
      </c>
      <c r="C30" s="10">
        <f t="shared" si="1"/>
        <v>4</v>
      </c>
      <c r="D30" s="10">
        <v>183.0</v>
      </c>
      <c r="E30" s="10" t="s">
        <v>19</v>
      </c>
      <c r="F30" s="10" t="s">
        <v>65</v>
      </c>
      <c r="G30" s="11">
        <v>0.024398148148148148</v>
      </c>
      <c r="H30" s="11">
        <v>0.010347222222222223</v>
      </c>
      <c r="I30" s="11">
        <v>0.005763888888888889</v>
      </c>
      <c r="J30" s="11">
        <v>0.002673611111111111</v>
      </c>
      <c r="K30" s="37" t="str">
        <f>HYPERLINK("https://www.strava.com/activities/2182063121","Strava")</f>
        <v>Strava</v>
      </c>
    </row>
    <row r="31">
      <c r="A31" s="10">
        <v>75.0</v>
      </c>
      <c r="B31" s="10">
        <v>300.0</v>
      </c>
      <c r="C31" s="10">
        <f t="shared" si="1"/>
        <v>4</v>
      </c>
      <c r="D31" s="10">
        <v>183.0</v>
      </c>
      <c r="E31" s="10" t="s">
        <v>19</v>
      </c>
      <c r="F31" s="10" t="s">
        <v>79</v>
      </c>
      <c r="G31" s="11">
        <v>0.024421296296296295</v>
      </c>
      <c r="H31" s="11">
        <v>0.010358796296296297</v>
      </c>
      <c r="I31" s="11">
        <v>0.005763888888888889</v>
      </c>
      <c r="J31" s="11">
        <v>0.002685185185185185</v>
      </c>
      <c r="K31" s="37" t="str">
        <f>HYPERLINK("https://www.strava.com/activities/2182187032","Strava")</f>
        <v>Strava</v>
      </c>
    </row>
    <row r="32">
      <c r="A32" s="10">
        <v>75.0</v>
      </c>
      <c r="B32" s="10">
        <v>300.0</v>
      </c>
      <c r="C32" s="10">
        <f t="shared" si="1"/>
        <v>4</v>
      </c>
      <c r="D32" s="10">
        <v>183.0</v>
      </c>
      <c r="E32" s="10" t="s">
        <v>19</v>
      </c>
      <c r="F32" s="10" t="s">
        <v>113</v>
      </c>
      <c r="G32" s="11">
        <v>0.02449074074074074</v>
      </c>
      <c r="H32" s="11">
        <v>0.010393518518518519</v>
      </c>
      <c r="I32" s="11">
        <v>0.005763888888888889</v>
      </c>
      <c r="J32" s="11">
        <v>0.0026967592592592594</v>
      </c>
      <c r="K32" s="37" t="str">
        <f>HYPERLINK("https://www.strava.com/activities/2182284435","Strava")</f>
        <v>Strava</v>
      </c>
    </row>
    <row r="33">
      <c r="A33" s="10">
        <v>75.0</v>
      </c>
      <c r="B33" s="10">
        <v>300.0</v>
      </c>
      <c r="C33" s="10">
        <f t="shared" si="1"/>
        <v>4</v>
      </c>
      <c r="D33" s="10">
        <v>183.0</v>
      </c>
      <c r="E33" s="66" t="s">
        <v>46</v>
      </c>
      <c r="F33" s="10" t="s">
        <v>17</v>
      </c>
      <c r="G33" s="11">
        <v>0.024155092592592593</v>
      </c>
      <c r="H33" s="11">
        <v>0.010231481481481482</v>
      </c>
      <c r="I33" s="11">
        <v>0.005775462962962963</v>
      </c>
      <c r="J33" s="11">
        <v>0.0026157407407407405</v>
      </c>
      <c r="K33" s="37" t="str">
        <f>HYPERLINK("https://www.strava.com/activities/2184334709","Strava")</f>
        <v>Strava</v>
      </c>
    </row>
    <row r="34">
      <c r="A34" s="10">
        <v>75.0</v>
      </c>
      <c r="B34" s="10">
        <v>300.0</v>
      </c>
      <c r="C34" s="10">
        <f t="shared" si="1"/>
        <v>4</v>
      </c>
      <c r="D34" s="10">
        <v>183.0</v>
      </c>
      <c r="E34" s="66" t="s">
        <v>48</v>
      </c>
      <c r="F34" s="10" t="s">
        <v>17</v>
      </c>
      <c r="G34" s="11">
        <v>0.024155092592592593</v>
      </c>
      <c r="H34" s="11">
        <v>0.010219907407407407</v>
      </c>
      <c r="I34" s="11">
        <v>0.005775462962962963</v>
      </c>
      <c r="J34" s="11">
        <v>0.002627314814814815</v>
      </c>
      <c r="K34" s="37" t="str">
        <f>HYPERLINK("https://www.strava.com/activities/2184611116","Strava")</f>
        <v>Strava</v>
      </c>
    </row>
    <row r="35">
      <c r="A35" s="10">
        <v>75.0</v>
      </c>
      <c r="B35" s="10">
        <v>300.0</v>
      </c>
      <c r="C35" s="10">
        <f t="shared" si="1"/>
        <v>4</v>
      </c>
      <c r="D35" s="10">
        <v>183.0</v>
      </c>
      <c r="E35" s="10" t="s">
        <v>19</v>
      </c>
      <c r="F35" s="10" t="s">
        <v>108</v>
      </c>
      <c r="G35" s="11">
        <v>0.02443287037037037</v>
      </c>
      <c r="H35" s="11">
        <v>0.010358796296296297</v>
      </c>
      <c r="I35" s="11">
        <v>0.005775462962962963</v>
      </c>
      <c r="J35" s="11">
        <v>0.002685185185185185</v>
      </c>
      <c r="K35" s="37" t="str">
        <f>HYPERLINK("https://www.strava.com/activities/2182731469","Strava")</f>
        <v>Strava</v>
      </c>
    </row>
    <row r="36">
      <c r="A36" s="10">
        <v>75.0</v>
      </c>
      <c r="B36" s="10">
        <v>300.0</v>
      </c>
      <c r="C36" s="10">
        <f t="shared" si="1"/>
        <v>4</v>
      </c>
      <c r="D36" s="10">
        <v>183.0</v>
      </c>
      <c r="E36" s="10" t="s">
        <v>19</v>
      </c>
      <c r="F36" s="10" t="s">
        <v>91</v>
      </c>
      <c r="G36" s="11">
        <v>0.024444444444444446</v>
      </c>
      <c r="H36" s="11">
        <v>0.01037037037037037</v>
      </c>
      <c r="I36" s="11">
        <v>0.005775462962962963</v>
      </c>
      <c r="J36" s="11">
        <v>0.002685185185185185</v>
      </c>
      <c r="K36" s="37" t="str">
        <f>HYPERLINK("https://www.strava.com/activities/2182285829","Strava")</f>
        <v>Strava</v>
      </c>
    </row>
    <row r="37">
      <c r="A37" s="10">
        <v>75.0</v>
      </c>
      <c r="B37" s="10">
        <v>300.0</v>
      </c>
      <c r="C37" s="10">
        <f t="shared" si="1"/>
        <v>4</v>
      </c>
      <c r="D37" s="10">
        <v>183.0</v>
      </c>
      <c r="E37" s="10" t="s">
        <v>19</v>
      </c>
      <c r="F37" s="10" t="s">
        <v>116</v>
      </c>
      <c r="G37" s="11">
        <v>0.024525462962962964</v>
      </c>
      <c r="H37" s="11">
        <v>0.010416666666666666</v>
      </c>
      <c r="I37" s="11">
        <v>0.005775462962962963</v>
      </c>
      <c r="J37" s="11">
        <v>0.0026967592592592594</v>
      </c>
      <c r="K37" s="37" t="str">
        <f>HYPERLINK("https://www.strava.com/activities/2182661024","Strava")</f>
        <v>Strava</v>
      </c>
    </row>
    <row r="38">
      <c r="A38" s="10">
        <v>75.0</v>
      </c>
      <c r="B38" s="10">
        <v>300.0</v>
      </c>
      <c r="C38" s="10">
        <f t="shared" si="1"/>
        <v>4</v>
      </c>
      <c r="D38" s="10">
        <v>183.0</v>
      </c>
      <c r="E38" s="10" t="s">
        <v>19</v>
      </c>
      <c r="F38" s="10" t="s">
        <v>375</v>
      </c>
      <c r="G38" s="11">
        <v>0.024537037037037038</v>
      </c>
      <c r="H38" s="11">
        <v>0.010405092592592593</v>
      </c>
      <c r="I38" s="11">
        <v>0.005775462962962963</v>
      </c>
      <c r="J38" s="11">
        <v>0.0026967592592592594</v>
      </c>
      <c r="K38" s="37" t="str">
        <f>HYPERLINK("https://www.strava.com/activities/2182543845","Strava")</f>
        <v>Strava</v>
      </c>
    </row>
    <row r="39">
      <c r="A39" s="10">
        <v>75.0</v>
      </c>
      <c r="B39" s="10">
        <v>300.0</v>
      </c>
      <c r="C39" s="10">
        <f t="shared" si="1"/>
        <v>4</v>
      </c>
      <c r="D39" s="10">
        <v>183.0</v>
      </c>
      <c r="E39" s="10" t="s">
        <v>19</v>
      </c>
      <c r="F39" s="10" t="s">
        <v>129</v>
      </c>
      <c r="G39" s="11">
        <v>0.02454861111111111</v>
      </c>
      <c r="H39" s="11">
        <v>0.010416666666666666</v>
      </c>
      <c r="I39" s="11">
        <v>0.005775462962962963</v>
      </c>
      <c r="J39" s="11">
        <v>0.0027083333333333334</v>
      </c>
      <c r="K39" s="37" t="str">
        <f>HYPERLINK("https://www.strava.com/activities/2182604354","Strava")</f>
        <v>Strava</v>
      </c>
    </row>
    <row r="40">
      <c r="A40" s="10">
        <v>75.0</v>
      </c>
      <c r="B40" s="10">
        <v>300.0</v>
      </c>
      <c r="C40" s="10">
        <f t="shared" si="1"/>
        <v>4</v>
      </c>
      <c r="D40" s="10">
        <v>183.0</v>
      </c>
      <c r="E40" s="10" t="s">
        <v>19</v>
      </c>
      <c r="F40" s="10" t="s">
        <v>458</v>
      </c>
      <c r="G40" s="11">
        <v>0.024560185185185185</v>
      </c>
      <c r="H40" s="11">
        <v>0.010428240740740741</v>
      </c>
      <c r="I40" s="11">
        <v>0.005775462962962963</v>
      </c>
      <c r="J40" s="11">
        <v>0.0027083333333333334</v>
      </c>
      <c r="K40" s="37" t="str">
        <f>HYPERLINK("https://www.strava.com/activities/2182782461","Strava")</f>
        <v>Strava</v>
      </c>
    </row>
    <row r="41">
      <c r="A41" s="10">
        <v>75.0</v>
      </c>
      <c r="B41" s="10">
        <v>300.0</v>
      </c>
      <c r="C41" s="10">
        <f t="shared" si="1"/>
        <v>4</v>
      </c>
      <c r="D41" s="10">
        <v>183.0</v>
      </c>
      <c r="E41" s="10" t="s">
        <v>19</v>
      </c>
      <c r="F41" s="10" t="s">
        <v>135</v>
      </c>
      <c r="G41" s="11">
        <v>0.024583333333333332</v>
      </c>
      <c r="H41" s="11">
        <v>0.010439814814814815</v>
      </c>
      <c r="I41" s="11">
        <v>0.005775462962962963</v>
      </c>
      <c r="J41" s="11">
        <v>0.0027083333333333334</v>
      </c>
      <c r="K41" s="37" t="str">
        <f>HYPERLINK("https://www.strava.com/activities/2182529116","Strava")</f>
        <v>Strava</v>
      </c>
    </row>
    <row r="42">
      <c r="A42" s="10">
        <v>75.0</v>
      </c>
      <c r="B42" s="10">
        <v>300.0</v>
      </c>
      <c r="C42" s="10">
        <f t="shared" si="1"/>
        <v>4</v>
      </c>
      <c r="D42" s="10">
        <v>183.0</v>
      </c>
      <c r="E42" s="10" t="s">
        <v>19</v>
      </c>
      <c r="F42" s="10" t="s">
        <v>133</v>
      </c>
      <c r="G42" s="11">
        <v>0.024641203703703703</v>
      </c>
      <c r="H42" s="11">
        <v>0.010462962962962962</v>
      </c>
      <c r="I42" s="11">
        <v>0.005775462962962963</v>
      </c>
      <c r="J42" s="11">
        <v>0.0027199074074074074</v>
      </c>
      <c r="K42" s="37" t="str">
        <f>HYPERLINK("https://www.strava.com/activities/2182380445","Strava")</f>
        <v>Strava</v>
      </c>
    </row>
    <row r="43">
      <c r="A43" s="10">
        <v>75.0</v>
      </c>
      <c r="B43" s="10">
        <v>300.0</v>
      </c>
      <c r="C43" s="10">
        <f t="shared" si="1"/>
        <v>4</v>
      </c>
      <c r="D43" s="10">
        <v>183.0</v>
      </c>
      <c r="E43" s="10" t="s">
        <v>9</v>
      </c>
      <c r="F43" s="10" t="s">
        <v>17</v>
      </c>
      <c r="G43" s="11">
        <v>0.0246875</v>
      </c>
      <c r="H43" s="11">
        <v>0.010486111111111111</v>
      </c>
      <c r="I43" s="11">
        <v>0.005775462962962963</v>
      </c>
      <c r="J43" s="11">
        <v>0.0027199074074074074</v>
      </c>
      <c r="K43" s="37" t="str">
        <f>HYPERLINK("https://www.strava.com/activities/2187117163","Strava")</f>
        <v>Strava</v>
      </c>
    </row>
    <row r="44">
      <c r="A44" s="10">
        <v>75.0</v>
      </c>
      <c r="B44" s="10">
        <v>300.0</v>
      </c>
      <c r="C44" s="10">
        <f t="shared" si="1"/>
        <v>4</v>
      </c>
      <c r="D44" s="10">
        <v>183.0</v>
      </c>
      <c r="E44" s="10" t="s">
        <v>253</v>
      </c>
      <c r="F44" s="10" t="s">
        <v>17</v>
      </c>
      <c r="G44" s="11">
        <v>0.02476851851851852</v>
      </c>
      <c r="H44" s="11">
        <v>0.010532407407407407</v>
      </c>
      <c r="I44" s="11">
        <v>0.005775462962962963</v>
      </c>
      <c r="J44" s="11">
        <v>0.0027546296296296294</v>
      </c>
      <c r="K44" s="37" t="str">
        <f>HYPERLINK("https://www.strava.com/activities/2187241765","Strava")</f>
        <v>Strava</v>
      </c>
    </row>
    <row r="45">
      <c r="A45" s="10">
        <v>75.0</v>
      </c>
      <c r="B45" s="10">
        <v>300.0</v>
      </c>
      <c r="C45" s="10">
        <f t="shared" si="1"/>
        <v>4</v>
      </c>
      <c r="D45" s="10">
        <v>183.0</v>
      </c>
      <c r="E45" s="10" t="s">
        <v>94</v>
      </c>
      <c r="F45" s="10" t="s">
        <v>17</v>
      </c>
      <c r="G45" s="11">
        <v>0.024780092592592593</v>
      </c>
      <c r="H45" s="11">
        <v>0.010532407407407407</v>
      </c>
      <c r="I45" s="11">
        <v>0.005775462962962963</v>
      </c>
      <c r="J45" s="11">
        <v>0.0027546296296296294</v>
      </c>
      <c r="K45" s="37" t="str">
        <f>HYPERLINK("https://www.strava.com/activities/2186036473","Strava")</f>
        <v>Strava</v>
      </c>
    </row>
    <row r="46">
      <c r="A46" s="10">
        <v>75.0</v>
      </c>
      <c r="B46" s="10">
        <v>300.0</v>
      </c>
      <c r="C46" s="10">
        <f t="shared" si="1"/>
        <v>4</v>
      </c>
      <c r="D46" s="10">
        <v>183.0</v>
      </c>
      <c r="E46" s="10" t="s">
        <v>325</v>
      </c>
      <c r="F46" s="10" t="s">
        <v>17</v>
      </c>
      <c r="G46" s="11">
        <v>0.024791666666666667</v>
      </c>
      <c r="H46" s="11">
        <v>0.010543981481481482</v>
      </c>
      <c r="I46" s="11">
        <v>0.005775462962962963</v>
      </c>
      <c r="J46" s="11">
        <v>0.0027546296296296294</v>
      </c>
      <c r="K46" s="37" t="str">
        <f>HYPERLINK("https://www.strava.com/activities/2184278587","Strava")</f>
        <v>Strava</v>
      </c>
    </row>
    <row r="47">
      <c r="A47" s="10">
        <v>75.0</v>
      </c>
      <c r="B47" s="10">
        <v>300.0</v>
      </c>
      <c r="C47" s="10">
        <f t="shared" si="1"/>
        <v>4</v>
      </c>
      <c r="D47" s="10">
        <v>183.0</v>
      </c>
      <c r="E47" s="66" t="s">
        <v>50</v>
      </c>
      <c r="F47" s="10" t="s">
        <v>17</v>
      </c>
      <c r="G47" s="11">
        <v>0.024166666666666666</v>
      </c>
      <c r="H47" s="11">
        <v>0.010231481481481482</v>
      </c>
      <c r="I47" s="11">
        <v>0.005787037037037037</v>
      </c>
      <c r="J47" s="11">
        <v>0.0026157407407407405</v>
      </c>
      <c r="K47" s="37" t="str">
        <f>HYPERLINK("https://www.strava.com/activities/2183836206","Strava")</f>
        <v>Strava</v>
      </c>
    </row>
    <row r="48">
      <c r="A48" s="10">
        <v>75.0</v>
      </c>
      <c r="B48" s="10">
        <v>300.0</v>
      </c>
      <c r="C48" s="10">
        <f t="shared" si="1"/>
        <v>4</v>
      </c>
      <c r="D48" s="10">
        <v>183.0</v>
      </c>
      <c r="E48" s="10" t="s">
        <v>19</v>
      </c>
      <c r="F48" s="10" t="s">
        <v>546</v>
      </c>
      <c r="G48" s="11">
        <v>0.02457175925925926</v>
      </c>
      <c r="H48" s="11">
        <v>0.010439814814814815</v>
      </c>
      <c r="I48" s="11">
        <v>0.005787037037037037</v>
      </c>
      <c r="J48" s="11">
        <v>0.0026967592592592594</v>
      </c>
      <c r="K48" s="37" t="str">
        <f>HYPERLINK("https://www.strava.com/activities/2182828380","Strava")</f>
        <v>Strava</v>
      </c>
    </row>
    <row r="49">
      <c r="A49" s="10">
        <v>75.0</v>
      </c>
      <c r="B49" s="10">
        <v>300.0</v>
      </c>
      <c r="C49" s="10">
        <f t="shared" si="1"/>
        <v>4</v>
      </c>
      <c r="D49" s="10">
        <v>183.0</v>
      </c>
      <c r="E49" s="10" t="s">
        <v>19</v>
      </c>
      <c r="F49" s="10" t="s">
        <v>137</v>
      </c>
      <c r="G49" s="11">
        <v>0.02459490740740741</v>
      </c>
      <c r="H49" s="11">
        <v>0.010428240740740741</v>
      </c>
      <c r="I49" s="11">
        <v>0.005787037037037037</v>
      </c>
      <c r="J49" s="11">
        <v>0.0026967592592592594</v>
      </c>
      <c r="K49" s="37" t="str">
        <f>HYPERLINK("https://www.strava.com/activities/2357237374","Strava")</f>
        <v>Strava</v>
      </c>
    </row>
    <row r="50">
      <c r="A50" s="10">
        <v>75.0</v>
      </c>
      <c r="B50" s="10">
        <v>300.0</v>
      </c>
      <c r="C50" s="10">
        <f t="shared" si="1"/>
        <v>4</v>
      </c>
      <c r="D50" s="10">
        <v>183.0</v>
      </c>
      <c r="E50" s="10" t="s">
        <v>19</v>
      </c>
      <c r="F50" s="10" t="s">
        <v>141</v>
      </c>
      <c r="G50" s="11">
        <v>0.024606481481481483</v>
      </c>
      <c r="H50" s="11">
        <v>0.010451388888888889</v>
      </c>
      <c r="I50" s="11">
        <v>0.005787037037037037</v>
      </c>
      <c r="J50" s="11">
        <v>0.0027083333333333334</v>
      </c>
      <c r="K50" s="37" t="str">
        <f>HYPERLINK("https://www.strava.com/activities/2182782639","Strava")</f>
        <v>Strava</v>
      </c>
    </row>
    <row r="51">
      <c r="A51" s="10">
        <v>75.0</v>
      </c>
      <c r="B51" s="10">
        <v>300.0</v>
      </c>
      <c r="C51" s="10">
        <f t="shared" si="1"/>
        <v>4</v>
      </c>
      <c r="D51" s="10">
        <v>183.0</v>
      </c>
      <c r="E51" s="10" t="s">
        <v>19</v>
      </c>
      <c r="F51" s="10" t="s">
        <v>547</v>
      </c>
      <c r="G51" s="11">
        <v>0.024606481481481483</v>
      </c>
      <c r="H51" s="11">
        <v>0.010439814814814815</v>
      </c>
      <c r="I51" s="11">
        <v>0.005787037037037037</v>
      </c>
      <c r="J51" s="11">
        <v>0.0027083333333333334</v>
      </c>
      <c r="K51" s="37" t="str">
        <f>HYPERLINK("https://www.strava.com/activities/2182828054","Strava")</f>
        <v>Strava</v>
      </c>
    </row>
    <row r="52">
      <c r="A52" s="10">
        <v>75.0</v>
      </c>
      <c r="B52" s="10">
        <v>300.0</v>
      </c>
      <c r="C52" s="10">
        <f t="shared" si="1"/>
        <v>4</v>
      </c>
      <c r="D52" s="10">
        <v>183.0</v>
      </c>
      <c r="E52" s="10" t="s">
        <v>19</v>
      </c>
      <c r="F52" s="10" t="s">
        <v>548</v>
      </c>
      <c r="G52" s="11">
        <v>0.024618055555555556</v>
      </c>
      <c r="H52" s="11">
        <v>0.010451388888888889</v>
      </c>
      <c r="I52" s="11">
        <v>0.005787037037037037</v>
      </c>
      <c r="J52" s="11">
        <v>0.0027083333333333334</v>
      </c>
      <c r="K52" s="37" t="str">
        <f>HYPERLINK("https://www.strava.com/activities/2182871786","Strava")</f>
        <v>Strava</v>
      </c>
    </row>
    <row r="53">
      <c r="A53" s="10">
        <v>75.0</v>
      </c>
      <c r="B53" s="10">
        <v>300.0</v>
      </c>
      <c r="C53" s="10">
        <f t="shared" si="1"/>
        <v>4</v>
      </c>
      <c r="D53" s="10">
        <v>183.0</v>
      </c>
      <c r="E53" s="10" t="s">
        <v>61</v>
      </c>
      <c r="F53" s="10" t="s">
        <v>17</v>
      </c>
      <c r="G53" s="11">
        <v>0.0246875</v>
      </c>
      <c r="H53" s="11">
        <v>0.010486111111111111</v>
      </c>
      <c r="I53" s="11">
        <v>0.005787037037037037</v>
      </c>
      <c r="J53" s="11">
        <v>0.0027314814814814814</v>
      </c>
      <c r="K53" s="37" t="str">
        <f>HYPERLINK("https://www.strava.com/activities/2412061636","Strava")</f>
        <v>Strava</v>
      </c>
    </row>
    <row r="54">
      <c r="A54" s="10">
        <v>75.0</v>
      </c>
      <c r="B54" s="10">
        <v>300.0</v>
      </c>
      <c r="C54" s="10">
        <f t="shared" si="1"/>
        <v>4</v>
      </c>
      <c r="D54" s="10">
        <v>183.0</v>
      </c>
      <c r="E54" s="10" t="s">
        <v>58</v>
      </c>
      <c r="F54" s="10" t="s">
        <v>17</v>
      </c>
      <c r="G54" s="11">
        <v>0.024699074074074075</v>
      </c>
      <c r="H54" s="11">
        <v>0.010486111111111111</v>
      </c>
      <c r="I54" s="11">
        <v>0.005787037037037037</v>
      </c>
      <c r="J54" s="11">
        <v>0.0027314814814814814</v>
      </c>
      <c r="K54" s="37" t="str">
        <f>HYPERLINK("https://www.strava.com/activities/2184458252","Strava")</f>
        <v>Strava</v>
      </c>
    </row>
    <row r="55">
      <c r="A55" s="10">
        <v>75.0</v>
      </c>
      <c r="B55" s="10">
        <v>300.0</v>
      </c>
      <c r="C55" s="10">
        <f t="shared" si="1"/>
        <v>4</v>
      </c>
      <c r="D55" s="10">
        <v>183.0</v>
      </c>
      <c r="E55" s="10" t="s">
        <v>63</v>
      </c>
      <c r="F55" s="10" t="s">
        <v>17</v>
      </c>
      <c r="G55" s="11">
        <v>0.024699074074074075</v>
      </c>
      <c r="H55" s="22">
        <v>0.010497685185185185</v>
      </c>
      <c r="I55" s="11">
        <v>0.005787037037037037</v>
      </c>
      <c r="J55" s="11">
        <v>0.0027314814814814814</v>
      </c>
      <c r="K55" s="37" t="str">
        <f>HYPERLINK("https://www.strava.com/activities/2187116784","Strava")</f>
        <v>Strava</v>
      </c>
    </row>
    <row r="56">
      <c r="A56" s="10">
        <v>75.0</v>
      </c>
      <c r="B56" s="10">
        <v>300.0</v>
      </c>
      <c r="C56" s="10">
        <f t="shared" si="1"/>
        <v>4</v>
      </c>
      <c r="D56" s="10">
        <v>183.0</v>
      </c>
      <c r="E56" s="10" t="s">
        <v>543</v>
      </c>
      <c r="F56" s="10" t="s">
        <v>17</v>
      </c>
      <c r="G56" s="11">
        <v>0.024722222222222222</v>
      </c>
      <c r="H56" s="11">
        <v>0.010497685185185185</v>
      </c>
      <c r="I56" s="11">
        <v>0.005787037037037037</v>
      </c>
      <c r="J56" s="11">
        <v>0.0027314814814814814</v>
      </c>
      <c r="K56" s="37" t="str">
        <f>HYPERLINK("https://www.strava.com/activities/2184458755","Strava")</f>
        <v>Strava</v>
      </c>
    </row>
    <row r="57">
      <c r="A57" s="10">
        <v>75.0</v>
      </c>
      <c r="B57" s="10">
        <v>300.0</v>
      </c>
      <c r="C57" s="10">
        <f t="shared" si="1"/>
        <v>4</v>
      </c>
      <c r="D57" s="10">
        <v>183.0</v>
      </c>
      <c r="E57" s="10" t="s">
        <v>77</v>
      </c>
      <c r="F57" s="10" t="s">
        <v>17</v>
      </c>
      <c r="G57" s="11">
        <v>0.024722222222222222</v>
      </c>
      <c r="H57" s="11">
        <v>0.01050925925925926</v>
      </c>
      <c r="I57" s="11">
        <v>0.005787037037037037</v>
      </c>
      <c r="J57" s="11">
        <v>0.0027430555555555554</v>
      </c>
      <c r="K57" s="37" t="str">
        <f>HYPERLINK("https://www.strava.com/activities/2184668253","Strava")</f>
        <v>Strava</v>
      </c>
    </row>
    <row r="58">
      <c r="A58" s="10">
        <v>75.0</v>
      </c>
      <c r="B58" s="10">
        <v>300.0</v>
      </c>
      <c r="C58" s="10">
        <f t="shared" si="1"/>
        <v>4</v>
      </c>
      <c r="D58" s="10">
        <v>183.0</v>
      </c>
      <c r="E58" s="10" t="s">
        <v>179</v>
      </c>
      <c r="F58" s="10" t="s">
        <v>17</v>
      </c>
      <c r="G58" s="11">
        <v>0.02474537037037037</v>
      </c>
      <c r="H58" s="11">
        <v>0.01050925925925926</v>
      </c>
      <c r="I58" s="11">
        <v>0.005787037037037037</v>
      </c>
      <c r="J58" s="11">
        <v>0.0027314814814814814</v>
      </c>
      <c r="K58" s="37" t="str">
        <f>HYPERLINK("https://www.strava.com/activities/2184613962","Strava")</f>
        <v>Strava</v>
      </c>
    </row>
    <row r="59">
      <c r="A59" s="10">
        <v>75.0</v>
      </c>
      <c r="B59" s="10">
        <v>300.0</v>
      </c>
      <c r="C59" s="10">
        <f t="shared" si="1"/>
        <v>4</v>
      </c>
      <c r="D59" s="10">
        <v>183.0</v>
      </c>
      <c r="E59" s="10" t="s">
        <v>233</v>
      </c>
      <c r="F59" s="10" t="s">
        <v>17</v>
      </c>
      <c r="G59" s="11">
        <v>0.024791666666666667</v>
      </c>
      <c r="H59" s="11">
        <v>0.010532407407407407</v>
      </c>
      <c r="I59" s="11">
        <v>0.005787037037037037</v>
      </c>
      <c r="J59" s="11">
        <v>0.0027430555555555554</v>
      </c>
      <c r="K59" s="37" t="str">
        <f>HYPERLINK("https://www.strava.com/activities/2184335185","Strava")</f>
        <v>Strava</v>
      </c>
    </row>
    <row r="60">
      <c r="A60" s="10">
        <v>75.0</v>
      </c>
      <c r="B60" s="10">
        <v>300.0</v>
      </c>
      <c r="C60" s="10">
        <f t="shared" si="1"/>
        <v>4</v>
      </c>
      <c r="D60" s="10">
        <v>183.0</v>
      </c>
      <c r="E60" s="10" t="s">
        <v>211</v>
      </c>
      <c r="F60" s="10" t="s">
        <v>17</v>
      </c>
      <c r="G60" s="11">
        <v>0.024791666666666667</v>
      </c>
      <c r="H60" s="11">
        <v>0.010532407407407407</v>
      </c>
      <c r="I60" s="11">
        <v>0.005787037037037037</v>
      </c>
      <c r="J60" s="11">
        <v>0.0027430555555555554</v>
      </c>
      <c r="K60" s="37" t="str">
        <f>HYPERLINK("https://www.strava.com/activities/2184397000","Strava")</f>
        <v>Strava</v>
      </c>
    </row>
    <row r="61">
      <c r="A61" s="10">
        <v>75.0</v>
      </c>
      <c r="B61" s="10">
        <v>300.0</v>
      </c>
      <c r="C61" s="10">
        <f t="shared" si="1"/>
        <v>4</v>
      </c>
      <c r="D61" s="10">
        <v>183.0</v>
      </c>
      <c r="E61" s="10" t="s">
        <v>215</v>
      </c>
      <c r="F61" s="10" t="s">
        <v>17</v>
      </c>
      <c r="G61" s="11">
        <v>0.024791666666666667</v>
      </c>
      <c r="H61" s="11">
        <v>0.010532407407407407</v>
      </c>
      <c r="I61" s="11">
        <v>0.005787037037037037</v>
      </c>
      <c r="J61" s="11">
        <v>0.0027430555555555554</v>
      </c>
      <c r="K61" s="37" t="str">
        <f>HYPERLINK("https://www.strava.com/activities/2501263218","Strava")</f>
        <v>Strava</v>
      </c>
    </row>
    <row r="62">
      <c r="A62" s="10">
        <v>75.0</v>
      </c>
      <c r="B62" s="10">
        <v>300.0</v>
      </c>
      <c r="C62" s="10">
        <f t="shared" si="1"/>
        <v>4</v>
      </c>
      <c r="D62" s="10">
        <v>183.0</v>
      </c>
      <c r="E62" s="10" t="s">
        <v>239</v>
      </c>
      <c r="F62" s="10" t="s">
        <v>17</v>
      </c>
      <c r="G62" s="11">
        <v>0.024791666666666667</v>
      </c>
      <c r="H62" s="11">
        <v>0.010532407407407407</v>
      </c>
      <c r="I62" s="11">
        <v>0.005787037037037037</v>
      </c>
      <c r="J62" s="11">
        <v>0.0027430555555555554</v>
      </c>
      <c r="K62" s="37" t="str">
        <f>HYPERLINK("https://www.strava.com/activities/2184885229","Strava")</f>
        <v>Strava</v>
      </c>
    </row>
    <row r="63">
      <c r="A63" s="10">
        <v>75.0</v>
      </c>
      <c r="B63" s="10">
        <v>300.0</v>
      </c>
      <c r="C63" s="10">
        <f t="shared" si="1"/>
        <v>4</v>
      </c>
      <c r="D63" s="10">
        <v>183.0</v>
      </c>
      <c r="E63" s="10" t="s">
        <v>219</v>
      </c>
      <c r="F63" s="10" t="s">
        <v>17</v>
      </c>
      <c r="G63" s="11">
        <v>0.024791666666666667</v>
      </c>
      <c r="H63" s="11">
        <v>0.010532407407407407</v>
      </c>
      <c r="I63" s="11">
        <v>0.005787037037037037</v>
      </c>
      <c r="J63" s="11">
        <v>0.0027430555555555554</v>
      </c>
      <c r="K63" s="37" t="str">
        <f>HYPERLINK("https://www.strava.com/activities/2184885427","Strava")</f>
        <v>Strava</v>
      </c>
    </row>
    <row r="64">
      <c r="A64" s="10">
        <v>75.0</v>
      </c>
      <c r="B64" s="10">
        <v>300.0</v>
      </c>
      <c r="C64" s="10">
        <f t="shared" si="1"/>
        <v>4</v>
      </c>
      <c r="D64" s="10">
        <v>183.0</v>
      </c>
      <c r="E64" s="10" t="s">
        <v>225</v>
      </c>
      <c r="F64" s="10" t="s">
        <v>17</v>
      </c>
      <c r="G64" s="11">
        <v>0.024791666666666667</v>
      </c>
      <c r="H64" s="11">
        <v>0.010532407407407407</v>
      </c>
      <c r="I64" s="11">
        <v>0.005787037037037037</v>
      </c>
      <c r="J64" s="11">
        <v>0.0027546296296296294</v>
      </c>
      <c r="K64" s="37" t="str">
        <f>HYPERLINK("https://www.strava.com/activities/2199571779","Strava")</f>
        <v>Strava</v>
      </c>
    </row>
    <row r="65">
      <c r="A65" s="10">
        <v>75.0</v>
      </c>
      <c r="B65" s="10">
        <v>300.0</v>
      </c>
      <c r="C65" s="10">
        <f t="shared" si="1"/>
        <v>4</v>
      </c>
      <c r="D65" s="10">
        <v>183.0</v>
      </c>
      <c r="E65" s="10" t="s">
        <v>231</v>
      </c>
      <c r="F65" s="10" t="s">
        <v>17</v>
      </c>
      <c r="G65" s="11">
        <v>0.02480324074074074</v>
      </c>
      <c r="H65" s="11">
        <v>0.010543981481481482</v>
      </c>
      <c r="I65" s="11">
        <v>0.005787037037037037</v>
      </c>
      <c r="J65" s="11">
        <v>0.0027430555555555554</v>
      </c>
      <c r="K65" s="37" t="str">
        <f>HYPERLINK("https://www.strava.com/activities/2184209355","Strava")</f>
        <v>Strava</v>
      </c>
    </row>
    <row r="66">
      <c r="A66" s="10">
        <v>75.0</v>
      </c>
      <c r="B66" s="10">
        <v>300.0</v>
      </c>
      <c r="C66" s="10">
        <f t="shared" si="1"/>
        <v>4</v>
      </c>
      <c r="D66" s="10">
        <v>183.0</v>
      </c>
      <c r="E66" s="10" t="s">
        <v>221</v>
      </c>
      <c r="F66" s="10" t="s">
        <v>17</v>
      </c>
      <c r="G66" s="11">
        <v>0.02480324074074074</v>
      </c>
      <c r="H66" s="11">
        <v>0.010543981481481482</v>
      </c>
      <c r="I66" s="11">
        <v>0.005787037037037037</v>
      </c>
      <c r="J66" s="11">
        <v>0.0027546296296296294</v>
      </c>
      <c r="K66" s="37" t="str">
        <f>HYPERLINK("https://www.strava.com/activities/2199580606","Strava")</f>
        <v>Strava</v>
      </c>
    </row>
    <row r="67">
      <c r="A67" s="10">
        <v>75.0</v>
      </c>
      <c r="B67" s="10">
        <v>300.0</v>
      </c>
      <c r="C67" s="10">
        <f t="shared" si="1"/>
        <v>4</v>
      </c>
      <c r="D67" s="10">
        <v>183.0</v>
      </c>
      <c r="E67" s="10" t="s">
        <v>227</v>
      </c>
      <c r="F67" s="10" t="s">
        <v>17</v>
      </c>
      <c r="G67" s="11">
        <v>0.02480324074074074</v>
      </c>
      <c r="H67" s="11">
        <v>0.010543981481481482</v>
      </c>
      <c r="I67" s="11">
        <v>0.005787037037037037</v>
      </c>
      <c r="J67" s="11">
        <v>0.0027546296296296294</v>
      </c>
      <c r="K67" s="37" t="str">
        <f>HYPERLINK("https://www.strava.com/activities/2187117831","Strava")</f>
        <v>Strava</v>
      </c>
    </row>
    <row r="68">
      <c r="A68" s="10">
        <v>75.0</v>
      </c>
      <c r="B68" s="10">
        <v>300.0</v>
      </c>
      <c r="C68" s="10">
        <f t="shared" si="1"/>
        <v>4</v>
      </c>
      <c r="D68" s="10">
        <v>183.0</v>
      </c>
      <c r="E68" s="66" t="s">
        <v>34</v>
      </c>
      <c r="F68" s="10" t="s">
        <v>17</v>
      </c>
      <c r="G68" s="11">
        <v>0.02414351851851852</v>
      </c>
      <c r="H68" s="11">
        <v>0.010231481481481482</v>
      </c>
      <c r="I68" s="11">
        <v>0.005798611111111111</v>
      </c>
      <c r="J68" s="11">
        <v>0.0026157407407407405</v>
      </c>
      <c r="K68" s="37" t="str">
        <f>HYPERLINK("https://www.strava.com/activities/2182983880","Strava")</f>
        <v>Strava</v>
      </c>
    </row>
    <row r="69">
      <c r="A69" s="10">
        <v>75.0</v>
      </c>
      <c r="B69" s="10">
        <v>300.0</v>
      </c>
      <c r="C69" s="10">
        <f t="shared" si="1"/>
        <v>4</v>
      </c>
      <c r="D69" s="10">
        <v>183.0</v>
      </c>
      <c r="E69" s="66" t="s">
        <v>56</v>
      </c>
      <c r="F69" s="10" t="s">
        <v>17</v>
      </c>
      <c r="G69" s="11">
        <v>0.024293981481481482</v>
      </c>
      <c r="H69" s="11">
        <v>0.010289351851851852</v>
      </c>
      <c r="I69" s="11">
        <v>0.005798611111111111</v>
      </c>
      <c r="J69" s="11">
        <v>0.002638888888888889</v>
      </c>
      <c r="K69" s="37" t="str">
        <f>HYPERLINK("https://www.strava.com/activities/2187364682","Strava")</f>
        <v>Strava</v>
      </c>
    </row>
    <row r="70">
      <c r="A70" s="10">
        <v>75.0</v>
      </c>
      <c r="B70" s="10">
        <v>300.0</v>
      </c>
      <c r="C70" s="10">
        <f t="shared" si="1"/>
        <v>4</v>
      </c>
      <c r="D70" s="10">
        <v>183.0</v>
      </c>
      <c r="E70" s="10" t="s">
        <v>19</v>
      </c>
      <c r="F70" s="10" t="s">
        <v>172</v>
      </c>
      <c r="G70" s="11">
        <v>0.02466435185185185</v>
      </c>
      <c r="H70" s="11">
        <v>0.010462962962962962</v>
      </c>
      <c r="I70" s="11">
        <v>0.005798611111111111</v>
      </c>
      <c r="J70" s="11">
        <v>0.0027199074074074074</v>
      </c>
      <c r="K70" s="37" t="str">
        <f>HYPERLINK("https://www.strava.com/activities/2182959592","Strava")</f>
        <v>Strava</v>
      </c>
    </row>
    <row r="71">
      <c r="A71" s="10">
        <v>75.0</v>
      </c>
      <c r="B71" s="10">
        <v>300.0</v>
      </c>
      <c r="C71" s="10">
        <f t="shared" si="1"/>
        <v>4</v>
      </c>
      <c r="D71" s="10">
        <v>183.0</v>
      </c>
      <c r="E71" s="10" t="s">
        <v>19</v>
      </c>
      <c r="F71" s="10" t="s">
        <v>170</v>
      </c>
      <c r="G71" s="11">
        <v>0.024675925925925928</v>
      </c>
      <c r="H71" s="11">
        <v>0.010486111111111111</v>
      </c>
      <c r="I71" s="11">
        <v>0.005798611111111111</v>
      </c>
      <c r="J71" s="11">
        <v>0.0027199074074074074</v>
      </c>
      <c r="K71" s="37" t="str">
        <f>HYPERLINK("https://www.strava.com/activities/2357187622","Strava")</f>
        <v>Strava</v>
      </c>
    </row>
    <row r="72">
      <c r="A72" s="10">
        <v>75.0</v>
      </c>
      <c r="B72" s="10">
        <v>300.0</v>
      </c>
      <c r="C72" s="10">
        <f t="shared" si="1"/>
        <v>4</v>
      </c>
      <c r="D72" s="10">
        <v>183.0</v>
      </c>
      <c r="E72" s="10" t="s">
        <v>545</v>
      </c>
      <c r="F72" s="10" t="s">
        <v>17</v>
      </c>
      <c r="G72" s="11">
        <v>0.024710648148148148</v>
      </c>
      <c r="H72" s="11">
        <v>0.010486111111111111</v>
      </c>
      <c r="I72" s="11">
        <v>0.005798611111111111</v>
      </c>
      <c r="J72" s="11">
        <v>0.0027314814814814814</v>
      </c>
      <c r="K72" s="37" t="str">
        <f>HYPERLINK("https://www.strava.com/activities/2184334362","Strava")</f>
        <v>Strava</v>
      </c>
    </row>
    <row r="73">
      <c r="A73" s="10">
        <v>75.0</v>
      </c>
      <c r="B73" s="10">
        <v>300.0</v>
      </c>
      <c r="C73" s="10">
        <f t="shared" si="1"/>
        <v>4</v>
      </c>
      <c r="D73" s="10">
        <v>183.0</v>
      </c>
      <c r="E73" s="10" t="s">
        <v>71</v>
      </c>
      <c r="F73" s="10" t="s">
        <v>17</v>
      </c>
      <c r="G73" s="11">
        <v>0.024710648148148148</v>
      </c>
      <c r="H73" s="11">
        <v>0.010497685185185185</v>
      </c>
      <c r="I73" s="11">
        <v>0.005798611111111111</v>
      </c>
      <c r="J73" s="11">
        <v>0.0027314814814814814</v>
      </c>
      <c r="K73" s="37" t="str">
        <f>HYPERLINK("https://www.strava.com/activities/2183997226","Strava")</f>
        <v>Strava</v>
      </c>
    </row>
    <row r="74">
      <c r="A74" s="10">
        <v>75.0</v>
      </c>
      <c r="B74" s="10">
        <v>300.0</v>
      </c>
      <c r="C74" s="10">
        <f t="shared" si="1"/>
        <v>4</v>
      </c>
      <c r="D74" s="10">
        <v>183.0</v>
      </c>
      <c r="E74" s="10" t="s">
        <v>75</v>
      </c>
      <c r="F74" s="10" t="s">
        <v>17</v>
      </c>
      <c r="G74" s="11">
        <v>0.024722222222222222</v>
      </c>
      <c r="H74" s="11">
        <v>0.010497685185185185</v>
      </c>
      <c r="I74" s="11">
        <v>0.005798611111111111</v>
      </c>
      <c r="J74" s="11">
        <v>0.0027314814814814814</v>
      </c>
      <c r="K74" s="37" t="str">
        <f>HYPERLINK("https://www.strava.com/activities/2183758053","Strava")</f>
        <v>Strava</v>
      </c>
    </row>
    <row r="75">
      <c r="A75" s="10">
        <v>75.0</v>
      </c>
      <c r="B75" s="10">
        <v>300.0</v>
      </c>
      <c r="C75" s="10">
        <f t="shared" si="1"/>
        <v>4</v>
      </c>
      <c r="D75" s="10">
        <v>183.0</v>
      </c>
      <c r="E75" s="10" t="s">
        <v>19</v>
      </c>
      <c r="F75" s="10" t="s">
        <v>188</v>
      </c>
      <c r="G75" s="11">
        <v>0.024722222222222222</v>
      </c>
      <c r="H75" s="11">
        <v>0.010497685185185185</v>
      </c>
      <c r="I75" s="11">
        <v>0.005798611111111111</v>
      </c>
      <c r="J75" s="11">
        <v>0.0027199074074074074</v>
      </c>
      <c r="K75" s="37" t="str">
        <f>HYPERLINK("https://www.strava.com/activities/2182459235","Strava")</f>
        <v>Strava</v>
      </c>
    </row>
    <row r="76">
      <c r="A76" s="10">
        <v>75.0</v>
      </c>
      <c r="B76" s="10">
        <v>300.0</v>
      </c>
      <c r="C76" s="10">
        <f t="shared" si="1"/>
        <v>4</v>
      </c>
      <c r="D76" s="10">
        <v>183.0</v>
      </c>
      <c r="E76" s="10" t="s">
        <v>19</v>
      </c>
      <c r="F76" s="10" t="s">
        <v>461</v>
      </c>
      <c r="G76" s="11">
        <v>0.02474537037037037</v>
      </c>
      <c r="H76" s="11">
        <v>0.01050925925925926</v>
      </c>
      <c r="I76" s="11">
        <v>0.005798611111111111</v>
      </c>
      <c r="J76" s="11">
        <v>0.0027314814814814814</v>
      </c>
      <c r="K76" s="37" t="str">
        <f>HYPERLINK("https://www.strava.com/activities/2182604688","Strava")</f>
        <v>Strava</v>
      </c>
    </row>
    <row r="77">
      <c r="A77" s="10">
        <v>75.0</v>
      </c>
      <c r="B77" s="10">
        <v>300.0</v>
      </c>
      <c r="C77" s="10">
        <f t="shared" si="1"/>
        <v>4</v>
      </c>
      <c r="D77" s="10">
        <v>183.0</v>
      </c>
      <c r="E77" s="10" t="s">
        <v>190</v>
      </c>
      <c r="F77" s="10" t="s">
        <v>17</v>
      </c>
      <c r="G77" s="11">
        <v>0.024756944444444446</v>
      </c>
      <c r="H77" s="11">
        <v>0.010520833333333333</v>
      </c>
      <c r="I77" s="11">
        <v>0.005798611111111111</v>
      </c>
      <c r="J77" s="11">
        <v>0.0027430555555555554</v>
      </c>
      <c r="K77" s="37" t="str">
        <f>HYPERLINK("https://www.strava.com/activities/2184667365","Strava")</f>
        <v>Strava</v>
      </c>
    </row>
    <row r="78">
      <c r="A78" s="10">
        <v>75.0</v>
      </c>
      <c r="B78" s="10">
        <v>300.0</v>
      </c>
      <c r="C78" s="10">
        <f t="shared" si="1"/>
        <v>4</v>
      </c>
      <c r="D78" s="10">
        <v>183.0</v>
      </c>
      <c r="E78" s="10" t="s">
        <v>235</v>
      </c>
      <c r="F78" s="10" t="s">
        <v>17</v>
      </c>
      <c r="G78" s="11">
        <v>0.024791666666666667</v>
      </c>
      <c r="H78" s="11">
        <v>0.010532407407407407</v>
      </c>
      <c r="I78" s="11">
        <v>0.005798611111111111</v>
      </c>
      <c r="J78" s="11">
        <v>0.0027430555555555554</v>
      </c>
      <c r="K78" s="37" t="str">
        <f>HYPERLINK("https://www.strava.com/activities/2357187286","Strava")</f>
        <v>Strava</v>
      </c>
    </row>
    <row r="79">
      <c r="A79" s="10">
        <v>75.0</v>
      </c>
      <c r="B79" s="10">
        <v>300.0</v>
      </c>
      <c r="C79" s="10">
        <f t="shared" si="1"/>
        <v>4</v>
      </c>
      <c r="D79" s="10">
        <v>183.0</v>
      </c>
      <c r="E79" s="10" t="s">
        <v>549</v>
      </c>
      <c r="F79" s="10" t="s">
        <v>17</v>
      </c>
      <c r="G79" s="11">
        <v>0.024791666666666667</v>
      </c>
      <c r="H79" s="11">
        <v>0.010532407407407407</v>
      </c>
      <c r="I79" s="11">
        <v>0.005798611111111111</v>
      </c>
      <c r="J79" s="11">
        <v>0.0027430555555555554</v>
      </c>
      <c r="K79" s="37" t="str">
        <f>HYPERLINK("https://www.strava.com/activities/2184543454","Strava")</f>
        <v>Strava</v>
      </c>
    </row>
    <row r="80">
      <c r="A80" s="10">
        <v>75.0</v>
      </c>
      <c r="B80" s="10">
        <v>300.0</v>
      </c>
      <c r="C80" s="10">
        <f t="shared" si="1"/>
        <v>4</v>
      </c>
      <c r="D80" s="10">
        <v>183.0</v>
      </c>
      <c r="E80" s="10" t="s">
        <v>360</v>
      </c>
      <c r="F80" s="10" t="s">
        <v>17</v>
      </c>
      <c r="G80" s="11">
        <v>0.024791666666666667</v>
      </c>
      <c r="H80" s="11">
        <v>0.010532407407407407</v>
      </c>
      <c r="I80" s="11">
        <v>0.005798611111111111</v>
      </c>
      <c r="J80" s="11">
        <v>0.0027430555555555554</v>
      </c>
      <c r="K80" s="37" t="str">
        <f>HYPERLINK("https://www.strava.com/activities/2184518504","Strava")</f>
        <v>Strava</v>
      </c>
    </row>
    <row r="81">
      <c r="A81" s="10">
        <v>75.0</v>
      </c>
      <c r="B81" s="10">
        <v>300.0</v>
      </c>
      <c r="C81" s="10">
        <f t="shared" si="1"/>
        <v>4</v>
      </c>
      <c r="D81" s="10">
        <v>183.0</v>
      </c>
      <c r="E81" s="10" t="s">
        <v>205</v>
      </c>
      <c r="F81" s="10" t="s">
        <v>17</v>
      </c>
      <c r="G81" s="11">
        <v>0.024791666666666667</v>
      </c>
      <c r="H81" s="11">
        <v>0.010532407407407407</v>
      </c>
      <c r="I81" s="11">
        <v>0.005798611111111111</v>
      </c>
      <c r="J81" s="11">
        <v>0.0027430555555555554</v>
      </c>
      <c r="K81" s="37" t="str">
        <f>HYPERLINK("https://www.strava.com/activities/2183837176","Strava")</f>
        <v>Strava</v>
      </c>
    </row>
    <row r="82">
      <c r="A82" s="10">
        <v>75.0</v>
      </c>
      <c r="B82" s="10">
        <v>300.0</v>
      </c>
      <c r="C82" s="10">
        <f t="shared" si="1"/>
        <v>4</v>
      </c>
      <c r="D82" s="10">
        <v>183.0</v>
      </c>
      <c r="E82" s="10" t="s">
        <v>251</v>
      </c>
      <c r="F82" s="10" t="s">
        <v>17</v>
      </c>
      <c r="G82" s="11">
        <v>0.02480324074074074</v>
      </c>
      <c r="H82" s="11">
        <v>0.010543981481481482</v>
      </c>
      <c r="I82" s="11">
        <v>0.005798611111111111</v>
      </c>
      <c r="J82" s="11">
        <v>0.0027546296296296294</v>
      </c>
      <c r="K82" s="37" t="str">
        <f>HYPERLINK("https://www.strava.com/activities/2184279017","Strava")</f>
        <v>Strava</v>
      </c>
    </row>
    <row r="83">
      <c r="A83" s="10">
        <v>75.0</v>
      </c>
      <c r="B83" s="10">
        <v>300.0</v>
      </c>
      <c r="C83" s="10">
        <f t="shared" si="1"/>
        <v>4</v>
      </c>
      <c r="D83" s="10">
        <v>183.0</v>
      </c>
      <c r="E83" s="10" t="s">
        <v>241</v>
      </c>
      <c r="F83" s="10" t="s">
        <v>17</v>
      </c>
      <c r="G83" s="11">
        <v>0.02480324074074074</v>
      </c>
      <c r="H83" s="11">
        <v>0.010543981481481482</v>
      </c>
      <c r="I83" s="11">
        <v>0.005798611111111111</v>
      </c>
      <c r="J83" s="11">
        <v>0.0027546296296296294</v>
      </c>
      <c r="K83" s="37" t="str">
        <f>HYPERLINK("https://www.strava.com/activities/2184885617","Strava")</f>
        <v>Strava</v>
      </c>
    </row>
    <row r="84">
      <c r="A84" s="10">
        <v>75.0</v>
      </c>
      <c r="B84" s="10">
        <v>300.0</v>
      </c>
      <c r="C84" s="10">
        <f t="shared" si="1"/>
        <v>4</v>
      </c>
      <c r="D84" s="10">
        <v>183.0</v>
      </c>
      <c r="E84" s="10" t="s">
        <v>243</v>
      </c>
      <c r="F84" s="10" t="s">
        <v>17</v>
      </c>
      <c r="G84" s="11">
        <v>0.02480324074074074</v>
      </c>
      <c r="H84" s="11">
        <v>0.010532407407407407</v>
      </c>
      <c r="I84" s="11">
        <v>0.005798611111111111</v>
      </c>
      <c r="J84" s="11">
        <v>0.0027546296296296294</v>
      </c>
      <c r="K84" s="37" t="str">
        <f>HYPERLINK("https://www.strava.com/activities/2184906027","Strava")</f>
        <v>Strava</v>
      </c>
    </row>
    <row r="85">
      <c r="A85" s="10">
        <v>75.0</v>
      </c>
      <c r="B85" s="10">
        <v>300.0</v>
      </c>
      <c r="C85" s="10">
        <f t="shared" si="1"/>
        <v>4</v>
      </c>
      <c r="D85" s="10">
        <v>183.0</v>
      </c>
      <c r="E85" s="10" t="s">
        <v>247</v>
      </c>
      <c r="F85" s="10" t="s">
        <v>17</v>
      </c>
      <c r="G85" s="11">
        <v>0.02480324074074074</v>
      </c>
      <c r="H85" s="11">
        <v>0.010532407407407407</v>
      </c>
      <c r="I85" s="11">
        <v>0.005798611111111111</v>
      </c>
      <c r="J85" s="11">
        <v>0.0027546296296296294</v>
      </c>
      <c r="K85" s="37" t="str">
        <f>HYPERLINK("https://www.strava.com/activities/2184906794","Strava")</f>
        <v>Strava</v>
      </c>
    </row>
    <row r="86">
      <c r="A86" s="10">
        <v>75.0</v>
      </c>
      <c r="B86" s="10">
        <v>300.0</v>
      </c>
      <c r="C86" s="10">
        <f t="shared" si="1"/>
        <v>4</v>
      </c>
      <c r="D86" s="10">
        <v>183.0</v>
      </c>
      <c r="E86" s="10" t="s">
        <v>19</v>
      </c>
      <c r="F86" s="10" t="s">
        <v>14</v>
      </c>
      <c r="G86" s="11"/>
      <c r="H86" s="11"/>
      <c r="I86" s="11">
        <v>0.005798611111111111</v>
      </c>
      <c r="J86" s="11"/>
      <c r="K86" s="37" t="s">
        <v>544</v>
      </c>
    </row>
    <row r="87">
      <c r="A87" s="10">
        <v>75.0</v>
      </c>
      <c r="B87" s="10">
        <v>300.0</v>
      </c>
      <c r="C87" s="10">
        <f t="shared" si="1"/>
        <v>4</v>
      </c>
      <c r="D87" s="10">
        <v>183.0</v>
      </c>
      <c r="E87" s="10" t="s">
        <v>168</v>
      </c>
      <c r="F87" s="10" t="s">
        <v>17</v>
      </c>
      <c r="G87" s="11">
        <v>0.02474537037037037</v>
      </c>
      <c r="H87" s="11">
        <v>0.01050925925925926</v>
      </c>
      <c r="I87" s="11">
        <v>0.005810185185185186</v>
      </c>
      <c r="J87" s="11">
        <v>0.0027314814814814814</v>
      </c>
      <c r="K87" s="37" t="str">
        <f>HYPERLINK("https://www.strava.com/activities/2184457715","Strava")</f>
        <v>Strava</v>
      </c>
    </row>
    <row r="88">
      <c r="A88" s="10">
        <v>75.0</v>
      </c>
      <c r="B88" s="10">
        <v>300.0</v>
      </c>
      <c r="C88" s="10">
        <f t="shared" si="1"/>
        <v>4</v>
      </c>
      <c r="D88" s="10">
        <v>183.0</v>
      </c>
      <c r="E88" s="10" t="s">
        <v>19</v>
      </c>
      <c r="F88" s="10" t="s">
        <v>213</v>
      </c>
      <c r="G88" s="11">
        <v>0.02474537037037037</v>
      </c>
      <c r="H88" s="11">
        <v>0.01050925925925926</v>
      </c>
      <c r="I88" s="11">
        <v>0.005810185185185186</v>
      </c>
      <c r="J88" s="11">
        <v>0.0027314814814814814</v>
      </c>
      <c r="K88" s="37" t="str">
        <f>HYPERLINK("https://www.strava.com/activities/2182470782","Strava")</f>
        <v>Strava</v>
      </c>
    </row>
    <row r="89">
      <c r="A89" s="10">
        <v>75.0</v>
      </c>
      <c r="B89" s="10">
        <v>300.0</v>
      </c>
      <c r="C89" s="10">
        <f t="shared" si="1"/>
        <v>4</v>
      </c>
      <c r="D89" s="10">
        <v>183.0</v>
      </c>
      <c r="E89" s="10" t="s">
        <v>19</v>
      </c>
      <c r="F89" s="10" t="s">
        <v>550</v>
      </c>
      <c r="G89" s="11">
        <v>0.024756944444444446</v>
      </c>
      <c r="H89" s="11">
        <v>0.010520833333333333</v>
      </c>
      <c r="I89" s="11">
        <v>0.005810185185185186</v>
      </c>
      <c r="J89" s="11">
        <v>0.0027314814814814814</v>
      </c>
      <c r="K89" s="37" t="str">
        <f>HYPERLINK("https://www.strava.com/activities/2184208826","Strava")</f>
        <v>Strava</v>
      </c>
    </row>
    <row r="90">
      <c r="A90" s="10">
        <v>75.0</v>
      </c>
      <c r="B90" s="10">
        <v>300.0</v>
      </c>
      <c r="C90" s="10">
        <f t="shared" si="1"/>
        <v>4</v>
      </c>
      <c r="D90" s="10">
        <v>183.0</v>
      </c>
      <c r="E90" s="10" t="s">
        <v>19</v>
      </c>
      <c r="F90" s="10" t="s">
        <v>17</v>
      </c>
      <c r="G90" s="11">
        <v>0.024756944444444446</v>
      </c>
      <c r="H90" s="11">
        <v>0.010520833333333333</v>
      </c>
      <c r="I90" s="11">
        <v>0.005810185185185186</v>
      </c>
      <c r="J90" s="11">
        <v>0.0027314814814814814</v>
      </c>
      <c r="K90" s="37" t="str">
        <f>HYPERLINK("https://www.strava.com/activities/2182871514","Strava")</f>
        <v>Strava</v>
      </c>
    </row>
    <row r="91">
      <c r="A91" s="10">
        <v>75.0</v>
      </c>
      <c r="B91" s="10">
        <v>300.0</v>
      </c>
      <c r="C91" s="10">
        <f t="shared" si="1"/>
        <v>4</v>
      </c>
      <c r="D91" s="10">
        <v>183.0</v>
      </c>
      <c r="E91" s="10" t="s">
        <v>186</v>
      </c>
      <c r="F91" s="10" t="s">
        <v>17</v>
      </c>
      <c r="G91" s="11">
        <v>0.024780092592592593</v>
      </c>
      <c r="H91" s="11">
        <v>0.010520833333333333</v>
      </c>
      <c r="I91" s="11">
        <v>0.005810185185185186</v>
      </c>
      <c r="J91" s="11">
        <v>0.0027314814814814814</v>
      </c>
      <c r="K91" s="37" t="str">
        <f>HYPERLINK("https://www.strava.com/activities/2501105767","Strava")</f>
        <v>Strava</v>
      </c>
    </row>
    <row r="92">
      <c r="A92" s="10">
        <v>75.0</v>
      </c>
      <c r="B92" s="10">
        <v>300.0</v>
      </c>
      <c r="C92" s="10">
        <f t="shared" si="1"/>
        <v>4</v>
      </c>
      <c r="D92" s="10">
        <v>183.0</v>
      </c>
      <c r="E92" s="10" t="s">
        <v>199</v>
      </c>
      <c r="F92" s="10" t="s">
        <v>17</v>
      </c>
      <c r="G92" s="11">
        <v>0.024780092592592593</v>
      </c>
      <c r="H92" s="11">
        <v>0.010532407407407407</v>
      </c>
      <c r="I92" s="11">
        <v>0.005810185185185186</v>
      </c>
      <c r="J92" s="11">
        <v>0.0027430555555555554</v>
      </c>
      <c r="K92" s="37" t="str">
        <f>HYPERLINK("https://www.strava.com/activities/2184563076","Strava")</f>
        <v>Strava</v>
      </c>
    </row>
    <row r="93">
      <c r="A93" s="10">
        <v>75.0</v>
      </c>
      <c r="B93" s="10">
        <v>300.0</v>
      </c>
      <c r="C93" s="10">
        <f t="shared" si="1"/>
        <v>4</v>
      </c>
      <c r="D93" s="10">
        <v>183.0</v>
      </c>
      <c r="E93" s="10" t="s">
        <v>203</v>
      </c>
      <c r="F93" s="10" t="s">
        <v>17</v>
      </c>
      <c r="G93" s="11">
        <v>0.02480324074074074</v>
      </c>
      <c r="H93" s="11">
        <v>0.010532407407407407</v>
      </c>
      <c r="I93" s="11">
        <v>0.005810185185185186</v>
      </c>
      <c r="J93" s="11">
        <v>0.0027430555555555554</v>
      </c>
      <c r="K93" s="37" t="str">
        <f>HYPERLINK("https://www.strava.com/activities/2184933729","Strava")</f>
        <v>Strava</v>
      </c>
    </row>
    <row r="94">
      <c r="A94" s="10">
        <v>75.0</v>
      </c>
      <c r="B94" s="10">
        <v>300.0</v>
      </c>
      <c r="C94" s="10">
        <f t="shared" si="1"/>
        <v>4</v>
      </c>
      <c r="D94" s="10">
        <v>183.0</v>
      </c>
      <c r="E94" s="10" t="s">
        <v>245</v>
      </c>
      <c r="F94" s="10" t="s">
        <v>17</v>
      </c>
      <c r="G94" s="11">
        <v>0.02480324074074074</v>
      </c>
      <c r="H94" s="11">
        <v>0.010532407407407407</v>
      </c>
      <c r="I94" s="11">
        <v>0.005810185185185186</v>
      </c>
      <c r="J94" s="11">
        <v>0.0027430555555555554</v>
      </c>
      <c r="K94" s="37" t="str">
        <f>HYPERLINK("https://www.strava.com/activities/2184906500","Strava")</f>
        <v>Strava</v>
      </c>
    </row>
    <row r="95">
      <c r="A95" s="10">
        <v>75.0</v>
      </c>
      <c r="B95" s="10">
        <v>300.0</v>
      </c>
      <c r="C95" s="10">
        <f t="shared" si="1"/>
        <v>4</v>
      </c>
      <c r="D95" s="10">
        <v>183.0</v>
      </c>
      <c r="E95" s="10" t="s">
        <v>258</v>
      </c>
      <c r="F95" s="10" t="s">
        <v>17</v>
      </c>
      <c r="G95" s="11">
        <v>0.024814814814814814</v>
      </c>
      <c r="H95" s="11">
        <v>0.010555555555555556</v>
      </c>
      <c r="I95" s="11">
        <v>0.005810185185185186</v>
      </c>
      <c r="J95" s="11">
        <v>0.0027430555555555554</v>
      </c>
      <c r="K95" s="37" t="str">
        <f>HYPERLINK("https://www.strava.com/activities/2183912780","Strava")</f>
        <v>Strava</v>
      </c>
    </row>
    <row r="96">
      <c r="A96" s="10">
        <v>75.0</v>
      </c>
      <c r="B96" s="10">
        <v>300.0</v>
      </c>
      <c r="C96" s="10">
        <f t="shared" si="1"/>
        <v>4</v>
      </c>
      <c r="D96" s="10">
        <v>183.0</v>
      </c>
      <c r="E96" s="10" t="s">
        <v>521</v>
      </c>
      <c r="F96" s="10" t="s">
        <v>17</v>
      </c>
      <c r="G96" s="11">
        <v>0.024826388888888887</v>
      </c>
      <c r="H96" s="11">
        <v>0.010543981481481482</v>
      </c>
      <c r="I96" s="11">
        <v>0.005810185185185186</v>
      </c>
      <c r="J96" s="11">
        <v>0.0027430555555555554</v>
      </c>
      <c r="K96" s="37" t="str">
        <f>HYPERLINK("https://www.strava.com/activities/2184278418","Strava")</f>
        <v>Strava</v>
      </c>
    </row>
    <row r="97">
      <c r="A97" s="10">
        <v>75.0</v>
      </c>
      <c r="B97" s="10">
        <v>300.0</v>
      </c>
      <c r="C97" s="10">
        <f t="shared" si="1"/>
        <v>4</v>
      </c>
      <c r="D97" s="10">
        <v>183.0</v>
      </c>
      <c r="E97" s="10" t="s">
        <v>19</v>
      </c>
      <c r="F97" s="10" t="s">
        <v>551</v>
      </c>
      <c r="G97" s="11">
        <v>0.02480324074074074</v>
      </c>
      <c r="H97" s="11">
        <v>0.010532407407407407</v>
      </c>
      <c r="I97" s="11">
        <v>0.005821759259259259</v>
      </c>
      <c r="J97" s="11">
        <v>0.0027314814814814814</v>
      </c>
      <c r="K97" s="37" t="str">
        <f>HYPERLINK("https://www.strava.com/activities/2183022514","Strava")</f>
        <v>Strava</v>
      </c>
    </row>
    <row r="98">
      <c r="A98" s="10">
        <v>75.0</v>
      </c>
      <c r="B98" s="10">
        <v>300.0</v>
      </c>
      <c r="C98" s="10">
        <f t="shared" si="1"/>
        <v>4</v>
      </c>
      <c r="D98" s="10">
        <v>183.0</v>
      </c>
      <c r="E98" s="10" t="s">
        <v>19</v>
      </c>
      <c r="F98" s="10" t="s">
        <v>552</v>
      </c>
      <c r="G98" s="11">
        <v>0.024814814814814814</v>
      </c>
      <c r="H98" s="11">
        <v>0.010543981481481482</v>
      </c>
      <c r="I98" s="11">
        <v>0.005821759259259259</v>
      </c>
      <c r="J98" s="11">
        <v>0.0027314814814814814</v>
      </c>
      <c r="K98" s="37" t="str">
        <f>HYPERLINK("https://www.strava.com/activities/2182988283","Strava")</f>
        <v>Strava</v>
      </c>
    </row>
    <row r="99">
      <c r="A99" s="10">
        <v>75.0</v>
      </c>
      <c r="B99" s="10">
        <v>300.0</v>
      </c>
      <c r="C99" s="10">
        <f t="shared" si="1"/>
        <v>4</v>
      </c>
      <c r="D99" s="10">
        <v>183.0</v>
      </c>
      <c r="E99" s="10" t="s">
        <v>264</v>
      </c>
      <c r="F99" s="10" t="s">
        <v>17</v>
      </c>
      <c r="G99" s="11">
        <v>0.024826388888888887</v>
      </c>
      <c r="H99" s="11">
        <v>0.010543981481481482</v>
      </c>
      <c r="I99" s="11">
        <v>0.005821759259259259</v>
      </c>
      <c r="J99" s="11">
        <v>0.0027430555555555554</v>
      </c>
      <c r="K99" s="37" t="str">
        <f>HYPERLINK("https://www.strava.com/activities/2184933964","Strava")</f>
        <v>Strava</v>
      </c>
    </row>
    <row r="100">
      <c r="A100" s="10">
        <v>75.0</v>
      </c>
      <c r="B100" s="10">
        <v>300.0</v>
      </c>
      <c r="C100" s="10">
        <f t="shared" si="1"/>
        <v>4</v>
      </c>
      <c r="D100" s="10">
        <v>183.0</v>
      </c>
      <c r="E100" s="10" t="s">
        <v>16</v>
      </c>
      <c r="F100" s="10" t="s">
        <v>17</v>
      </c>
      <c r="G100" s="11">
        <v>0.024826388888888887</v>
      </c>
      <c r="H100" s="11">
        <v>0.010543981481481482</v>
      </c>
      <c r="I100" s="11">
        <v>0.005821759259259259</v>
      </c>
      <c r="J100" s="11">
        <v>0.0027430555555555554</v>
      </c>
      <c r="K100" s="37" t="str">
        <f>HYPERLINK("https://www.strava.com/activities/2187241422","Strava")</f>
        <v>Strava</v>
      </c>
    </row>
    <row r="101">
      <c r="A101" s="10">
        <v>75.0</v>
      </c>
      <c r="B101" s="10">
        <v>300.0</v>
      </c>
      <c r="C101" s="10">
        <f t="shared" si="1"/>
        <v>4</v>
      </c>
      <c r="D101" s="10">
        <v>183.0</v>
      </c>
      <c r="E101" s="10" t="s">
        <v>19</v>
      </c>
      <c r="F101" s="10" t="s">
        <v>118</v>
      </c>
      <c r="G101" s="11">
        <v>0.024583333333333332</v>
      </c>
      <c r="H101" s="11">
        <v>0.010405092592592593</v>
      </c>
      <c r="I101" s="64">
        <v>0.005833333333333334</v>
      </c>
      <c r="J101" s="11">
        <v>0.0026967592592592594</v>
      </c>
      <c r="K101" s="37" t="str">
        <f>HYPERLINK("https://www.strava.com/activities/2182390677","Strava")</f>
        <v>Strava</v>
      </c>
      <c r="L101" s="65" t="s">
        <v>553</v>
      </c>
    </row>
    <row r="102">
      <c r="A102" s="10">
        <v>75.0</v>
      </c>
      <c r="B102" s="10">
        <v>300.0</v>
      </c>
      <c r="C102" s="10">
        <f t="shared" si="1"/>
        <v>4</v>
      </c>
      <c r="D102" s="10">
        <v>183.0</v>
      </c>
      <c r="E102" s="10" t="s">
        <v>306</v>
      </c>
      <c r="F102" s="10" t="s">
        <v>17</v>
      </c>
      <c r="G102" s="11">
        <v>0.02488425925925926</v>
      </c>
      <c r="H102" s="11">
        <v>0.01056712962962963</v>
      </c>
      <c r="I102" s="11">
        <v>0.005844907407407407</v>
      </c>
      <c r="J102" s="11">
        <v>0.0027430555555555554</v>
      </c>
      <c r="K102" s="37" t="str">
        <f>HYPERLINK("https://www.strava.com/activities/2187388484","Strava")</f>
        <v>Strava</v>
      </c>
    </row>
    <row r="103">
      <c r="A103" s="10">
        <v>75.0</v>
      </c>
      <c r="B103" s="10">
        <v>300.0</v>
      </c>
      <c r="C103" s="10">
        <f t="shared" si="1"/>
        <v>4</v>
      </c>
      <c r="D103" s="10">
        <v>183.0</v>
      </c>
      <c r="E103" s="10" t="s">
        <v>201</v>
      </c>
      <c r="F103" s="10" t="s">
        <v>17</v>
      </c>
      <c r="G103" s="11">
        <v>0.024965277777777777</v>
      </c>
      <c r="H103" s="11">
        <v>0.010590277777777778</v>
      </c>
      <c r="I103" s="11">
        <v>0.005914351851851852</v>
      </c>
      <c r="J103" s="11">
        <v>0.0027430555555555554</v>
      </c>
      <c r="K103" s="37" t="str">
        <f>HYPERLINK("https://www.strava.com/activities/2187241285","Strava")</f>
        <v>Strava</v>
      </c>
    </row>
    <row r="104">
      <c r="A104" s="10">
        <v>75.0</v>
      </c>
      <c r="B104" s="10">
        <v>300.0</v>
      </c>
      <c r="C104" s="10">
        <f t="shared" si="1"/>
        <v>4</v>
      </c>
      <c r="D104" s="10">
        <v>183.0</v>
      </c>
      <c r="E104" s="10" t="s">
        <v>286</v>
      </c>
      <c r="F104" s="10" t="s">
        <v>286</v>
      </c>
      <c r="G104" s="11">
        <v>0.026782407407407408</v>
      </c>
      <c r="H104" s="11">
        <v>0.011377314814814814</v>
      </c>
      <c r="I104" s="11">
        <v>0.006423611111111111</v>
      </c>
      <c r="J104" s="11">
        <v>0.0028587962962962963</v>
      </c>
      <c r="K104" s="37" t="str">
        <f>HYPERLINK("https://www.strava.com/activities/2792073558","Strava")</f>
        <v>Strava</v>
      </c>
    </row>
    <row r="105">
      <c r="E105" s="10"/>
    </row>
    <row r="106">
      <c r="E106" s="10"/>
    </row>
    <row r="107">
      <c r="E107" s="10"/>
    </row>
  </sheetData>
  <autoFilter ref="$A$1:$K$107"/>
  <customSheetViews>
    <customSheetView guid="{131ED934-56A5-4A4B-9246-8993FA1F050E}" filter="1" showAutoFilter="1">
      <autoFilter ref="$A$1:$K$107">
        <filterColumn colId="4">
          <filters blank="1">
            <filter val="Specialized Tarmac"/>
            <filter val="BMC Timemachine01"/>
            <filter val="Specialized Ruby S-Works"/>
            <filter val="Zwift Steel"/>
            <filter val="Cannondale System Six"/>
            <filter val="Cube Aerium"/>
            <filter val="Specialized Tarmac Pro"/>
            <filter val="Specialized Shiv Disc"/>
            <filter val="Specialized Allez"/>
            <filter val="Cannondale Synapse"/>
            <filter val="Cannondale Caad12"/>
            <filter val="Scott Foil"/>
            <filter val="Specialized Amira S-Works"/>
            <filter val="Pinarello Bolide TT"/>
            <filter val="Zwift Carbon"/>
            <filter val="Ventum One"/>
            <filter val="Specialized Roubaix"/>
            <filter val="Specialized Ruby"/>
            <filter val="Specialized Venge"/>
            <filter val="Pinarello Dogma 65.1"/>
            <filter val="Specialized Allez Sprint"/>
            <filter val="Scott Plasma"/>
            <filter val="Zwift Mountain"/>
            <filter val="Trek Emonda SL"/>
            <filter val="Specialized Roubaix S-Works"/>
            <filter val="Chapter2 Rere"/>
            <filter val="Diamondback Andean"/>
            <filter val="Felt AR"/>
            <filter val="Cervelo P5"/>
            <filter val="Specialized Shiv"/>
            <filter val="Chapter2 Tere"/>
            <filter val="Felt IA"/>
            <filter val="Canyon Speedmax"/>
            <filter val="Zwift Safety"/>
            <filter val="Zwift TT"/>
            <filter val="Cervelo P5x"/>
            <filter val="Pinarello Dogma F10"/>
            <filter val="Giant TCR Advanced Pro"/>
            <filter val="Cannondale Evo"/>
            <filter val="Trek Emonda"/>
            <filter val="Zwift Buffalo Fahrrad"/>
            <filter val="Pinarello F8"/>
            <filter val="Specialized Shiv S-Works"/>
            <filter val="Liv Langma Advanced SL 0"/>
            <filter val="BMC SLR01"/>
            <filter val="Cervelo S3D"/>
            <filter val="Ridley Helium"/>
            <filter val="Cube Litening"/>
            <filter val="Tron (Concept Z1)"/>
            <filter val="Specialized Amira"/>
            <filter val="Pinarello Bolide"/>
            <filter val="Canyon Ultimate"/>
            <filter val="Giant Propel Advanced SL 1"/>
            <filter val="Specialized Venge S-Works"/>
            <filter val="Cervelo R5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5">
          <filters blank="1">
            <filter val="ENVE SES 6.7"/>
            <filter val="ENVE SES 7.8"/>
            <filter val="Cosmic Ultimate UST"/>
            <filter val="Shimano C40"/>
            <filter val="ENVE SES 8.9"/>
            <filter val="DT Swiss ARC 62"/>
            <filter val="Buffalo Fahrrad"/>
            <filter val="ENVE SES 3.4"/>
            <filter val="Lightweight Meilenstein"/>
            <filter val="Comete Pro Carbon SL UST"/>
            <filter val="Shimano C60"/>
            <filter val="ENVE SES 2.2"/>
            <filter val="Tron"/>
            <filter val="50mm Carbon"/>
            <filter val="Safety"/>
            <filter val="Bontrager Aeolus5"/>
            <filter val="32mm Carbon"/>
            <filter val="Roval CLX 64"/>
            <filter val="Bora Ultra 50"/>
            <filter val="Zipp 858/Super9"/>
            <filter val="Bora Ultra 35"/>
            <filter val="Zipp 808/Super9"/>
            <filter val="Giant SLR 0"/>
            <filter val="Zipp 454"/>
            <filter val="Zwift Mountain"/>
            <filter val="Zipp 858"/>
            <filter val="Cosmic CXR60c"/>
          </filters>
        </filterColumn>
      </autoFilter>
    </customSheetView>
  </customSheetViews>
  <hyperlinks>
    <hyperlink r:id="rId1" ref="K19"/>
    <hyperlink r:id="rId2" ref="K86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  <col customWidth="1" min="6" max="6" width="16.75"/>
    <col customWidth="1" min="9" max="9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472</v>
      </c>
      <c r="H1" s="1" t="s">
        <v>554</v>
      </c>
      <c r="I1" s="1" t="s">
        <v>555</v>
      </c>
      <c r="J1" s="1" t="s">
        <v>8</v>
      </c>
    </row>
    <row r="2">
      <c r="A2" s="10">
        <v>75.0</v>
      </c>
      <c r="B2" s="10">
        <v>300.0</v>
      </c>
      <c r="C2" s="10">
        <f t="shared" ref="C2:C14" si="1">B2/A2</f>
        <v>4</v>
      </c>
      <c r="D2" s="10">
        <v>183.0</v>
      </c>
      <c r="E2" s="10" t="s">
        <v>9</v>
      </c>
      <c r="F2" s="10" t="s">
        <v>113</v>
      </c>
      <c r="G2" s="11">
        <v>0.0061574074074074074</v>
      </c>
      <c r="H2" s="11">
        <v>0.006516203703703704</v>
      </c>
      <c r="I2" s="11">
        <v>0.007268518518518519</v>
      </c>
      <c r="J2" s="28" t="s">
        <v>556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9</v>
      </c>
      <c r="F3" s="10" t="s">
        <v>79</v>
      </c>
      <c r="G3" s="11">
        <v>0.006145833333333333</v>
      </c>
      <c r="H3" s="11">
        <v>0.006516203703703704</v>
      </c>
      <c r="I3" s="11">
        <v>0.007245370370370371</v>
      </c>
      <c r="J3" s="28" t="s">
        <v>556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9</v>
      </c>
      <c r="F4" s="10" t="s">
        <v>11</v>
      </c>
      <c r="G4" s="11">
        <v>0.0061342592592592594</v>
      </c>
      <c r="H4" s="11">
        <v>0.006539351851851852</v>
      </c>
      <c r="I4" s="11">
        <v>0.007222222222222222</v>
      </c>
      <c r="J4" s="28" t="s">
        <v>556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9</v>
      </c>
      <c r="F5" s="10" t="s">
        <v>88</v>
      </c>
      <c r="G5" s="11">
        <v>0.006145833333333333</v>
      </c>
      <c r="H5" s="11">
        <v>0.006539351851851852</v>
      </c>
      <c r="I5" s="11">
        <v>0.007245370370370371</v>
      </c>
      <c r="J5" s="28" t="s">
        <v>557</v>
      </c>
      <c r="M5" s="13" t="s">
        <v>558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9</v>
      </c>
      <c r="F6" s="10" t="s">
        <v>133</v>
      </c>
      <c r="G6" s="11">
        <v>0.0062037037037037035</v>
      </c>
      <c r="H6" s="11">
        <v>0.006493055555555556</v>
      </c>
      <c r="I6" s="11">
        <v>0.007337962962962963</v>
      </c>
      <c r="J6" s="28" t="s">
        <v>559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73</v>
      </c>
      <c r="F7" s="10" t="s">
        <v>351</v>
      </c>
      <c r="G7" s="11">
        <v>0.0061342592592592594</v>
      </c>
      <c r="H7" s="11">
        <v>0.006516203703703704</v>
      </c>
      <c r="I7" s="11">
        <v>0.007245370370370371</v>
      </c>
      <c r="J7" s="28" t="s">
        <v>557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4" t="s">
        <v>94</v>
      </c>
      <c r="F8" s="10" t="s">
        <v>79</v>
      </c>
      <c r="G8" s="11">
        <v>0.006168981481481482</v>
      </c>
      <c r="H8" s="11">
        <v>0.006539351851851852</v>
      </c>
      <c r="I8" s="11">
        <v>0.007291666666666667</v>
      </c>
      <c r="J8" s="28" t="s">
        <v>560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67" t="s">
        <v>26</v>
      </c>
      <c r="F9" s="10" t="s">
        <v>79</v>
      </c>
      <c r="G9" s="11">
        <v>0.0059490740740740745</v>
      </c>
      <c r="H9" s="11">
        <v>0.006678240740740741</v>
      </c>
      <c r="I9" s="11">
        <v>0.0069791666666666665</v>
      </c>
      <c r="J9" s="28" t="s">
        <v>560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63" t="s">
        <v>42</v>
      </c>
      <c r="F10" s="10" t="s">
        <v>79</v>
      </c>
      <c r="G10" s="11">
        <v>0.0059722222222222225</v>
      </c>
      <c r="H10" s="11">
        <v>0.006655092592592593</v>
      </c>
      <c r="I10" s="11">
        <v>0.007013888888888889</v>
      </c>
      <c r="J10" s="28" t="s">
        <v>560</v>
      </c>
    </row>
    <row r="11">
      <c r="A11" s="10">
        <v>75.0</v>
      </c>
      <c r="B11" s="10">
        <v>300.0</v>
      </c>
      <c r="C11" s="10">
        <f t="shared" si="1"/>
        <v>4</v>
      </c>
      <c r="D11" s="10">
        <v>183.0</v>
      </c>
      <c r="E11" s="63" t="s">
        <v>561</v>
      </c>
      <c r="F11" s="10" t="s">
        <v>79</v>
      </c>
      <c r="G11" s="11">
        <v>0.0059722222222222225</v>
      </c>
      <c r="H11" s="11">
        <v>0.006655092592592593</v>
      </c>
      <c r="I11" s="11">
        <v>0.0070023148148148145</v>
      </c>
      <c r="J11" s="28" t="s">
        <v>560</v>
      </c>
    </row>
    <row r="12">
      <c r="A12" s="10">
        <v>75.0</v>
      </c>
      <c r="B12" s="10">
        <v>300.0</v>
      </c>
      <c r="C12" s="10">
        <f t="shared" si="1"/>
        <v>4</v>
      </c>
      <c r="D12" s="10">
        <v>183.0</v>
      </c>
      <c r="E12" s="4" t="s">
        <v>94</v>
      </c>
      <c r="F12" s="10" t="s">
        <v>79</v>
      </c>
      <c r="G12" s="11">
        <v>0.006168981481481482</v>
      </c>
      <c r="H12" s="11">
        <v>0.006504629629629629</v>
      </c>
      <c r="I12" s="11">
        <v>0.007291666666666667</v>
      </c>
      <c r="J12" s="28" t="s">
        <v>562</v>
      </c>
      <c r="M12" s="13" t="s">
        <v>563</v>
      </c>
    </row>
    <row r="13">
      <c r="A13" s="10">
        <v>75.0</v>
      </c>
      <c r="B13" s="10">
        <v>300.0</v>
      </c>
      <c r="C13" s="10">
        <f t="shared" si="1"/>
        <v>4</v>
      </c>
      <c r="D13" s="10">
        <v>183.0</v>
      </c>
      <c r="E13" s="67" t="s">
        <v>23</v>
      </c>
      <c r="F13" s="10" t="s">
        <v>79</v>
      </c>
      <c r="G13" s="11">
        <v>0.0059490740740740745</v>
      </c>
      <c r="H13" s="11">
        <v>0.006666666666666667</v>
      </c>
      <c r="I13" s="11">
        <v>0.006967592592592593</v>
      </c>
      <c r="J13" s="28" t="s">
        <v>564</v>
      </c>
      <c r="M13" s="13" t="s">
        <v>563</v>
      </c>
    </row>
    <row r="14">
      <c r="A14" s="10">
        <v>75.0</v>
      </c>
      <c r="B14" s="10">
        <v>300.0</v>
      </c>
      <c r="C14" s="10">
        <f t="shared" si="1"/>
        <v>4</v>
      </c>
      <c r="D14" s="10">
        <v>183.0</v>
      </c>
      <c r="E14" s="67" t="s">
        <v>23</v>
      </c>
      <c r="F14" s="10" t="s">
        <v>11</v>
      </c>
      <c r="G14" s="11">
        <v>0.005925925925925926</v>
      </c>
      <c r="H14" s="11">
        <v>0.006701388888888889</v>
      </c>
      <c r="I14" s="11">
        <v>0.006944444444444444</v>
      </c>
      <c r="J14" s="28" t="s">
        <v>565</v>
      </c>
      <c r="M14" s="13" t="s">
        <v>563</v>
      </c>
    </row>
    <row r="15">
      <c r="A15" s="10"/>
      <c r="B15" s="10"/>
      <c r="C15" s="10"/>
      <c r="D15" s="10"/>
      <c r="E15" s="10"/>
      <c r="F15" s="10"/>
      <c r="G15" s="11"/>
      <c r="H15" s="11"/>
      <c r="I15" s="62"/>
    </row>
    <row r="16">
      <c r="A16" s="10"/>
      <c r="B16" s="10"/>
      <c r="C16" s="10"/>
      <c r="D16" s="10"/>
      <c r="E16" s="10"/>
      <c r="F16" s="10"/>
      <c r="G16" s="11"/>
      <c r="H16" s="11"/>
      <c r="I16" s="62"/>
    </row>
    <row r="17">
      <c r="A17" s="10"/>
      <c r="B17" s="10"/>
      <c r="C17" s="10"/>
      <c r="D17" s="10"/>
      <c r="E17" s="10"/>
      <c r="F17" s="10"/>
      <c r="G17" s="11"/>
      <c r="H17" s="11"/>
      <c r="I17" s="62"/>
    </row>
    <row r="18">
      <c r="A18" s="10"/>
      <c r="B18" s="10"/>
      <c r="C18" s="10"/>
      <c r="D18" s="10"/>
      <c r="E18" s="10"/>
      <c r="F18" s="10"/>
      <c r="G18" s="11"/>
      <c r="H18" s="11"/>
      <c r="I18" s="62"/>
    </row>
    <row r="19">
      <c r="A19" s="10"/>
      <c r="B19" s="10"/>
      <c r="C19" s="10"/>
      <c r="D19" s="10"/>
      <c r="E19" s="10"/>
      <c r="F19" s="10"/>
      <c r="G19" s="11"/>
      <c r="H19" s="11"/>
      <c r="I19" s="62"/>
    </row>
    <row r="20">
      <c r="A20" s="10"/>
      <c r="B20" s="10"/>
      <c r="C20" s="10"/>
      <c r="D20" s="10"/>
      <c r="E20" s="10"/>
      <c r="F20" s="10"/>
      <c r="G20" s="68"/>
      <c r="H20" s="68"/>
      <c r="I20" s="62"/>
    </row>
    <row r="21">
      <c r="A21" s="10"/>
      <c r="B21" s="10"/>
      <c r="C21" s="10"/>
      <c r="D21" s="10"/>
      <c r="E21" s="10"/>
      <c r="F21" s="10"/>
      <c r="G21" s="68"/>
      <c r="H21" s="68"/>
      <c r="I21" s="62"/>
    </row>
    <row r="22">
      <c r="A22" s="10"/>
      <c r="B22" s="10"/>
      <c r="C22" s="10"/>
      <c r="D22" s="10"/>
      <c r="E22" s="10"/>
      <c r="F22" s="10"/>
      <c r="G22" s="68"/>
      <c r="H22" s="68"/>
      <c r="I22" s="62"/>
    </row>
    <row r="23">
      <c r="A23" s="10"/>
      <c r="B23" s="10"/>
      <c r="C23" s="10"/>
      <c r="D23" s="10"/>
      <c r="E23" s="10"/>
      <c r="F23" s="10"/>
      <c r="G23" s="68"/>
      <c r="H23" s="68"/>
      <c r="I23" s="62"/>
    </row>
    <row r="24">
      <c r="A24" s="10"/>
      <c r="B24" s="10"/>
      <c r="C24" s="10"/>
      <c r="D24" s="10"/>
      <c r="E24" s="10"/>
      <c r="F24" s="10"/>
      <c r="G24" s="68"/>
      <c r="H24" s="68"/>
      <c r="I24" s="62"/>
    </row>
    <row r="25">
      <c r="A25" s="10"/>
      <c r="B25" s="10"/>
      <c r="C25" s="10"/>
      <c r="D25" s="10"/>
      <c r="E25" s="10"/>
      <c r="F25" s="10"/>
      <c r="G25" s="68"/>
      <c r="H25" s="68"/>
      <c r="I25" s="62"/>
    </row>
    <row r="26">
      <c r="A26" s="10"/>
      <c r="B26" s="10"/>
      <c r="C26" s="10"/>
      <c r="D26" s="10"/>
      <c r="E26" s="10"/>
      <c r="F26" s="10"/>
      <c r="G26" s="68"/>
      <c r="H26" s="68"/>
      <c r="I26" s="62"/>
    </row>
    <row r="27">
      <c r="A27" s="10"/>
      <c r="B27" s="10"/>
      <c r="C27" s="10"/>
      <c r="D27" s="10"/>
      <c r="E27" s="10"/>
      <c r="F27" s="10"/>
      <c r="G27" s="68"/>
      <c r="H27" s="68"/>
      <c r="I27" s="62"/>
    </row>
    <row r="28">
      <c r="A28" s="10"/>
      <c r="B28" s="10"/>
      <c r="C28" s="10"/>
      <c r="D28" s="10"/>
      <c r="E28" s="10"/>
      <c r="F28" s="10"/>
      <c r="G28" s="11"/>
      <c r="H28" s="11"/>
      <c r="I28" s="62"/>
    </row>
    <row r="29">
      <c r="A29" s="10"/>
      <c r="B29" s="10"/>
      <c r="C29" s="10"/>
      <c r="D29" s="10"/>
      <c r="E29" s="10"/>
      <c r="F29" s="10"/>
      <c r="G29" s="11"/>
      <c r="H29" s="11"/>
      <c r="I29" s="62"/>
    </row>
    <row r="30">
      <c r="A30" s="10"/>
      <c r="B30" s="10"/>
      <c r="C30" s="10"/>
      <c r="D30" s="10"/>
      <c r="E30" s="10"/>
      <c r="F30" s="10"/>
      <c r="G30" s="68"/>
      <c r="H30" s="68"/>
      <c r="I30" s="62"/>
    </row>
    <row r="31">
      <c r="A31" s="10"/>
      <c r="B31" s="10"/>
      <c r="C31" s="10"/>
      <c r="D31" s="10"/>
      <c r="E31" s="10"/>
      <c r="F31" s="10"/>
      <c r="G31" s="11"/>
      <c r="H31" s="11"/>
      <c r="I31" s="62"/>
    </row>
    <row r="32">
      <c r="A32" s="10"/>
      <c r="B32" s="10"/>
      <c r="C32" s="10"/>
      <c r="D32" s="10"/>
      <c r="E32" s="10"/>
      <c r="F32" s="10"/>
      <c r="G32" s="68"/>
      <c r="H32" s="68"/>
      <c r="I32" s="62"/>
      <c r="J32" s="65"/>
    </row>
    <row r="33">
      <c r="A33" s="10"/>
      <c r="B33" s="10"/>
      <c r="C33" s="10"/>
      <c r="D33" s="10"/>
      <c r="E33" s="10"/>
      <c r="F33" s="10"/>
      <c r="G33" s="11"/>
      <c r="H33" s="11"/>
      <c r="I33" s="62"/>
    </row>
    <row r="34">
      <c r="A34" s="10"/>
      <c r="B34" s="10"/>
      <c r="C34" s="10"/>
      <c r="D34" s="10"/>
      <c r="E34" s="10"/>
      <c r="F34" s="10"/>
      <c r="G34" s="11"/>
      <c r="H34" s="11"/>
      <c r="I34" s="62"/>
    </row>
    <row r="35">
      <c r="A35" s="10"/>
      <c r="B35" s="10"/>
      <c r="C35" s="10"/>
      <c r="D35" s="10"/>
      <c r="E35" s="10"/>
      <c r="F35" s="10"/>
      <c r="G35" s="11"/>
      <c r="H35" s="11"/>
      <c r="I35" s="62"/>
    </row>
    <row r="36">
      <c r="A36" s="10"/>
      <c r="B36" s="10"/>
      <c r="C36" s="10"/>
      <c r="D36" s="10"/>
      <c r="E36" s="10"/>
      <c r="F36" s="10"/>
      <c r="G36" s="11"/>
      <c r="H36" s="11"/>
      <c r="I36" s="62"/>
    </row>
    <row r="37">
      <c r="A37" s="10"/>
      <c r="B37" s="10"/>
      <c r="C37" s="10"/>
      <c r="D37" s="10"/>
      <c r="E37" s="10"/>
      <c r="F37" s="10"/>
      <c r="G37" s="11"/>
      <c r="H37" s="11"/>
      <c r="I37" s="62"/>
    </row>
    <row r="38">
      <c r="A38" s="10"/>
      <c r="B38" s="10"/>
      <c r="C38" s="10"/>
      <c r="D38" s="10"/>
      <c r="E38" s="10"/>
      <c r="F38" s="10"/>
      <c r="G38" s="11"/>
      <c r="H38" s="11"/>
      <c r="I38" s="62"/>
    </row>
    <row r="39">
      <c r="A39" s="10"/>
      <c r="B39" s="10"/>
      <c r="C39" s="10"/>
      <c r="D39" s="10"/>
      <c r="E39" s="10"/>
      <c r="F39" s="10"/>
      <c r="G39" s="11"/>
      <c r="H39" s="11"/>
      <c r="I39" s="62"/>
    </row>
    <row r="40">
      <c r="A40" s="10"/>
      <c r="B40" s="10"/>
      <c r="C40" s="10"/>
      <c r="D40" s="10"/>
      <c r="E40" s="10"/>
      <c r="F40" s="10"/>
      <c r="G40" s="68"/>
      <c r="H40" s="68"/>
      <c r="I40" s="62"/>
    </row>
    <row r="41">
      <c r="A41" s="10"/>
      <c r="B41" s="10"/>
      <c r="C41" s="10"/>
      <c r="D41" s="10"/>
      <c r="E41" s="10"/>
      <c r="F41" s="10"/>
      <c r="G41" s="68"/>
      <c r="H41" s="68"/>
      <c r="I41" s="62"/>
    </row>
    <row r="42">
      <c r="A42" s="10"/>
      <c r="B42" s="10"/>
      <c r="C42" s="10"/>
      <c r="D42" s="10"/>
      <c r="E42" s="10"/>
      <c r="F42" s="10"/>
      <c r="G42" s="68"/>
      <c r="H42" s="68"/>
      <c r="I42" s="62"/>
    </row>
    <row r="43">
      <c r="A43" s="10"/>
      <c r="B43" s="10"/>
      <c r="C43" s="10"/>
      <c r="D43" s="10"/>
      <c r="E43" s="10"/>
      <c r="F43" s="10"/>
      <c r="G43" s="68"/>
      <c r="H43" s="68"/>
      <c r="I43" s="62"/>
    </row>
    <row r="44">
      <c r="A44" s="10"/>
      <c r="B44" s="10"/>
      <c r="C44" s="10"/>
      <c r="D44" s="10"/>
      <c r="E44" s="10"/>
      <c r="F44" s="10"/>
      <c r="G44" s="68"/>
      <c r="H44" s="68"/>
      <c r="I44" s="62"/>
    </row>
    <row r="45">
      <c r="A45" s="10"/>
      <c r="B45" s="10"/>
      <c r="C45" s="10"/>
      <c r="D45" s="10"/>
      <c r="E45" s="10"/>
      <c r="F45" s="10"/>
      <c r="G45" s="11"/>
      <c r="H45" s="11"/>
      <c r="I45" s="62"/>
    </row>
    <row r="46">
      <c r="A46" s="10"/>
      <c r="B46" s="10"/>
      <c r="C46" s="10"/>
      <c r="D46" s="10"/>
      <c r="E46" s="10"/>
      <c r="F46" s="10"/>
      <c r="G46" s="68"/>
      <c r="H46" s="68"/>
      <c r="I46" s="62"/>
    </row>
    <row r="47">
      <c r="A47" s="10"/>
      <c r="B47" s="10"/>
      <c r="C47" s="10"/>
      <c r="D47" s="10"/>
      <c r="E47" s="10"/>
      <c r="F47" s="10"/>
      <c r="G47" s="11"/>
      <c r="H47" s="11"/>
      <c r="I47" s="62"/>
    </row>
    <row r="48">
      <c r="A48" s="10"/>
      <c r="B48" s="10"/>
      <c r="C48" s="10"/>
      <c r="D48" s="10"/>
      <c r="E48" s="10"/>
      <c r="F48" s="10"/>
      <c r="G48" s="68"/>
      <c r="H48" s="68"/>
      <c r="I48" s="62"/>
    </row>
    <row r="49">
      <c r="A49" s="10"/>
      <c r="B49" s="10"/>
      <c r="C49" s="10"/>
      <c r="D49" s="10"/>
      <c r="E49" s="10"/>
      <c r="F49" s="10"/>
      <c r="G49" s="11"/>
      <c r="H49" s="11"/>
      <c r="I49" s="62"/>
    </row>
    <row r="50">
      <c r="A50" s="10"/>
      <c r="B50" s="10"/>
      <c r="C50" s="10"/>
      <c r="D50" s="10"/>
      <c r="E50" s="10"/>
      <c r="F50" s="10"/>
      <c r="G50" s="11"/>
      <c r="H50" s="11"/>
      <c r="I50" s="62"/>
    </row>
    <row r="51">
      <c r="A51" s="10"/>
      <c r="B51" s="10"/>
      <c r="C51" s="10"/>
      <c r="D51" s="10"/>
      <c r="E51" s="10"/>
      <c r="F51" s="10"/>
      <c r="G51" s="68"/>
      <c r="H51" s="68"/>
      <c r="I51" s="62"/>
    </row>
    <row r="52">
      <c r="A52" s="10"/>
      <c r="B52" s="10"/>
      <c r="C52" s="10"/>
      <c r="D52" s="10"/>
      <c r="E52" s="10"/>
      <c r="F52" s="10"/>
      <c r="G52" s="68"/>
      <c r="H52" s="68"/>
      <c r="I52" s="62"/>
    </row>
    <row r="53">
      <c r="A53" s="10"/>
      <c r="B53" s="10"/>
      <c r="C53" s="10"/>
      <c r="D53" s="10"/>
      <c r="E53" s="10"/>
      <c r="F53" s="10"/>
      <c r="G53" s="11"/>
      <c r="H53" s="11"/>
      <c r="I53" s="62"/>
    </row>
    <row r="54">
      <c r="A54" s="10"/>
      <c r="B54" s="10"/>
      <c r="C54" s="10"/>
      <c r="D54" s="10"/>
      <c r="E54" s="10"/>
      <c r="F54" s="10"/>
      <c r="G54" s="68"/>
      <c r="H54" s="68"/>
      <c r="I54" s="62"/>
    </row>
    <row r="55">
      <c r="A55" s="10"/>
      <c r="B55" s="10"/>
      <c r="C55" s="10"/>
      <c r="D55" s="10"/>
      <c r="E55" s="10"/>
      <c r="F55" s="10"/>
      <c r="G55" s="11"/>
      <c r="H55" s="11"/>
      <c r="I55" s="62"/>
    </row>
    <row r="56">
      <c r="A56" s="10"/>
      <c r="B56" s="10"/>
      <c r="C56" s="10"/>
      <c r="D56" s="10"/>
      <c r="E56" s="10"/>
      <c r="F56" s="10"/>
      <c r="G56" s="11"/>
      <c r="H56" s="11"/>
      <c r="I56" s="62"/>
    </row>
    <row r="57">
      <c r="A57" s="10"/>
      <c r="B57" s="10"/>
      <c r="C57" s="10"/>
      <c r="D57" s="10"/>
      <c r="E57" s="10"/>
      <c r="F57" s="10"/>
      <c r="G57" s="11"/>
      <c r="H57" s="11"/>
      <c r="I57" s="62"/>
    </row>
    <row r="58">
      <c r="A58" s="10"/>
      <c r="B58" s="10"/>
      <c r="C58" s="10"/>
      <c r="D58" s="10"/>
      <c r="E58" s="10"/>
      <c r="F58" s="10"/>
      <c r="G58" s="11"/>
      <c r="H58" s="11"/>
      <c r="I58" s="62"/>
    </row>
    <row r="59">
      <c r="A59" s="10"/>
      <c r="B59" s="10"/>
      <c r="C59" s="10"/>
      <c r="D59" s="10"/>
      <c r="E59" s="10"/>
      <c r="F59" s="10"/>
      <c r="G59" s="11"/>
      <c r="H59" s="11"/>
      <c r="I59" s="62"/>
    </row>
    <row r="60">
      <c r="A60" s="10"/>
      <c r="B60" s="10"/>
      <c r="C60" s="10"/>
      <c r="D60" s="10"/>
      <c r="E60" s="10"/>
      <c r="F60" s="10"/>
      <c r="G60" s="11"/>
      <c r="H60" s="11"/>
      <c r="I60" s="62"/>
    </row>
    <row r="61">
      <c r="A61" s="10"/>
      <c r="B61" s="10"/>
      <c r="C61" s="10"/>
      <c r="D61" s="10"/>
      <c r="E61" s="10"/>
      <c r="F61" s="10"/>
      <c r="G61" s="11"/>
      <c r="H61" s="11"/>
      <c r="I61" s="62"/>
    </row>
    <row r="62">
      <c r="A62" s="10"/>
      <c r="B62" s="10"/>
      <c r="C62" s="10"/>
      <c r="D62" s="10"/>
      <c r="E62" s="10"/>
      <c r="F62" s="10"/>
      <c r="G62" s="11"/>
      <c r="H62" s="11"/>
      <c r="I62" s="62"/>
    </row>
    <row r="63">
      <c r="A63" s="10"/>
      <c r="B63" s="10"/>
      <c r="C63" s="10"/>
      <c r="D63" s="10"/>
      <c r="E63" s="10"/>
      <c r="F63" s="10"/>
      <c r="G63" s="11"/>
      <c r="H63" s="11"/>
      <c r="I63" s="62"/>
    </row>
    <row r="64">
      <c r="A64" s="10"/>
      <c r="B64" s="10"/>
      <c r="C64" s="10"/>
      <c r="D64" s="10"/>
      <c r="E64" s="10"/>
      <c r="F64" s="10"/>
      <c r="G64" s="11"/>
      <c r="H64" s="11"/>
      <c r="I64" s="62"/>
    </row>
    <row r="65">
      <c r="A65" s="10"/>
      <c r="B65" s="10"/>
      <c r="C65" s="10"/>
      <c r="D65" s="10"/>
      <c r="E65" s="10"/>
      <c r="F65" s="10"/>
      <c r="G65" s="11"/>
      <c r="H65" s="11"/>
      <c r="I65" s="62"/>
    </row>
    <row r="66">
      <c r="A66" s="10"/>
      <c r="B66" s="10"/>
      <c r="C66" s="10"/>
      <c r="D66" s="10"/>
      <c r="E66" s="10"/>
      <c r="F66" s="10"/>
      <c r="G66" s="11"/>
      <c r="H66" s="11"/>
      <c r="I66" s="62"/>
    </row>
    <row r="67">
      <c r="A67" s="10"/>
      <c r="B67" s="10"/>
      <c r="C67" s="10"/>
      <c r="D67" s="10"/>
      <c r="E67" s="10"/>
      <c r="F67" s="10"/>
      <c r="G67" s="11"/>
      <c r="H67" s="11"/>
      <c r="I67" s="62"/>
    </row>
    <row r="68">
      <c r="A68" s="10"/>
      <c r="B68" s="10"/>
      <c r="C68" s="10"/>
      <c r="D68" s="10"/>
      <c r="E68" s="10"/>
      <c r="F68" s="10"/>
      <c r="G68" s="11"/>
      <c r="H68" s="11"/>
      <c r="I68" s="62"/>
    </row>
    <row r="69">
      <c r="A69" s="10"/>
      <c r="B69" s="10"/>
      <c r="C69" s="10"/>
      <c r="D69" s="10"/>
      <c r="E69" s="10"/>
      <c r="F69" s="10"/>
      <c r="G69" s="11"/>
      <c r="H69" s="11"/>
      <c r="I69" s="62"/>
    </row>
    <row r="70">
      <c r="A70" s="10"/>
      <c r="B70" s="10"/>
      <c r="C70" s="10"/>
      <c r="D70" s="10"/>
      <c r="E70" s="10"/>
      <c r="F70" s="10"/>
      <c r="G70" s="11"/>
      <c r="H70" s="11"/>
      <c r="I70" s="62"/>
    </row>
    <row r="71">
      <c r="A71" s="10"/>
      <c r="B71" s="10"/>
      <c r="C71" s="10"/>
      <c r="D71" s="10"/>
      <c r="E71" s="10"/>
      <c r="F71" s="10"/>
      <c r="G71" s="11"/>
      <c r="H71" s="11"/>
      <c r="I71" s="62"/>
    </row>
    <row r="72">
      <c r="A72" s="10"/>
      <c r="B72" s="10"/>
      <c r="C72" s="10"/>
      <c r="D72" s="10"/>
      <c r="E72" s="10"/>
      <c r="F72" s="10"/>
      <c r="G72" s="11"/>
      <c r="H72" s="11"/>
      <c r="I72" s="62"/>
    </row>
    <row r="73">
      <c r="A73" s="10"/>
      <c r="B73" s="10"/>
      <c r="C73" s="10"/>
      <c r="D73" s="10"/>
      <c r="E73" s="10"/>
      <c r="F73" s="10"/>
      <c r="G73" s="11"/>
      <c r="H73" s="11"/>
      <c r="I73" s="62"/>
    </row>
    <row r="74">
      <c r="A74" s="10"/>
      <c r="B74" s="10"/>
      <c r="C74" s="10"/>
      <c r="D74" s="10"/>
      <c r="E74" s="10"/>
      <c r="F74" s="10"/>
      <c r="G74" s="11"/>
      <c r="H74" s="11"/>
      <c r="I74" s="62"/>
    </row>
    <row r="75">
      <c r="A75" s="10"/>
      <c r="B75" s="10"/>
      <c r="C75" s="10"/>
      <c r="D75" s="10"/>
      <c r="E75" s="10"/>
      <c r="F75" s="10"/>
      <c r="G75" s="11"/>
      <c r="H75" s="11"/>
      <c r="I75" s="62"/>
    </row>
    <row r="76">
      <c r="A76" s="10"/>
      <c r="B76" s="10"/>
      <c r="C76" s="10"/>
      <c r="D76" s="10"/>
      <c r="E76" s="10"/>
      <c r="F76" s="10"/>
      <c r="G76" s="11"/>
      <c r="H76" s="11"/>
      <c r="I76" s="62"/>
    </row>
    <row r="77">
      <c r="A77" s="10"/>
      <c r="B77" s="10"/>
      <c r="C77" s="10"/>
      <c r="D77" s="10"/>
      <c r="E77" s="10"/>
      <c r="F77" s="10"/>
      <c r="G77" s="11"/>
      <c r="H77" s="11"/>
      <c r="I77" s="62"/>
    </row>
    <row r="78">
      <c r="A78" s="10"/>
      <c r="B78" s="10"/>
      <c r="C78" s="10"/>
      <c r="D78" s="10"/>
      <c r="E78" s="10"/>
      <c r="F78" s="10"/>
      <c r="G78" s="11"/>
      <c r="H78" s="11"/>
      <c r="I78" s="62"/>
    </row>
    <row r="79">
      <c r="A79" s="10"/>
      <c r="B79" s="10"/>
      <c r="C79" s="10"/>
      <c r="D79" s="10"/>
      <c r="E79" s="10"/>
      <c r="F79" s="10"/>
      <c r="G79" s="11"/>
      <c r="H79" s="11"/>
      <c r="I79" s="62"/>
    </row>
    <row r="80">
      <c r="A80" s="10"/>
      <c r="B80" s="10"/>
      <c r="C80" s="10"/>
      <c r="D80" s="10"/>
      <c r="E80" s="10"/>
      <c r="F80" s="10"/>
      <c r="G80" s="11"/>
      <c r="H80" s="11"/>
      <c r="I80" s="62"/>
    </row>
    <row r="81">
      <c r="A81" s="10"/>
      <c r="B81" s="10"/>
      <c r="C81" s="10"/>
      <c r="D81" s="10"/>
      <c r="E81" s="10"/>
      <c r="F81" s="10"/>
      <c r="G81" s="11"/>
      <c r="H81" s="11"/>
      <c r="I81" s="62"/>
    </row>
    <row r="82">
      <c r="A82" s="10"/>
      <c r="B82" s="10"/>
      <c r="C82" s="10"/>
      <c r="D82" s="10"/>
      <c r="E82" s="10"/>
      <c r="F82" s="10"/>
      <c r="G82" s="11"/>
      <c r="H82" s="11"/>
      <c r="I82" s="62"/>
    </row>
    <row r="83">
      <c r="A83" s="10"/>
      <c r="B83" s="10"/>
      <c r="C83" s="10"/>
      <c r="D83" s="10"/>
      <c r="E83" s="10"/>
      <c r="F83" s="10"/>
      <c r="G83" s="11"/>
      <c r="H83" s="11"/>
      <c r="I83" s="62"/>
    </row>
    <row r="84">
      <c r="A84" s="10"/>
      <c r="B84" s="10"/>
      <c r="C84" s="10"/>
      <c r="D84" s="10"/>
      <c r="E84" s="10"/>
      <c r="F84" s="10"/>
      <c r="G84" s="11"/>
      <c r="H84" s="11"/>
      <c r="I84" s="62"/>
    </row>
    <row r="85">
      <c r="A85" s="10"/>
      <c r="B85" s="10"/>
      <c r="C85" s="10"/>
      <c r="D85" s="10"/>
      <c r="E85" s="10"/>
      <c r="F85" s="10"/>
      <c r="G85" s="11"/>
      <c r="H85" s="11"/>
      <c r="I85" s="62"/>
    </row>
    <row r="86">
      <c r="E86" s="10"/>
    </row>
    <row r="87">
      <c r="E87" s="10"/>
    </row>
    <row r="88">
      <c r="E88" s="10"/>
    </row>
    <row r="90">
      <c r="E90" s="10"/>
    </row>
    <row r="91">
      <c r="E91" s="10"/>
    </row>
    <row r="92">
      <c r="E92" s="10"/>
    </row>
  </sheetData>
  <autoFilter ref="$A$1:$I$92"/>
  <customSheetViews>
    <customSheetView guid="{131ED934-56A5-4A4B-9246-8993FA1F050E}" filter="1" showAutoFilter="1">
      <autoFilter ref="$A$1:$I$92">
        <filterColumn colId="4">
          <filters blank="1">
            <filter val="Cervelo P5x"/>
            <filter val="Specialized Tarmac Pro"/>
            <filter val="Specialized P5"/>
            <filter val="Canyon Speedmax CF SLX Disc"/>
            <filter val="Tron (Concept Z1)"/>
            <filter val="Specialized Venge S-Works"/>
            <filter val="Specialized Shiv S-Works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5">
          <filters blank="1">
            <filter val="Zipp 454"/>
            <filter val="Zipp 858/Super9"/>
            <filter val="Zipp 858"/>
            <filter val="ENVE 7.8"/>
            <filter val="Tron"/>
            <filter val="Lightweight Meilenstein"/>
          </filters>
        </filterColumn>
      </autoFilter>
    </customSheetView>
  </customSheetView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</hyperlinks>
  <drawing r:id="rId1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566</v>
      </c>
      <c r="I1" s="1" t="s">
        <v>567</v>
      </c>
      <c r="J1" s="1" t="s">
        <v>568</v>
      </c>
      <c r="K1" s="1" t="s">
        <v>569</v>
      </c>
      <c r="L1" s="30"/>
    </row>
    <row r="2">
      <c r="A2" s="10">
        <v>75.0</v>
      </c>
      <c r="B2" s="10">
        <v>300.0</v>
      </c>
      <c r="C2" s="10">
        <f t="shared" ref="C2:C9" si="1">B2/A2</f>
        <v>4</v>
      </c>
      <c r="D2" s="10">
        <v>183.0</v>
      </c>
      <c r="E2" s="10" t="s">
        <v>13</v>
      </c>
      <c r="F2" s="10" t="s">
        <v>11</v>
      </c>
      <c r="G2" s="11">
        <v>0.07214120370370371</v>
      </c>
      <c r="H2" s="11">
        <v>0.003425925925925926</v>
      </c>
      <c r="I2" s="11">
        <v>0.0018171296296296297</v>
      </c>
      <c r="J2" s="11">
        <v>0.005740740740740741</v>
      </c>
      <c r="K2" s="11">
        <v>0.0015162037037037036</v>
      </c>
      <c r="L2" s="69" t="s">
        <v>570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19</v>
      </c>
      <c r="F3" s="10" t="s">
        <v>14</v>
      </c>
      <c r="G3" s="11">
        <v>0.07270833333333333</v>
      </c>
      <c r="H3" s="11">
        <v>0.003449074074074074</v>
      </c>
      <c r="I3" s="11">
        <v>0.0018287037037037037</v>
      </c>
      <c r="J3" s="11">
        <v>0.005787037037037037</v>
      </c>
      <c r="K3" s="11">
        <v>0.0015393518518518519</v>
      </c>
      <c r="L3" s="69" t="s">
        <v>571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77</v>
      </c>
      <c r="F4" s="10" t="s">
        <v>14</v>
      </c>
      <c r="G4" s="11">
        <v>0.07246527777777778</v>
      </c>
      <c r="H4" s="11">
        <v>0.003449074074074074</v>
      </c>
      <c r="I4" s="11">
        <v>0.0018402777777777777</v>
      </c>
      <c r="J4" s="11">
        <v>0.005763888888888889</v>
      </c>
      <c r="K4" s="11">
        <v>0.0015393518518518519</v>
      </c>
      <c r="L4" s="69" t="s">
        <v>572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13</v>
      </c>
      <c r="F5" s="10" t="s">
        <v>14</v>
      </c>
      <c r="G5" s="11">
        <v>0.07251157407407408</v>
      </c>
      <c r="H5" s="11">
        <v>0.0034375</v>
      </c>
      <c r="I5" s="11">
        <v>0.0018171296296296297</v>
      </c>
      <c r="J5" s="11">
        <v>0.005740740740740741</v>
      </c>
      <c r="K5" s="11">
        <v>0.0015277777777777779</v>
      </c>
      <c r="L5" s="69" t="s">
        <v>573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351</v>
      </c>
      <c r="F6" s="10" t="s">
        <v>351</v>
      </c>
      <c r="G6" s="11">
        <v>0.07215277777777777</v>
      </c>
      <c r="H6" s="11">
        <v>0.003425925925925926</v>
      </c>
      <c r="I6" s="11">
        <v>0.0018287037037037037</v>
      </c>
      <c r="J6" s="11">
        <v>0.005740740740740741</v>
      </c>
      <c r="K6" s="11">
        <v>0.0015277777777777779</v>
      </c>
      <c r="L6" s="69" t="s">
        <v>574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9</v>
      </c>
      <c r="F7" s="10" t="s">
        <v>11</v>
      </c>
      <c r="G7" s="11">
        <v>0.07212962962962963</v>
      </c>
      <c r="H7" s="11">
        <v>0.003425925925925926</v>
      </c>
      <c r="I7" s="11">
        <v>0.0018287037037037037</v>
      </c>
      <c r="J7" s="11">
        <v>0.005752314814814815</v>
      </c>
      <c r="K7" s="11">
        <v>0.0015277777777777779</v>
      </c>
      <c r="L7" s="69" t="s">
        <v>575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 t="s">
        <v>13</v>
      </c>
      <c r="F8" s="10" t="s">
        <v>444</v>
      </c>
      <c r="G8" s="11">
        <v>0.07295138888888889</v>
      </c>
      <c r="H8" s="11">
        <v>0.003449074074074074</v>
      </c>
      <c r="I8" s="11">
        <v>0.0018171296296296297</v>
      </c>
      <c r="J8" s="11">
        <v>0.005752314814814815</v>
      </c>
      <c r="K8" s="11">
        <v>0.0015277777777777779</v>
      </c>
      <c r="L8" s="69" t="s">
        <v>576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 t="s">
        <v>13</v>
      </c>
      <c r="F9" s="10" t="s">
        <v>79</v>
      </c>
      <c r="G9" s="11">
        <v>0.07228009259259259</v>
      </c>
      <c r="H9" s="11">
        <v>0.0034375</v>
      </c>
      <c r="I9" s="11">
        <v>0.0018171296296296297</v>
      </c>
      <c r="J9" s="11">
        <v>0.005729166666666666</v>
      </c>
      <c r="K9" s="11">
        <v>0.0015277777777777779</v>
      </c>
      <c r="L9" s="69" t="s">
        <v>577</v>
      </c>
    </row>
    <row r="10">
      <c r="A10" s="10"/>
      <c r="B10" s="10"/>
      <c r="C10" s="10"/>
      <c r="D10" s="10"/>
      <c r="E10" s="10"/>
      <c r="F10" s="10"/>
      <c r="G10" s="11"/>
      <c r="H10" s="70"/>
      <c r="I10" s="70"/>
      <c r="J10" s="10"/>
      <c r="K10" s="70"/>
      <c r="L10" s="71"/>
    </row>
    <row r="11">
      <c r="A11" s="10"/>
      <c r="B11" s="10"/>
      <c r="C11" s="10"/>
      <c r="D11" s="10"/>
      <c r="E11" s="10"/>
      <c r="F11" s="10"/>
      <c r="G11" s="11"/>
      <c r="H11" s="70"/>
      <c r="I11" s="70"/>
      <c r="J11" s="10"/>
      <c r="K11" s="70"/>
      <c r="L11" s="71"/>
    </row>
    <row r="12">
      <c r="A12" s="10"/>
      <c r="B12" s="10"/>
      <c r="C12" s="10"/>
      <c r="D12" s="10"/>
      <c r="E12" s="10"/>
      <c r="F12" s="10"/>
      <c r="G12" s="11"/>
      <c r="H12" s="70"/>
      <c r="I12" s="70"/>
      <c r="J12" s="10"/>
      <c r="K12" s="70"/>
      <c r="L12" s="71"/>
    </row>
    <row r="13">
      <c r="A13" s="10"/>
      <c r="B13" s="10"/>
      <c r="C13" s="10"/>
      <c r="D13" s="10"/>
      <c r="E13" s="10"/>
      <c r="F13" s="10"/>
      <c r="G13" s="11"/>
      <c r="H13" s="70"/>
      <c r="I13" s="70"/>
      <c r="J13" s="10"/>
      <c r="K13" s="70"/>
      <c r="L13" s="71"/>
    </row>
    <row r="14">
      <c r="A14" s="10"/>
      <c r="B14" s="10"/>
      <c r="C14" s="10"/>
      <c r="D14" s="10"/>
      <c r="E14" s="10"/>
      <c r="F14" s="10"/>
      <c r="G14" s="11"/>
      <c r="H14" s="70"/>
      <c r="I14" s="70"/>
      <c r="J14" s="10"/>
      <c r="K14" s="70"/>
      <c r="L14" s="71"/>
    </row>
    <row r="15">
      <c r="A15" s="10"/>
      <c r="B15" s="10"/>
      <c r="C15" s="10"/>
      <c r="D15" s="10"/>
      <c r="E15" s="10"/>
      <c r="F15" s="10"/>
      <c r="G15" s="11"/>
      <c r="H15" s="70"/>
      <c r="I15" s="70"/>
      <c r="J15" s="70"/>
      <c r="K15" s="70"/>
      <c r="L15" s="71"/>
    </row>
    <row r="16">
      <c r="A16" s="10"/>
      <c r="B16" s="10"/>
      <c r="C16" s="10"/>
      <c r="D16" s="10"/>
      <c r="E16" s="10"/>
      <c r="F16" s="10"/>
      <c r="G16" s="11"/>
      <c r="H16" s="70"/>
      <c r="I16" s="70"/>
      <c r="J16" s="70"/>
      <c r="K16" s="70"/>
      <c r="L16" s="71"/>
    </row>
    <row r="17">
      <c r="A17" s="10"/>
      <c r="B17" s="10"/>
      <c r="C17" s="10"/>
      <c r="D17" s="10"/>
      <c r="E17" s="10"/>
      <c r="F17" s="10"/>
      <c r="G17" s="11"/>
      <c r="H17" s="70"/>
      <c r="I17" s="70"/>
      <c r="J17" s="70"/>
      <c r="K17" s="70"/>
      <c r="L17" s="71"/>
    </row>
    <row r="18">
      <c r="A18" s="10"/>
      <c r="B18" s="10"/>
      <c r="C18" s="10"/>
      <c r="D18" s="10"/>
      <c r="E18" s="10"/>
      <c r="F18" s="10"/>
      <c r="G18" s="11"/>
      <c r="H18" s="70"/>
      <c r="I18" s="70"/>
      <c r="J18" s="70"/>
      <c r="K18" s="70"/>
      <c r="L18" s="71"/>
    </row>
    <row r="19">
      <c r="A19" s="10"/>
      <c r="B19" s="10"/>
      <c r="C19" s="10"/>
      <c r="D19" s="10"/>
      <c r="E19" s="10"/>
      <c r="F19" s="10"/>
      <c r="G19" s="11"/>
      <c r="H19" s="70"/>
      <c r="I19" s="70"/>
      <c r="J19" s="70"/>
      <c r="K19" s="70"/>
      <c r="L19" s="71"/>
    </row>
    <row r="20">
      <c r="A20" s="10"/>
      <c r="B20" s="10"/>
      <c r="C20" s="10"/>
      <c r="D20" s="10"/>
      <c r="E20" s="10"/>
      <c r="F20" s="10"/>
      <c r="G20" s="11"/>
      <c r="H20" s="70"/>
      <c r="I20" s="70"/>
      <c r="J20" s="70"/>
      <c r="K20" s="70"/>
      <c r="L20" s="71"/>
    </row>
    <row r="21">
      <c r="A21" s="10"/>
      <c r="B21" s="10"/>
      <c r="C21" s="10"/>
      <c r="D21" s="10"/>
      <c r="E21" s="10"/>
      <c r="F21" s="10"/>
      <c r="G21" s="11"/>
      <c r="H21" s="70"/>
      <c r="I21" s="70"/>
      <c r="J21" s="70"/>
      <c r="K21" s="70"/>
      <c r="L21" s="71"/>
    </row>
    <row r="22">
      <c r="A22" s="10"/>
      <c r="B22" s="10"/>
      <c r="C22" s="10"/>
      <c r="D22" s="10"/>
      <c r="E22" s="10"/>
      <c r="F22" s="10"/>
      <c r="G22" s="11"/>
      <c r="H22" s="70"/>
      <c r="I22" s="70"/>
      <c r="J22" s="70"/>
      <c r="K22" s="70"/>
      <c r="L22" s="71"/>
    </row>
    <row r="23">
      <c r="A23" s="10"/>
      <c r="B23" s="10"/>
      <c r="C23" s="10"/>
      <c r="D23" s="10"/>
      <c r="E23" s="10"/>
      <c r="F23" s="10"/>
      <c r="G23" s="11"/>
      <c r="H23" s="70"/>
      <c r="I23" s="70"/>
      <c r="J23" s="70"/>
      <c r="K23" s="70"/>
      <c r="L23" s="71"/>
    </row>
    <row r="24">
      <c r="A24" s="10"/>
      <c r="B24" s="10"/>
      <c r="C24" s="10"/>
      <c r="D24" s="10"/>
      <c r="E24" s="10"/>
      <c r="F24" s="10"/>
      <c r="G24" s="11"/>
      <c r="H24" s="70"/>
      <c r="I24" s="70"/>
      <c r="J24" s="70"/>
      <c r="K24" s="70"/>
      <c r="L24" s="71"/>
    </row>
    <row r="25">
      <c r="A25" s="10"/>
      <c r="B25" s="10"/>
      <c r="C25" s="10"/>
      <c r="D25" s="10"/>
      <c r="E25" s="10"/>
      <c r="F25" s="10"/>
      <c r="G25" s="11"/>
      <c r="H25" s="70"/>
      <c r="I25" s="70"/>
      <c r="J25" s="70"/>
      <c r="K25" s="70"/>
      <c r="L25" s="71"/>
    </row>
    <row r="26">
      <c r="A26" s="10"/>
      <c r="B26" s="10"/>
      <c r="C26" s="10"/>
      <c r="D26" s="10"/>
      <c r="E26" s="10"/>
      <c r="F26" s="10"/>
      <c r="G26" s="11"/>
      <c r="H26" s="70"/>
      <c r="I26" s="70"/>
      <c r="J26" s="70"/>
      <c r="K26" s="70"/>
      <c r="L26" s="71"/>
    </row>
    <row r="27">
      <c r="A27" s="10"/>
      <c r="B27" s="10"/>
      <c r="C27" s="10"/>
      <c r="D27" s="10"/>
      <c r="E27" s="10"/>
      <c r="F27" s="10"/>
      <c r="G27" s="11"/>
      <c r="H27" s="70"/>
      <c r="I27" s="70"/>
      <c r="J27" s="70"/>
      <c r="K27" s="70"/>
      <c r="L27" s="71"/>
    </row>
    <row r="28">
      <c r="A28" s="10"/>
      <c r="B28" s="10"/>
      <c r="C28" s="10"/>
      <c r="D28" s="10"/>
      <c r="E28" s="10"/>
      <c r="F28" s="10"/>
      <c r="G28" s="11"/>
      <c r="H28" s="70"/>
      <c r="I28" s="70"/>
      <c r="J28" s="70"/>
      <c r="K28" s="70"/>
      <c r="L28" s="71"/>
    </row>
    <row r="29">
      <c r="A29" s="10"/>
      <c r="B29" s="10"/>
      <c r="C29" s="10"/>
      <c r="D29" s="10"/>
      <c r="E29" s="10"/>
      <c r="F29" s="10"/>
      <c r="G29" s="11"/>
      <c r="H29" s="70"/>
      <c r="I29" s="70"/>
      <c r="J29" s="70"/>
      <c r="K29" s="70"/>
      <c r="L29" s="71"/>
    </row>
    <row r="30">
      <c r="A30" s="10"/>
      <c r="B30" s="10"/>
      <c r="C30" s="10"/>
      <c r="D30" s="10"/>
      <c r="E30" s="10"/>
      <c r="F30" s="10"/>
      <c r="G30" s="11"/>
      <c r="H30" s="70"/>
      <c r="I30" s="70"/>
      <c r="J30" s="70"/>
      <c r="K30" s="70"/>
      <c r="L30" s="71"/>
    </row>
    <row r="31">
      <c r="A31" s="10"/>
      <c r="B31" s="10"/>
      <c r="C31" s="10"/>
      <c r="D31" s="10"/>
      <c r="E31" s="10"/>
      <c r="F31" s="10"/>
      <c r="G31" s="11"/>
      <c r="H31" s="70"/>
      <c r="I31" s="70"/>
      <c r="J31" s="70"/>
      <c r="K31" s="70"/>
      <c r="L31" s="71"/>
    </row>
    <row r="32">
      <c r="A32" s="10"/>
      <c r="B32" s="10"/>
      <c r="C32" s="10"/>
      <c r="D32" s="10"/>
      <c r="E32" s="10"/>
      <c r="F32" s="10"/>
      <c r="G32" s="11"/>
      <c r="H32" s="70"/>
      <c r="I32" s="70"/>
      <c r="J32" s="70"/>
      <c r="K32" s="70"/>
      <c r="L32" s="71"/>
    </row>
    <row r="33">
      <c r="A33" s="10"/>
      <c r="B33" s="10"/>
      <c r="C33" s="10"/>
      <c r="D33" s="10"/>
      <c r="E33" s="10"/>
      <c r="F33" s="10"/>
      <c r="G33" s="11"/>
      <c r="H33" s="70"/>
      <c r="I33" s="70"/>
      <c r="J33" s="70"/>
      <c r="K33" s="70"/>
      <c r="L33" s="71"/>
    </row>
    <row r="34">
      <c r="A34" s="10"/>
      <c r="B34" s="10"/>
      <c r="C34" s="10"/>
      <c r="D34" s="10"/>
      <c r="E34" s="10"/>
      <c r="F34" s="10"/>
      <c r="G34" s="11"/>
      <c r="H34" s="70"/>
      <c r="I34" s="70"/>
      <c r="J34" s="70"/>
      <c r="K34" s="70"/>
      <c r="L34" s="71"/>
    </row>
    <row r="35">
      <c r="A35" s="10"/>
      <c r="B35" s="10"/>
      <c r="C35" s="10"/>
      <c r="D35" s="10"/>
      <c r="E35" s="10"/>
      <c r="F35" s="10"/>
      <c r="G35" s="11"/>
      <c r="H35" s="70"/>
      <c r="I35" s="70"/>
      <c r="J35" s="70"/>
      <c r="K35" s="70"/>
      <c r="L35" s="71"/>
    </row>
    <row r="36">
      <c r="A36" s="10"/>
      <c r="B36" s="10"/>
      <c r="C36" s="10"/>
      <c r="D36" s="10"/>
      <c r="E36" s="10"/>
      <c r="F36" s="10"/>
      <c r="G36" s="11"/>
      <c r="H36" s="70"/>
      <c r="I36" s="70"/>
      <c r="J36" s="70"/>
      <c r="K36" s="70"/>
      <c r="L36" s="71"/>
    </row>
    <row r="37">
      <c r="A37" s="10"/>
      <c r="B37" s="10"/>
      <c r="C37" s="10"/>
      <c r="D37" s="10"/>
      <c r="E37" s="10"/>
      <c r="F37" s="10"/>
      <c r="G37" s="11"/>
      <c r="H37" s="70"/>
      <c r="I37" s="70"/>
      <c r="J37" s="70"/>
      <c r="K37" s="70"/>
      <c r="L37" s="71"/>
    </row>
    <row r="38">
      <c r="A38" s="10"/>
      <c r="B38" s="10"/>
      <c r="C38" s="10"/>
      <c r="D38" s="10"/>
      <c r="E38" s="10"/>
      <c r="F38" s="10"/>
      <c r="G38" s="11"/>
      <c r="H38" s="70"/>
      <c r="I38" s="70"/>
      <c r="J38" s="70"/>
      <c r="K38" s="70"/>
      <c r="L38" s="71"/>
    </row>
    <row r="39">
      <c r="A39" s="10"/>
      <c r="B39" s="10"/>
      <c r="C39" s="10"/>
      <c r="D39" s="10"/>
      <c r="E39" s="10"/>
      <c r="F39" s="10"/>
      <c r="G39" s="11"/>
      <c r="H39" s="70"/>
      <c r="I39" s="70"/>
      <c r="J39" s="70"/>
      <c r="K39" s="70"/>
      <c r="L39" s="71"/>
    </row>
    <row r="40">
      <c r="A40" s="10"/>
      <c r="B40" s="10"/>
      <c r="C40" s="10"/>
      <c r="D40" s="10"/>
      <c r="E40" s="10"/>
      <c r="F40" s="10"/>
      <c r="G40" s="11"/>
      <c r="H40" s="70"/>
      <c r="I40" s="70"/>
      <c r="J40" s="70"/>
      <c r="K40" s="70"/>
      <c r="L40" s="71"/>
    </row>
    <row r="41">
      <c r="A41" s="10"/>
      <c r="B41" s="10"/>
      <c r="C41" s="10"/>
      <c r="D41" s="10"/>
      <c r="E41" s="10"/>
      <c r="F41" s="10"/>
      <c r="G41" s="11"/>
      <c r="H41" s="70"/>
      <c r="I41" s="70"/>
      <c r="J41" s="70"/>
      <c r="K41" s="70"/>
      <c r="L41" s="71"/>
    </row>
    <row r="42">
      <c r="A42" s="10"/>
      <c r="B42" s="10"/>
      <c r="C42" s="10"/>
      <c r="D42" s="10"/>
      <c r="E42" s="10"/>
      <c r="F42" s="10"/>
      <c r="G42" s="11"/>
      <c r="H42" s="70"/>
      <c r="I42" s="70"/>
      <c r="J42" s="70"/>
      <c r="K42" s="70"/>
      <c r="L42" s="71"/>
    </row>
    <row r="43">
      <c r="A43" s="10"/>
      <c r="B43" s="10"/>
      <c r="C43" s="10"/>
      <c r="D43" s="10"/>
      <c r="E43" s="10"/>
      <c r="F43" s="10"/>
      <c r="G43" s="11"/>
      <c r="H43" s="70"/>
      <c r="I43" s="70"/>
      <c r="J43" s="70"/>
      <c r="K43" s="70"/>
      <c r="L43" s="71"/>
    </row>
    <row r="44">
      <c r="A44" s="10"/>
      <c r="B44" s="10"/>
      <c r="C44" s="10"/>
      <c r="D44" s="10"/>
      <c r="E44" s="10"/>
      <c r="F44" s="10"/>
      <c r="G44" s="11"/>
      <c r="H44" s="70"/>
      <c r="I44" s="70"/>
      <c r="J44" s="70"/>
      <c r="K44" s="70"/>
      <c r="L44" s="71"/>
    </row>
    <row r="45">
      <c r="A45" s="10"/>
      <c r="B45" s="10"/>
      <c r="C45" s="10"/>
      <c r="D45" s="10"/>
      <c r="E45" s="10"/>
      <c r="F45" s="10"/>
      <c r="G45" s="11"/>
      <c r="H45" s="70"/>
      <c r="I45" s="70"/>
      <c r="J45" s="70"/>
      <c r="K45" s="70"/>
    </row>
    <row r="46">
      <c r="A46" s="10"/>
      <c r="B46" s="10"/>
      <c r="C46" s="10"/>
      <c r="D46" s="10"/>
      <c r="E46" s="10"/>
      <c r="F46" s="10"/>
      <c r="G46" s="11"/>
      <c r="H46" s="70"/>
      <c r="I46" s="70"/>
      <c r="J46" s="70"/>
      <c r="K46" s="70"/>
      <c r="L46" s="71"/>
    </row>
    <row r="47">
      <c r="A47" s="10"/>
      <c r="B47" s="10"/>
      <c r="C47" s="10"/>
      <c r="D47" s="10"/>
      <c r="E47" s="10"/>
      <c r="F47" s="10"/>
      <c r="G47" s="11"/>
      <c r="H47" s="70"/>
      <c r="I47" s="70"/>
      <c r="J47" s="70"/>
      <c r="K47" s="70"/>
      <c r="L47" s="71"/>
    </row>
    <row r="48">
      <c r="A48" s="10"/>
      <c r="B48" s="10"/>
      <c r="C48" s="10"/>
      <c r="D48" s="10"/>
      <c r="E48" s="10"/>
      <c r="F48" s="10"/>
      <c r="G48" s="11"/>
      <c r="H48" s="70"/>
      <c r="I48" s="70"/>
      <c r="J48" s="70"/>
      <c r="K48" s="70"/>
      <c r="L48" s="71"/>
    </row>
    <row r="49">
      <c r="A49" s="10"/>
      <c r="B49" s="10"/>
      <c r="C49" s="10"/>
      <c r="D49" s="10"/>
      <c r="E49" s="10"/>
      <c r="F49" s="10"/>
      <c r="G49" s="11"/>
      <c r="H49" s="70"/>
      <c r="I49" s="70"/>
      <c r="J49" s="70"/>
      <c r="K49" s="70"/>
      <c r="L49" s="71"/>
    </row>
    <row r="50">
      <c r="A50" s="10"/>
      <c r="B50" s="10"/>
      <c r="C50" s="10"/>
      <c r="D50" s="10"/>
      <c r="E50" s="10"/>
      <c r="F50" s="10"/>
      <c r="G50" s="11"/>
      <c r="H50" s="70"/>
      <c r="I50" s="70"/>
      <c r="J50" s="70"/>
      <c r="K50" s="70"/>
      <c r="L50" s="71"/>
    </row>
    <row r="51">
      <c r="A51" s="10"/>
      <c r="B51" s="10"/>
      <c r="C51" s="10"/>
      <c r="D51" s="10"/>
      <c r="E51" s="10"/>
      <c r="F51" s="10"/>
      <c r="G51" s="11"/>
      <c r="H51" s="70"/>
      <c r="I51" s="70"/>
      <c r="J51" s="70"/>
      <c r="K51" s="70"/>
      <c r="L51" s="71"/>
    </row>
    <row r="52">
      <c r="A52" s="10"/>
      <c r="B52" s="10"/>
      <c r="C52" s="10"/>
      <c r="D52" s="10"/>
      <c r="E52" s="10"/>
      <c r="F52" s="10"/>
      <c r="G52" s="11"/>
      <c r="H52" s="70"/>
      <c r="I52" s="70"/>
      <c r="J52" s="70"/>
      <c r="K52" s="70"/>
      <c r="L52" s="71"/>
    </row>
    <row r="53">
      <c r="A53" s="10"/>
      <c r="B53" s="10"/>
      <c r="C53" s="10"/>
      <c r="D53" s="10"/>
      <c r="E53" s="10"/>
      <c r="F53" s="10"/>
      <c r="G53" s="11"/>
      <c r="H53" s="70"/>
      <c r="I53" s="70"/>
      <c r="J53" s="70"/>
      <c r="K53" s="70"/>
      <c r="L53" s="71"/>
    </row>
    <row r="54">
      <c r="A54" s="10"/>
      <c r="B54" s="10"/>
      <c r="C54" s="10"/>
      <c r="D54" s="10"/>
      <c r="E54" s="10"/>
      <c r="F54" s="10"/>
      <c r="G54" s="11"/>
      <c r="H54" s="70"/>
      <c r="I54" s="70"/>
      <c r="J54" s="70"/>
      <c r="K54" s="70"/>
      <c r="L54" s="71"/>
    </row>
    <row r="55">
      <c r="A55" s="10"/>
      <c r="B55" s="10"/>
      <c r="C55" s="10"/>
      <c r="D55" s="10"/>
      <c r="E55" s="10"/>
      <c r="F55" s="10"/>
      <c r="G55" s="11"/>
      <c r="H55" s="70"/>
      <c r="I55" s="70"/>
      <c r="J55" s="70"/>
      <c r="K55" s="70"/>
      <c r="L55" s="71"/>
    </row>
    <row r="56">
      <c r="A56" s="10"/>
      <c r="B56" s="10"/>
      <c r="C56" s="10"/>
      <c r="D56" s="10"/>
      <c r="E56" s="10"/>
      <c r="F56" s="10"/>
      <c r="G56" s="11"/>
      <c r="H56" s="70"/>
      <c r="I56" s="70"/>
      <c r="J56" s="70"/>
      <c r="K56" s="70"/>
      <c r="L56" s="71"/>
    </row>
    <row r="57">
      <c r="A57" s="10"/>
      <c r="B57" s="10"/>
      <c r="C57" s="10"/>
      <c r="D57" s="10"/>
      <c r="E57" s="10"/>
      <c r="F57" s="10"/>
      <c r="G57" s="11"/>
      <c r="H57" s="70"/>
      <c r="I57" s="70"/>
      <c r="J57" s="70"/>
      <c r="K57" s="70"/>
      <c r="L57" s="71"/>
    </row>
    <row r="58">
      <c r="A58" s="10"/>
      <c r="B58" s="10"/>
      <c r="C58" s="10"/>
      <c r="D58" s="10"/>
      <c r="E58" s="10"/>
      <c r="F58" s="10"/>
      <c r="G58" s="11"/>
      <c r="H58" s="70"/>
      <c r="I58" s="70"/>
      <c r="J58" s="70"/>
      <c r="K58" s="70"/>
      <c r="L58" s="71"/>
    </row>
    <row r="59">
      <c r="A59" s="10"/>
      <c r="B59" s="10"/>
      <c r="C59" s="10"/>
      <c r="D59" s="10"/>
      <c r="E59" s="10"/>
      <c r="F59" s="10"/>
      <c r="G59" s="11"/>
      <c r="H59" s="70"/>
      <c r="I59" s="70"/>
      <c r="J59" s="70"/>
      <c r="K59" s="70"/>
      <c r="L59" s="71"/>
    </row>
    <row r="60">
      <c r="A60" s="10"/>
      <c r="B60" s="10"/>
      <c r="C60" s="10"/>
      <c r="D60" s="10"/>
      <c r="E60" s="10"/>
      <c r="F60" s="10"/>
      <c r="G60" s="11"/>
      <c r="H60" s="70"/>
      <c r="I60" s="70"/>
      <c r="J60" s="70"/>
      <c r="K60" s="70"/>
      <c r="L60" s="71"/>
    </row>
    <row r="61">
      <c r="A61" s="10"/>
      <c r="B61" s="10"/>
      <c r="C61" s="10"/>
      <c r="D61" s="10"/>
      <c r="E61" s="10"/>
      <c r="F61" s="10"/>
      <c r="G61" s="11"/>
      <c r="H61" s="70"/>
      <c r="I61" s="70"/>
      <c r="J61" s="70"/>
      <c r="K61" s="70"/>
      <c r="L61" s="71"/>
    </row>
    <row r="62">
      <c r="A62" s="10"/>
      <c r="B62" s="10"/>
      <c r="C62" s="10"/>
      <c r="D62" s="10"/>
      <c r="E62" s="10"/>
      <c r="F62" s="10"/>
      <c r="G62" s="11"/>
      <c r="H62" s="70"/>
      <c r="I62" s="70"/>
      <c r="J62" s="70"/>
      <c r="K62" s="70"/>
      <c r="L62" s="71"/>
    </row>
    <row r="63">
      <c r="A63" s="10"/>
      <c r="B63" s="10"/>
      <c r="C63" s="10"/>
      <c r="D63" s="10"/>
      <c r="E63" s="10"/>
      <c r="F63" s="10"/>
      <c r="G63" s="11"/>
      <c r="H63" s="70"/>
      <c r="I63" s="70"/>
      <c r="J63" s="70"/>
      <c r="K63" s="70"/>
      <c r="L63" s="71"/>
    </row>
    <row r="64">
      <c r="A64" s="10"/>
      <c r="B64" s="10"/>
      <c r="C64" s="10"/>
      <c r="D64" s="10"/>
      <c r="E64" s="10"/>
      <c r="F64" s="10"/>
      <c r="G64" s="11"/>
      <c r="H64" s="70"/>
      <c r="I64" s="70"/>
      <c r="J64" s="70"/>
      <c r="K64" s="70"/>
      <c r="L64" s="71"/>
    </row>
    <row r="65">
      <c r="A65" s="10"/>
      <c r="B65" s="10"/>
      <c r="C65" s="10"/>
      <c r="D65" s="10"/>
      <c r="E65" s="10"/>
      <c r="F65" s="10"/>
      <c r="G65" s="11"/>
      <c r="H65" s="70"/>
      <c r="I65" s="70"/>
      <c r="J65" s="70"/>
      <c r="K65" s="70"/>
      <c r="L65" s="71"/>
    </row>
    <row r="66">
      <c r="A66" s="10"/>
      <c r="B66" s="10"/>
      <c r="C66" s="10"/>
      <c r="D66" s="10"/>
      <c r="E66" s="10"/>
      <c r="F66" s="10"/>
      <c r="G66" s="11"/>
      <c r="H66" s="70"/>
      <c r="I66" s="70"/>
      <c r="J66" s="70"/>
      <c r="K66" s="70"/>
      <c r="L66" s="71"/>
    </row>
    <row r="67">
      <c r="A67" s="10"/>
      <c r="B67" s="10"/>
      <c r="C67" s="10"/>
      <c r="D67" s="10"/>
      <c r="E67" s="10"/>
      <c r="F67" s="10"/>
      <c r="G67" s="11"/>
      <c r="H67" s="70"/>
      <c r="I67" s="70"/>
      <c r="J67" s="70"/>
      <c r="K67" s="70"/>
      <c r="L67" s="71"/>
    </row>
    <row r="68">
      <c r="A68" s="10"/>
      <c r="B68" s="10"/>
      <c r="C68" s="10"/>
      <c r="D68" s="10"/>
      <c r="E68" s="10"/>
      <c r="F68" s="10"/>
      <c r="G68" s="11"/>
      <c r="H68" s="70"/>
      <c r="I68" s="70"/>
      <c r="J68" s="70"/>
      <c r="K68" s="70"/>
      <c r="L68" s="71"/>
    </row>
    <row r="69">
      <c r="A69" s="10"/>
      <c r="B69" s="10"/>
      <c r="C69" s="10"/>
      <c r="D69" s="10"/>
      <c r="E69" s="10"/>
      <c r="F69" s="10"/>
      <c r="G69" s="11"/>
      <c r="H69" s="70"/>
      <c r="I69" s="70"/>
      <c r="J69" s="70"/>
      <c r="K69" s="70"/>
      <c r="L69" s="71"/>
    </row>
    <row r="70">
      <c r="A70" s="10"/>
      <c r="B70" s="10"/>
      <c r="C70" s="10"/>
      <c r="D70" s="10"/>
      <c r="E70" s="10"/>
      <c r="F70" s="10"/>
      <c r="G70" s="11"/>
      <c r="H70" s="70"/>
      <c r="I70" s="70"/>
      <c r="J70" s="70"/>
      <c r="K70" s="70"/>
      <c r="L70" s="71"/>
    </row>
    <row r="71">
      <c r="A71" s="10"/>
      <c r="B71" s="10"/>
      <c r="C71" s="10"/>
      <c r="D71" s="10"/>
      <c r="E71" s="10"/>
      <c r="F71" s="10"/>
      <c r="G71" s="11"/>
      <c r="H71" s="70"/>
      <c r="I71" s="70"/>
      <c r="J71" s="70"/>
      <c r="K71" s="70"/>
      <c r="L71" s="71"/>
    </row>
    <row r="72">
      <c r="A72" s="10"/>
      <c r="B72" s="10"/>
      <c r="C72" s="10"/>
      <c r="D72" s="10"/>
      <c r="E72" s="10"/>
      <c r="F72" s="10"/>
      <c r="G72" s="11"/>
      <c r="H72" s="70"/>
      <c r="I72" s="70"/>
      <c r="J72" s="70"/>
      <c r="K72" s="70"/>
      <c r="L72" s="71"/>
    </row>
    <row r="73">
      <c r="A73" s="10"/>
      <c r="B73" s="10"/>
      <c r="C73" s="10"/>
      <c r="D73" s="10"/>
      <c r="E73" s="10"/>
      <c r="F73" s="10"/>
      <c r="G73" s="11"/>
      <c r="H73" s="70"/>
      <c r="I73" s="70"/>
      <c r="J73" s="70"/>
      <c r="K73" s="70"/>
      <c r="L73" s="71"/>
    </row>
  </sheetData>
  <autoFilter ref="$A$1:$L$73"/>
  <customSheetViews>
    <customSheetView guid="{131ED934-56A5-4A4B-9246-8993FA1F050E}" filter="1" showAutoFilter="1">
      <autoFilter ref="$A$1:$L$73">
        <filterColumn colId="4">
          <filters blank="1">
            <filter val="Specialized Allez Sprint"/>
            <filter val="Tron"/>
            <filter val="Canyon Aeroad 2021"/>
            <filter val="Specialized Venge S-Works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5">
          <filters blank="1">
            <filter val="Lightweight Meilensteins"/>
            <filter val="Zipp 858/Super9"/>
            <filter val="DT Swiss ARC 62"/>
            <filter val="Tron"/>
            <filter val="Zipp 858"/>
          </filters>
        </filterColumn>
      </autoFilter>
    </customSheetView>
  </customSheetView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</hyperlinks>
  <drawing r:id="rId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578</v>
      </c>
      <c r="I1" s="1" t="s">
        <v>579</v>
      </c>
      <c r="J1" s="30"/>
    </row>
    <row r="2">
      <c r="A2" s="10">
        <v>75.0</v>
      </c>
      <c r="B2" s="10">
        <v>300.0</v>
      </c>
      <c r="C2" s="10">
        <f t="shared" ref="C2:C4" si="1">B2/A2</f>
        <v>4</v>
      </c>
      <c r="D2" s="10">
        <v>183.0</v>
      </c>
      <c r="E2" s="10" t="s">
        <v>351</v>
      </c>
      <c r="F2" s="10" t="s">
        <v>11</v>
      </c>
      <c r="G2" s="11">
        <v>0.02267361111111111</v>
      </c>
      <c r="H2" s="11">
        <v>0.002488425925925926</v>
      </c>
      <c r="I2" s="11">
        <v>0.0015277777777777779</v>
      </c>
      <c r="J2" s="69" t="s">
        <v>580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9</v>
      </c>
      <c r="F3" s="10" t="s">
        <v>11</v>
      </c>
      <c r="G3" s="11">
        <v>0.02267361111111111</v>
      </c>
      <c r="H3" s="11">
        <v>0.0025</v>
      </c>
      <c r="I3" s="11">
        <v>0.0015393518518518519</v>
      </c>
      <c r="J3" s="69" t="s">
        <v>581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9</v>
      </c>
      <c r="F4" s="10" t="s">
        <v>14</v>
      </c>
      <c r="G4" s="11">
        <v>0.02277777777777778</v>
      </c>
      <c r="H4" s="11">
        <v>0.002488425925925926</v>
      </c>
      <c r="I4" s="11">
        <v>0.0015277777777777779</v>
      </c>
      <c r="J4" s="69" t="s">
        <v>582</v>
      </c>
    </row>
    <row r="5">
      <c r="A5" s="10"/>
      <c r="B5" s="10"/>
      <c r="C5" s="10"/>
      <c r="D5" s="10"/>
      <c r="E5" s="10"/>
      <c r="F5" s="10"/>
      <c r="G5" s="11"/>
      <c r="H5" s="70"/>
      <c r="I5" s="70"/>
      <c r="J5" s="71"/>
    </row>
    <row r="6">
      <c r="A6" s="10"/>
      <c r="B6" s="10"/>
      <c r="C6" s="10"/>
      <c r="D6" s="10"/>
      <c r="E6" s="10"/>
      <c r="F6" s="10"/>
      <c r="G6" s="11"/>
      <c r="H6" s="70"/>
      <c r="I6" s="70"/>
      <c r="J6" s="71"/>
    </row>
    <row r="7">
      <c r="A7" s="10"/>
      <c r="B7" s="10"/>
      <c r="C7" s="10"/>
      <c r="D7" s="10"/>
      <c r="E7" s="10"/>
      <c r="F7" s="10"/>
      <c r="G7" s="11"/>
      <c r="H7" s="70"/>
      <c r="I7" s="70"/>
      <c r="J7" s="71"/>
    </row>
    <row r="8">
      <c r="A8" s="10"/>
      <c r="B8" s="10"/>
      <c r="C8" s="10"/>
      <c r="D8" s="10"/>
      <c r="E8" s="10"/>
      <c r="F8" s="10"/>
      <c r="G8" s="11"/>
      <c r="H8" s="70"/>
      <c r="I8" s="70"/>
      <c r="J8" s="71"/>
    </row>
    <row r="9">
      <c r="A9" s="10"/>
      <c r="B9" s="10"/>
      <c r="C9" s="10"/>
      <c r="D9" s="10"/>
      <c r="E9" s="10"/>
      <c r="F9" s="10"/>
      <c r="G9" s="11"/>
      <c r="H9" s="70"/>
      <c r="I9" s="70"/>
      <c r="J9" s="71"/>
    </row>
    <row r="10">
      <c r="A10" s="10"/>
      <c r="B10" s="10"/>
      <c r="C10" s="10"/>
      <c r="D10" s="10"/>
      <c r="E10" s="10"/>
      <c r="F10" s="10"/>
      <c r="G10" s="11"/>
      <c r="H10" s="70"/>
      <c r="I10" s="70"/>
      <c r="J10" s="71"/>
    </row>
    <row r="11">
      <c r="A11" s="10"/>
      <c r="B11" s="10"/>
      <c r="C11" s="10"/>
      <c r="D11" s="10"/>
      <c r="E11" s="10"/>
      <c r="F11" s="10"/>
      <c r="G11" s="11"/>
      <c r="H11" s="70"/>
      <c r="I11" s="70"/>
      <c r="J11" s="71"/>
    </row>
    <row r="12">
      <c r="A12" s="10"/>
      <c r="B12" s="10"/>
      <c r="C12" s="10"/>
      <c r="D12" s="10"/>
      <c r="E12" s="10"/>
      <c r="F12" s="10"/>
      <c r="G12" s="11"/>
      <c r="H12" s="70"/>
      <c r="I12" s="70"/>
      <c r="J12" s="71"/>
    </row>
    <row r="13">
      <c r="A13" s="10"/>
      <c r="B13" s="10"/>
      <c r="C13" s="10"/>
      <c r="D13" s="10"/>
      <c r="E13" s="10"/>
      <c r="F13" s="10"/>
      <c r="G13" s="11"/>
      <c r="H13" s="70"/>
      <c r="I13" s="70"/>
      <c r="J13" s="71"/>
    </row>
    <row r="14">
      <c r="A14" s="10"/>
      <c r="B14" s="10"/>
      <c r="C14" s="10"/>
      <c r="D14" s="10"/>
      <c r="E14" s="10"/>
      <c r="F14" s="10"/>
      <c r="G14" s="11"/>
      <c r="H14" s="70"/>
      <c r="I14" s="70"/>
      <c r="J14" s="71"/>
    </row>
    <row r="15">
      <c r="A15" s="10"/>
      <c r="B15" s="10"/>
      <c r="C15" s="10"/>
      <c r="D15" s="10"/>
      <c r="E15" s="10"/>
      <c r="F15" s="10"/>
      <c r="G15" s="11"/>
      <c r="H15" s="70"/>
      <c r="I15" s="70"/>
      <c r="J15" s="71"/>
    </row>
    <row r="16">
      <c r="A16" s="10"/>
      <c r="B16" s="10"/>
      <c r="C16" s="10"/>
      <c r="D16" s="10"/>
      <c r="E16" s="10"/>
      <c r="F16" s="10"/>
      <c r="G16" s="11"/>
      <c r="H16" s="70"/>
      <c r="I16" s="70"/>
      <c r="J16" s="71"/>
    </row>
    <row r="17">
      <c r="A17" s="10"/>
      <c r="B17" s="10"/>
      <c r="C17" s="10"/>
      <c r="D17" s="10"/>
      <c r="E17" s="10"/>
      <c r="F17" s="10"/>
      <c r="G17" s="11"/>
      <c r="H17" s="70"/>
      <c r="I17" s="70"/>
      <c r="J17" s="71"/>
    </row>
    <row r="18">
      <c r="A18" s="10"/>
      <c r="B18" s="10"/>
      <c r="C18" s="10"/>
      <c r="D18" s="10"/>
      <c r="E18" s="10"/>
      <c r="F18" s="10"/>
      <c r="G18" s="11"/>
      <c r="H18" s="70"/>
      <c r="I18" s="70"/>
      <c r="J18" s="71"/>
    </row>
    <row r="19">
      <c r="A19" s="10"/>
      <c r="B19" s="10"/>
      <c r="C19" s="10"/>
      <c r="D19" s="10"/>
      <c r="E19" s="10"/>
      <c r="F19" s="10"/>
      <c r="G19" s="11"/>
      <c r="H19" s="70"/>
      <c r="I19" s="70"/>
      <c r="J19" s="71"/>
    </row>
    <row r="20">
      <c r="A20" s="10"/>
      <c r="B20" s="10"/>
      <c r="C20" s="10"/>
      <c r="D20" s="10"/>
      <c r="E20" s="10"/>
      <c r="F20" s="10"/>
      <c r="G20" s="11"/>
      <c r="H20" s="70"/>
      <c r="I20" s="70"/>
      <c r="J20" s="71"/>
    </row>
    <row r="21">
      <c r="A21" s="10"/>
      <c r="B21" s="10"/>
      <c r="C21" s="10"/>
      <c r="D21" s="10"/>
      <c r="E21" s="10"/>
      <c r="F21" s="10"/>
      <c r="G21" s="11"/>
      <c r="H21" s="70"/>
      <c r="I21" s="70"/>
      <c r="J21" s="71"/>
    </row>
    <row r="22">
      <c r="A22" s="10"/>
      <c r="B22" s="10"/>
      <c r="C22" s="10"/>
      <c r="D22" s="10"/>
      <c r="E22" s="10"/>
      <c r="F22" s="10"/>
      <c r="G22" s="11"/>
      <c r="H22" s="70"/>
      <c r="I22" s="70"/>
      <c r="J22" s="71"/>
    </row>
    <row r="23">
      <c r="A23" s="10"/>
      <c r="B23" s="10"/>
      <c r="C23" s="10"/>
      <c r="D23" s="10"/>
      <c r="E23" s="10"/>
      <c r="F23" s="10"/>
      <c r="G23" s="11"/>
      <c r="H23" s="70"/>
      <c r="I23" s="70"/>
      <c r="J23" s="71"/>
    </row>
    <row r="24">
      <c r="A24" s="10"/>
      <c r="B24" s="10"/>
      <c r="C24" s="10"/>
      <c r="D24" s="10"/>
      <c r="E24" s="10"/>
      <c r="F24" s="10"/>
      <c r="G24" s="11"/>
      <c r="H24" s="70"/>
      <c r="I24" s="70"/>
      <c r="J24" s="71"/>
    </row>
    <row r="25">
      <c r="A25" s="10"/>
      <c r="B25" s="10"/>
      <c r="C25" s="10"/>
      <c r="D25" s="10"/>
      <c r="E25" s="10"/>
      <c r="F25" s="10"/>
      <c r="G25" s="11"/>
      <c r="H25" s="70"/>
      <c r="I25" s="70"/>
      <c r="J25" s="71"/>
    </row>
    <row r="26">
      <c r="A26" s="10"/>
      <c r="B26" s="10"/>
      <c r="C26" s="10"/>
      <c r="D26" s="10"/>
      <c r="E26" s="10"/>
      <c r="F26" s="10"/>
      <c r="G26" s="11"/>
      <c r="H26" s="70"/>
      <c r="I26" s="70"/>
      <c r="J26" s="71"/>
    </row>
    <row r="27">
      <c r="A27" s="10"/>
      <c r="B27" s="10"/>
      <c r="C27" s="10"/>
      <c r="D27" s="10"/>
      <c r="E27" s="10"/>
      <c r="F27" s="10"/>
      <c r="G27" s="11"/>
      <c r="H27" s="70"/>
      <c r="I27" s="70"/>
      <c r="J27" s="71"/>
    </row>
    <row r="28">
      <c r="A28" s="10"/>
      <c r="B28" s="10"/>
      <c r="C28" s="10"/>
      <c r="D28" s="10"/>
      <c r="E28" s="10"/>
      <c r="F28" s="10"/>
      <c r="G28" s="11"/>
      <c r="H28" s="70"/>
      <c r="I28" s="70"/>
      <c r="J28" s="71"/>
    </row>
    <row r="29">
      <c r="A29" s="10"/>
      <c r="B29" s="10"/>
      <c r="C29" s="10"/>
      <c r="D29" s="10"/>
      <c r="E29" s="10"/>
      <c r="F29" s="10"/>
      <c r="G29" s="11"/>
      <c r="H29" s="70"/>
      <c r="I29" s="70"/>
      <c r="J29" s="71"/>
    </row>
    <row r="30">
      <c r="A30" s="10"/>
      <c r="B30" s="10"/>
      <c r="C30" s="10"/>
      <c r="D30" s="10"/>
      <c r="E30" s="10"/>
      <c r="F30" s="10"/>
      <c r="G30" s="11"/>
      <c r="H30" s="70"/>
      <c r="I30" s="70"/>
      <c r="J30" s="71"/>
    </row>
    <row r="31">
      <c r="A31" s="10"/>
      <c r="B31" s="10"/>
      <c r="C31" s="10"/>
      <c r="D31" s="10"/>
      <c r="E31" s="10"/>
      <c r="F31" s="10"/>
      <c r="G31" s="11"/>
      <c r="H31" s="70"/>
      <c r="I31" s="70"/>
      <c r="J31" s="71"/>
    </row>
    <row r="32">
      <c r="A32" s="10"/>
      <c r="B32" s="10"/>
      <c r="C32" s="10"/>
      <c r="D32" s="10"/>
      <c r="E32" s="10"/>
      <c r="F32" s="10"/>
      <c r="G32" s="11"/>
      <c r="H32" s="70"/>
      <c r="I32" s="70"/>
      <c r="J32" s="71"/>
    </row>
    <row r="33">
      <c r="A33" s="10"/>
      <c r="B33" s="10"/>
      <c r="C33" s="10"/>
      <c r="D33" s="10"/>
      <c r="E33" s="10"/>
      <c r="F33" s="10"/>
      <c r="G33" s="11"/>
      <c r="H33" s="70"/>
      <c r="I33" s="70"/>
      <c r="J33" s="71"/>
    </row>
    <row r="34">
      <c r="A34" s="10"/>
      <c r="B34" s="10"/>
      <c r="C34" s="10"/>
      <c r="D34" s="10"/>
      <c r="E34" s="10"/>
      <c r="F34" s="10"/>
      <c r="G34" s="11"/>
      <c r="H34" s="70"/>
      <c r="I34" s="70"/>
      <c r="J34" s="71"/>
    </row>
    <row r="35">
      <c r="A35" s="10"/>
      <c r="B35" s="10"/>
      <c r="C35" s="10"/>
      <c r="D35" s="10"/>
      <c r="E35" s="10"/>
      <c r="F35" s="10"/>
      <c r="G35" s="11"/>
      <c r="H35" s="70"/>
      <c r="I35" s="70"/>
      <c r="J35" s="71"/>
    </row>
    <row r="36">
      <c r="A36" s="10"/>
      <c r="B36" s="10"/>
      <c r="C36" s="10"/>
      <c r="D36" s="10"/>
      <c r="E36" s="10"/>
      <c r="F36" s="10"/>
      <c r="G36" s="11"/>
      <c r="H36" s="70"/>
      <c r="I36" s="70"/>
      <c r="J36" s="71"/>
    </row>
    <row r="37">
      <c r="A37" s="10"/>
      <c r="B37" s="10"/>
      <c r="C37" s="10"/>
      <c r="D37" s="10"/>
      <c r="E37" s="10"/>
      <c r="F37" s="10"/>
      <c r="G37" s="11"/>
      <c r="H37" s="70"/>
      <c r="I37" s="70"/>
      <c r="J37" s="71"/>
    </row>
    <row r="38">
      <c r="A38" s="10"/>
      <c r="B38" s="10"/>
      <c r="C38" s="10"/>
      <c r="D38" s="10"/>
      <c r="E38" s="10"/>
      <c r="F38" s="10"/>
      <c r="G38" s="11"/>
      <c r="H38" s="70"/>
      <c r="I38" s="70"/>
      <c r="J38" s="71"/>
    </row>
    <row r="39">
      <c r="A39" s="10"/>
      <c r="B39" s="10"/>
      <c r="C39" s="10"/>
      <c r="D39" s="10"/>
      <c r="E39" s="10"/>
      <c r="F39" s="10"/>
      <c r="G39" s="11"/>
      <c r="H39" s="70"/>
      <c r="I39" s="70"/>
      <c r="J39" s="71"/>
    </row>
    <row r="40">
      <c r="A40" s="10"/>
      <c r="B40" s="10"/>
      <c r="C40" s="10"/>
      <c r="D40" s="10"/>
      <c r="E40" s="10"/>
      <c r="F40" s="10"/>
      <c r="G40" s="11"/>
      <c r="H40" s="70"/>
      <c r="I40" s="70"/>
    </row>
    <row r="41">
      <c r="A41" s="10"/>
      <c r="B41" s="10"/>
      <c r="C41" s="10"/>
      <c r="D41" s="10"/>
      <c r="E41" s="10"/>
      <c r="F41" s="10"/>
      <c r="G41" s="11"/>
      <c r="H41" s="70"/>
      <c r="I41" s="70"/>
      <c r="J41" s="71"/>
    </row>
    <row r="42">
      <c r="A42" s="10"/>
      <c r="B42" s="10"/>
      <c r="C42" s="10"/>
      <c r="D42" s="10"/>
      <c r="E42" s="10"/>
      <c r="F42" s="10"/>
      <c r="G42" s="11"/>
      <c r="H42" s="70"/>
      <c r="I42" s="70"/>
      <c r="J42" s="71"/>
    </row>
    <row r="43">
      <c r="A43" s="10"/>
      <c r="B43" s="10"/>
      <c r="C43" s="10"/>
      <c r="D43" s="10"/>
      <c r="E43" s="10"/>
      <c r="F43" s="10"/>
      <c r="G43" s="11"/>
      <c r="H43" s="70"/>
      <c r="I43" s="70"/>
      <c r="J43" s="71"/>
    </row>
    <row r="44">
      <c r="A44" s="10"/>
      <c r="B44" s="10"/>
      <c r="C44" s="10"/>
      <c r="D44" s="10"/>
      <c r="E44" s="10"/>
      <c r="F44" s="10"/>
      <c r="G44" s="11"/>
      <c r="H44" s="70"/>
      <c r="I44" s="70"/>
      <c r="J44" s="71"/>
    </row>
    <row r="45">
      <c r="A45" s="10"/>
      <c r="B45" s="10"/>
      <c r="C45" s="10"/>
      <c r="D45" s="10"/>
      <c r="E45" s="10"/>
      <c r="F45" s="10"/>
      <c r="G45" s="11"/>
      <c r="H45" s="70"/>
      <c r="I45" s="70"/>
      <c r="J45" s="71"/>
    </row>
    <row r="46">
      <c r="A46" s="10"/>
      <c r="B46" s="10"/>
      <c r="C46" s="10"/>
      <c r="D46" s="10"/>
      <c r="E46" s="10"/>
      <c r="F46" s="10"/>
      <c r="G46" s="11"/>
      <c r="H46" s="70"/>
      <c r="I46" s="70"/>
      <c r="J46" s="71"/>
    </row>
    <row r="47">
      <c r="A47" s="10"/>
      <c r="B47" s="10"/>
      <c r="C47" s="10"/>
      <c r="D47" s="10"/>
      <c r="E47" s="10"/>
      <c r="F47" s="10"/>
      <c r="G47" s="11"/>
      <c r="H47" s="70"/>
      <c r="I47" s="70"/>
      <c r="J47" s="71"/>
    </row>
    <row r="48">
      <c r="A48" s="10"/>
      <c r="B48" s="10"/>
      <c r="C48" s="10"/>
      <c r="D48" s="10"/>
      <c r="E48" s="10"/>
      <c r="F48" s="10"/>
      <c r="G48" s="11"/>
      <c r="H48" s="70"/>
      <c r="I48" s="70"/>
      <c r="J48" s="71"/>
    </row>
    <row r="49">
      <c r="A49" s="10"/>
      <c r="B49" s="10"/>
      <c r="C49" s="10"/>
      <c r="D49" s="10"/>
      <c r="E49" s="10"/>
      <c r="F49" s="10"/>
      <c r="G49" s="11"/>
      <c r="H49" s="70"/>
      <c r="I49" s="70"/>
      <c r="J49" s="71"/>
    </row>
    <row r="50">
      <c r="A50" s="10"/>
      <c r="B50" s="10"/>
      <c r="C50" s="10"/>
      <c r="D50" s="10"/>
      <c r="E50" s="10"/>
      <c r="F50" s="10"/>
      <c r="G50" s="11"/>
      <c r="H50" s="70"/>
      <c r="I50" s="70"/>
      <c r="J50" s="71"/>
    </row>
    <row r="51">
      <c r="A51" s="10"/>
      <c r="B51" s="10"/>
      <c r="C51" s="10"/>
      <c r="D51" s="10"/>
      <c r="E51" s="10"/>
      <c r="F51" s="10"/>
      <c r="G51" s="11"/>
      <c r="H51" s="70"/>
      <c r="I51" s="70"/>
      <c r="J51" s="71"/>
    </row>
    <row r="52">
      <c r="A52" s="10"/>
      <c r="B52" s="10"/>
      <c r="C52" s="10"/>
      <c r="D52" s="10"/>
      <c r="E52" s="10"/>
      <c r="F52" s="10"/>
      <c r="G52" s="11"/>
      <c r="H52" s="70"/>
      <c r="I52" s="70"/>
      <c r="J52" s="71"/>
    </row>
    <row r="53">
      <c r="A53" s="10"/>
      <c r="B53" s="10"/>
      <c r="C53" s="10"/>
      <c r="D53" s="10"/>
      <c r="E53" s="10"/>
      <c r="F53" s="10"/>
      <c r="G53" s="11"/>
      <c r="H53" s="70"/>
      <c r="I53" s="70"/>
      <c r="J53" s="71"/>
    </row>
    <row r="54">
      <c r="A54" s="10"/>
      <c r="B54" s="10"/>
      <c r="C54" s="10"/>
      <c r="D54" s="10"/>
      <c r="E54" s="10"/>
      <c r="F54" s="10"/>
      <c r="G54" s="11"/>
      <c r="H54" s="70"/>
      <c r="I54" s="70"/>
      <c r="J54" s="71"/>
    </row>
    <row r="55">
      <c r="A55" s="10"/>
      <c r="B55" s="10"/>
      <c r="C55" s="10"/>
      <c r="D55" s="10"/>
      <c r="E55" s="10"/>
      <c r="F55" s="10"/>
      <c r="G55" s="11"/>
      <c r="H55" s="70"/>
      <c r="I55" s="70"/>
      <c r="J55" s="71"/>
    </row>
    <row r="56">
      <c r="A56" s="10"/>
      <c r="B56" s="10"/>
      <c r="C56" s="10"/>
      <c r="D56" s="10"/>
      <c r="E56" s="10"/>
      <c r="F56" s="10"/>
      <c r="G56" s="11"/>
      <c r="H56" s="70"/>
      <c r="I56" s="70"/>
      <c r="J56" s="71"/>
    </row>
    <row r="57">
      <c r="A57" s="10"/>
      <c r="B57" s="10"/>
      <c r="C57" s="10"/>
      <c r="D57" s="10"/>
      <c r="E57" s="10"/>
      <c r="F57" s="10"/>
      <c r="G57" s="11"/>
      <c r="H57" s="70"/>
      <c r="I57" s="70"/>
      <c r="J57" s="71"/>
    </row>
    <row r="58">
      <c r="A58" s="10"/>
      <c r="B58" s="10"/>
      <c r="C58" s="10"/>
      <c r="D58" s="10"/>
      <c r="E58" s="10"/>
      <c r="F58" s="10"/>
      <c r="G58" s="11"/>
      <c r="H58" s="70"/>
      <c r="I58" s="70"/>
      <c r="J58" s="71"/>
    </row>
    <row r="59">
      <c r="A59" s="10"/>
      <c r="B59" s="10"/>
      <c r="C59" s="10"/>
      <c r="D59" s="10"/>
      <c r="E59" s="10"/>
      <c r="F59" s="10"/>
      <c r="G59" s="11"/>
      <c r="H59" s="70"/>
      <c r="I59" s="70"/>
      <c r="J59" s="71"/>
    </row>
    <row r="60">
      <c r="A60" s="10"/>
      <c r="B60" s="10"/>
      <c r="C60" s="10"/>
      <c r="D60" s="10"/>
      <c r="E60" s="10"/>
      <c r="F60" s="10"/>
      <c r="G60" s="11"/>
      <c r="H60" s="70"/>
      <c r="I60" s="70"/>
      <c r="J60" s="71"/>
    </row>
    <row r="61">
      <c r="A61" s="10"/>
      <c r="B61" s="10"/>
      <c r="C61" s="10"/>
      <c r="D61" s="10"/>
      <c r="E61" s="10"/>
      <c r="F61" s="10"/>
      <c r="G61" s="11"/>
      <c r="H61" s="70"/>
      <c r="I61" s="70"/>
      <c r="J61" s="71"/>
    </row>
    <row r="62">
      <c r="A62" s="10"/>
      <c r="B62" s="10"/>
      <c r="C62" s="10"/>
      <c r="D62" s="10"/>
      <c r="E62" s="10"/>
      <c r="F62" s="10"/>
      <c r="G62" s="11"/>
      <c r="H62" s="70"/>
      <c r="I62" s="70"/>
      <c r="J62" s="71"/>
    </row>
    <row r="63">
      <c r="A63" s="10"/>
      <c r="B63" s="10"/>
      <c r="C63" s="10"/>
      <c r="D63" s="10"/>
      <c r="E63" s="10"/>
      <c r="F63" s="10"/>
      <c r="G63" s="11"/>
      <c r="H63" s="70"/>
      <c r="I63" s="70"/>
      <c r="J63" s="71"/>
    </row>
    <row r="64">
      <c r="A64" s="10"/>
      <c r="B64" s="10"/>
      <c r="C64" s="10"/>
      <c r="D64" s="10"/>
      <c r="E64" s="10"/>
      <c r="F64" s="10"/>
      <c r="G64" s="11"/>
      <c r="H64" s="70"/>
      <c r="I64" s="70"/>
      <c r="J64" s="71"/>
    </row>
    <row r="65">
      <c r="A65" s="10"/>
      <c r="B65" s="10"/>
      <c r="C65" s="10"/>
      <c r="D65" s="10"/>
      <c r="E65" s="10"/>
      <c r="F65" s="10"/>
      <c r="G65" s="11"/>
      <c r="H65" s="70"/>
      <c r="I65" s="70"/>
      <c r="J65" s="71"/>
    </row>
    <row r="66">
      <c r="A66" s="10"/>
      <c r="B66" s="10"/>
      <c r="C66" s="10"/>
      <c r="D66" s="10"/>
      <c r="E66" s="10"/>
      <c r="F66" s="10"/>
      <c r="G66" s="11"/>
      <c r="H66" s="70"/>
      <c r="I66" s="70"/>
      <c r="J66" s="71"/>
    </row>
    <row r="67">
      <c r="A67" s="10"/>
      <c r="B67" s="10"/>
      <c r="C67" s="10"/>
      <c r="D67" s="10"/>
      <c r="E67" s="10"/>
      <c r="F67" s="10"/>
      <c r="G67" s="11"/>
      <c r="H67" s="70"/>
      <c r="I67" s="70"/>
      <c r="J67" s="71"/>
    </row>
    <row r="68">
      <c r="A68" s="10"/>
      <c r="B68" s="10"/>
      <c r="C68" s="10"/>
      <c r="D68" s="10"/>
      <c r="E68" s="10"/>
      <c r="F68" s="10"/>
      <c r="G68" s="11"/>
      <c r="H68" s="70"/>
      <c r="I68" s="70"/>
      <c r="J68" s="71"/>
    </row>
  </sheetData>
  <autoFilter ref="$A$1:$J$68"/>
  <customSheetViews>
    <customSheetView guid="{131ED934-56A5-4A4B-9246-8993FA1F050E}" filter="1" showAutoFilter="1">
      <autoFilter ref="$A$1:$J$68">
        <filterColumn colId="4">
          <filters blank="1">
            <filter val="Tron"/>
            <filter val="Specialized Venge S-Works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5">
          <filters blank="1">
            <filter val="Zipp 858/Super9"/>
            <filter val="DT Swiss ARC 62"/>
          </filters>
        </filterColumn>
      </autoFilter>
    </customSheetView>
  </customSheetViews>
  <hyperlinks>
    <hyperlink r:id="rId1" ref="J2"/>
    <hyperlink r:id="rId2" ref="J3"/>
    <hyperlink r:id="rId3" ref="J4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2.75"/>
    <col customWidth="1" min="5" max="5" width="20.13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539</v>
      </c>
      <c r="G1" s="1" t="s">
        <v>583</v>
      </c>
      <c r="H1" s="1" t="s">
        <v>584</v>
      </c>
      <c r="I1" s="30"/>
    </row>
    <row r="2">
      <c r="A2" s="10">
        <v>100.0</v>
      </c>
      <c r="B2" s="10">
        <v>500.0</v>
      </c>
      <c r="C2" s="10">
        <v>5.0</v>
      </c>
      <c r="D2" s="10" t="s">
        <v>16</v>
      </c>
      <c r="E2" s="10" t="s">
        <v>585</v>
      </c>
      <c r="F2" s="11">
        <v>0.8715277777777778</v>
      </c>
      <c r="G2" s="70">
        <v>0.052083333333333336</v>
      </c>
      <c r="H2" s="10" t="s">
        <v>586</v>
      </c>
      <c r="I2" s="69" t="s">
        <v>353</v>
      </c>
    </row>
    <row r="3">
      <c r="A3" s="10">
        <v>75.0</v>
      </c>
      <c r="B3" s="10">
        <v>500.0</v>
      </c>
      <c r="C3" s="10">
        <v>6.67</v>
      </c>
      <c r="D3" s="10" t="s">
        <v>16</v>
      </c>
      <c r="E3" s="10" t="s">
        <v>585</v>
      </c>
      <c r="F3" s="11">
        <v>0.8722222222222222</v>
      </c>
      <c r="G3" s="70">
        <v>0.052083333333333336</v>
      </c>
      <c r="H3" s="10" t="s">
        <v>586</v>
      </c>
      <c r="I3" s="69" t="s">
        <v>353</v>
      </c>
    </row>
    <row r="4">
      <c r="A4" s="10">
        <v>50.0</v>
      </c>
      <c r="B4" s="10">
        <v>500.0</v>
      </c>
      <c r="C4" s="10">
        <v>10.0</v>
      </c>
      <c r="D4" s="10" t="s">
        <v>16</v>
      </c>
      <c r="E4" s="10" t="s">
        <v>585</v>
      </c>
      <c r="F4" s="11">
        <v>0.8722222222222222</v>
      </c>
      <c r="G4" s="70">
        <v>0.052083333333333336</v>
      </c>
      <c r="H4" s="10" t="s">
        <v>587</v>
      </c>
      <c r="I4" s="69" t="s">
        <v>353</v>
      </c>
    </row>
    <row r="5">
      <c r="A5" s="10">
        <v>75.0</v>
      </c>
      <c r="B5" s="10">
        <v>400.0</v>
      </c>
      <c r="C5" s="10">
        <v>5.33</v>
      </c>
      <c r="D5" s="10" t="s">
        <v>16</v>
      </c>
      <c r="E5" s="10" t="s">
        <v>585</v>
      </c>
      <c r="F5" s="11">
        <v>0.9555555555555556</v>
      </c>
      <c r="G5" s="70">
        <v>0.06180555555555556</v>
      </c>
      <c r="H5" s="10" t="s">
        <v>588</v>
      </c>
      <c r="I5" s="69" t="s">
        <v>353</v>
      </c>
    </row>
    <row r="6">
      <c r="A6" s="10">
        <v>100.0</v>
      </c>
      <c r="B6" s="10">
        <v>400.0</v>
      </c>
      <c r="C6" s="10">
        <v>4.0</v>
      </c>
      <c r="D6" s="10" t="s">
        <v>16</v>
      </c>
      <c r="E6" s="10" t="s">
        <v>585</v>
      </c>
      <c r="F6" s="11">
        <v>0.9555555555555556</v>
      </c>
      <c r="G6" s="70">
        <v>0.06180555555555556</v>
      </c>
      <c r="H6" s="10" t="s">
        <v>589</v>
      </c>
      <c r="I6" s="69" t="s">
        <v>353</v>
      </c>
    </row>
    <row r="7">
      <c r="A7" s="10">
        <v>50.0</v>
      </c>
      <c r="B7" s="10">
        <v>400.0</v>
      </c>
      <c r="C7" s="10">
        <v>8.0</v>
      </c>
      <c r="D7" s="10" t="s">
        <v>16</v>
      </c>
      <c r="E7" s="10" t="s">
        <v>585</v>
      </c>
      <c r="F7" s="11">
        <v>0.9555555555555556</v>
      </c>
      <c r="G7" s="70">
        <v>0.06180555555555556</v>
      </c>
      <c r="H7" s="10" t="s">
        <v>588</v>
      </c>
      <c r="I7" s="69" t="s">
        <v>353</v>
      </c>
    </row>
    <row r="8">
      <c r="A8" s="10">
        <v>75.0</v>
      </c>
      <c r="B8" s="10">
        <v>375.0</v>
      </c>
      <c r="C8" s="10">
        <v>5.0</v>
      </c>
      <c r="D8" s="10" t="s">
        <v>16</v>
      </c>
      <c r="E8" s="10" t="s">
        <v>585</v>
      </c>
      <c r="F8" s="11">
        <v>0.9826388888888888</v>
      </c>
      <c r="G8" s="70">
        <v>0.06527777777777778</v>
      </c>
      <c r="H8" s="10" t="s">
        <v>590</v>
      </c>
      <c r="I8" s="69" t="s">
        <v>353</v>
      </c>
    </row>
    <row r="9">
      <c r="A9" s="10">
        <v>100.0</v>
      </c>
      <c r="B9" s="10">
        <v>400.0</v>
      </c>
      <c r="C9" s="10">
        <v>4.0</v>
      </c>
      <c r="D9" s="10" t="s">
        <v>19</v>
      </c>
      <c r="E9" s="10" t="s">
        <v>91</v>
      </c>
      <c r="F9" s="11">
        <v>1.0131944444444445</v>
      </c>
      <c r="G9" s="70">
        <v>0.07569444444444444</v>
      </c>
      <c r="H9" s="10" t="s">
        <v>591</v>
      </c>
      <c r="I9" s="69" t="s">
        <v>353</v>
      </c>
    </row>
    <row r="10">
      <c r="A10" s="10">
        <v>50.0</v>
      </c>
      <c r="B10" s="10">
        <v>250.0</v>
      </c>
      <c r="C10" s="10">
        <v>5.0</v>
      </c>
      <c r="D10" s="10" t="s">
        <v>16</v>
      </c>
      <c r="E10" s="10" t="s">
        <v>585</v>
      </c>
      <c r="F10" s="11">
        <v>1.0583333333333333</v>
      </c>
      <c r="G10" s="70">
        <v>0.07013888888888889</v>
      </c>
      <c r="H10" s="10" t="s">
        <v>592</v>
      </c>
      <c r="I10" s="69" t="s">
        <v>353</v>
      </c>
    </row>
    <row r="11">
      <c r="A11" s="10">
        <v>75.0</v>
      </c>
      <c r="B11" s="10">
        <v>300.0</v>
      </c>
      <c r="C11" s="10">
        <v>4.0</v>
      </c>
      <c r="D11" s="10" t="s">
        <v>19</v>
      </c>
      <c r="E11" s="10" t="s">
        <v>91</v>
      </c>
      <c r="F11" s="11">
        <v>1.0645833333333334</v>
      </c>
      <c r="G11" s="70">
        <v>0.07916666666666666</v>
      </c>
      <c r="H11" s="10" t="s">
        <v>593</v>
      </c>
      <c r="I11" s="69" t="s">
        <v>353</v>
      </c>
    </row>
    <row r="12">
      <c r="A12" s="10">
        <v>75.0</v>
      </c>
      <c r="B12" s="10">
        <v>310.0</v>
      </c>
      <c r="C12" s="10">
        <v>4.13</v>
      </c>
      <c r="D12" s="10" t="s">
        <v>16</v>
      </c>
      <c r="E12" s="10" t="s">
        <v>585</v>
      </c>
      <c r="F12" s="11">
        <v>1.0666666666666667</v>
      </c>
      <c r="G12" s="70">
        <v>0.07708333333333334</v>
      </c>
      <c r="H12" s="10" t="s">
        <v>594</v>
      </c>
      <c r="I12" s="69" t="s">
        <v>353</v>
      </c>
    </row>
    <row r="13">
      <c r="A13" s="10">
        <v>75.0</v>
      </c>
      <c r="B13" s="10">
        <v>300.0</v>
      </c>
      <c r="C13" s="10">
        <v>4.0</v>
      </c>
      <c r="D13" s="10" t="s">
        <v>16</v>
      </c>
      <c r="E13" s="10" t="s">
        <v>585</v>
      </c>
      <c r="F13" s="11">
        <v>1.082638888888889</v>
      </c>
      <c r="G13" s="70">
        <v>0.07916666666666666</v>
      </c>
      <c r="H13" s="10" t="s">
        <v>595</v>
      </c>
      <c r="I13" s="69" t="s">
        <v>353</v>
      </c>
    </row>
    <row r="14">
      <c r="A14" s="10">
        <v>62.5</v>
      </c>
      <c r="B14" s="10">
        <v>250.0</v>
      </c>
      <c r="C14" s="10">
        <v>4.0</v>
      </c>
      <c r="D14" s="10" t="s">
        <v>16</v>
      </c>
      <c r="E14" s="10" t="s">
        <v>585</v>
      </c>
      <c r="F14" s="11">
        <v>1.1194444444444445</v>
      </c>
      <c r="G14" s="70">
        <v>0.08125</v>
      </c>
      <c r="H14" s="10" t="s">
        <v>596</v>
      </c>
      <c r="I14" s="69" t="s">
        <v>353</v>
      </c>
    </row>
    <row r="15">
      <c r="A15" s="10">
        <v>100.0</v>
      </c>
      <c r="B15" s="10">
        <v>300.0</v>
      </c>
      <c r="C15" s="10">
        <v>3.0</v>
      </c>
      <c r="D15" s="10" t="s">
        <v>16</v>
      </c>
      <c r="E15" s="10" t="s">
        <v>585</v>
      </c>
      <c r="F15" s="11">
        <v>1.1354166666666667</v>
      </c>
      <c r="G15" s="70">
        <v>0.09791666666666667</v>
      </c>
      <c r="H15" s="70">
        <v>0.04375</v>
      </c>
      <c r="I15" s="69" t="s">
        <v>353</v>
      </c>
    </row>
    <row r="16">
      <c r="A16" s="10">
        <v>100.0</v>
      </c>
      <c r="B16" s="10">
        <v>300.0</v>
      </c>
      <c r="C16" s="10">
        <v>3.0</v>
      </c>
      <c r="D16" s="10" t="s">
        <v>16</v>
      </c>
      <c r="E16" s="10" t="s">
        <v>585</v>
      </c>
      <c r="F16" s="11">
        <v>1.15625</v>
      </c>
      <c r="G16" s="70">
        <v>0.09861111111111111</v>
      </c>
      <c r="H16" s="70">
        <v>0.04513888888888889</v>
      </c>
      <c r="I16" s="69" t="s">
        <v>353</v>
      </c>
    </row>
    <row r="17">
      <c r="A17" s="10">
        <v>100.0</v>
      </c>
      <c r="B17" s="10">
        <v>300.0</v>
      </c>
      <c r="C17" s="10">
        <v>3.0</v>
      </c>
      <c r="D17" s="10" t="s">
        <v>19</v>
      </c>
      <c r="E17" s="10" t="s">
        <v>91</v>
      </c>
      <c r="F17" s="11">
        <v>1.1583333333333334</v>
      </c>
      <c r="G17" s="70">
        <v>0.09861111111111111</v>
      </c>
      <c r="H17" s="70">
        <v>0.04583333333333333</v>
      </c>
      <c r="I17" s="69" t="s">
        <v>353</v>
      </c>
    </row>
    <row r="18">
      <c r="A18" s="10">
        <v>50.0</v>
      </c>
      <c r="B18" s="10">
        <v>200.0</v>
      </c>
      <c r="C18" s="10">
        <v>4.0</v>
      </c>
      <c r="D18" s="10" t="s">
        <v>16</v>
      </c>
      <c r="E18" s="10" t="s">
        <v>585</v>
      </c>
      <c r="F18" s="11">
        <v>1.1666666666666667</v>
      </c>
      <c r="G18" s="70">
        <v>0.08472222222222223</v>
      </c>
      <c r="H18" s="70">
        <v>0.04375</v>
      </c>
      <c r="I18" s="69" t="s">
        <v>353</v>
      </c>
    </row>
    <row r="19">
      <c r="A19" s="10">
        <v>100.0</v>
      </c>
      <c r="B19" s="10">
        <v>300.0</v>
      </c>
      <c r="C19" s="10">
        <v>3.0</v>
      </c>
      <c r="D19" s="10" t="s">
        <v>16</v>
      </c>
      <c r="E19" s="10" t="s">
        <v>585</v>
      </c>
      <c r="F19" s="11">
        <v>1.175</v>
      </c>
      <c r="G19" s="70">
        <v>0.09930555555555555</v>
      </c>
      <c r="H19" s="70">
        <v>0.04722222222222222</v>
      </c>
      <c r="I19" s="69" t="s">
        <v>353</v>
      </c>
    </row>
    <row r="20">
      <c r="A20" s="10">
        <v>75.0</v>
      </c>
      <c r="B20" s="10">
        <v>250.0</v>
      </c>
      <c r="C20" s="10">
        <v>3.33</v>
      </c>
      <c r="D20" s="10" t="s">
        <v>16</v>
      </c>
      <c r="E20" s="10" t="s">
        <v>585</v>
      </c>
      <c r="F20" s="11">
        <v>1.176388888888889</v>
      </c>
      <c r="G20" s="70">
        <v>0.09305555555555556</v>
      </c>
      <c r="H20" s="70">
        <v>0.04652777777777778</v>
      </c>
      <c r="I20" s="69" t="s">
        <v>353</v>
      </c>
    </row>
    <row r="21">
      <c r="A21" s="10">
        <v>75.0</v>
      </c>
      <c r="B21" s="10">
        <v>300.0</v>
      </c>
      <c r="C21" s="10">
        <f>B21/A21</f>
        <v>4</v>
      </c>
      <c r="D21" s="10" t="s">
        <v>19</v>
      </c>
      <c r="E21" s="10" t="s">
        <v>91</v>
      </c>
      <c r="F21" s="11">
        <v>1.0694444444444444</v>
      </c>
      <c r="G21" s="11">
        <v>0.0013657407407407407</v>
      </c>
      <c r="H21" s="11">
        <v>6.481481481481481E-4</v>
      </c>
      <c r="I21" s="69" t="s">
        <v>597</v>
      </c>
    </row>
    <row r="22">
      <c r="A22" s="10">
        <v>75.0</v>
      </c>
      <c r="B22" s="10">
        <v>300.0</v>
      </c>
      <c r="C22" s="10">
        <v>4.0</v>
      </c>
      <c r="D22" s="10" t="s">
        <v>9</v>
      </c>
      <c r="E22" s="10" t="s">
        <v>11</v>
      </c>
      <c r="F22" s="11">
        <v>1.0625</v>
      </c>
      <c r="G22" s="11">
        <v>0.0013657407407407407</v>
      </c>
      <c r="H22" s="11">
        <v>6.365740740740741E-4</v>
      </c>
      <c r="I22" s="69" t="s">
        <v>598</v>
      </c>
    </row>
    <row r="23">
      <c r="A23" s="10">
        <v>75.0</v>
      </c>
      <c r="B23" s="10">
        <v>300.0</v>
      </c>
      <c r="C23" s="10">
        <v>4.0</v>
      </c>
      <c r="D23" s="10" t="s">
        <v>9</v>
      </c>
      <c r="E23" s="10" t="s">
        <v>88</v>
      </c>
      <c r="F23" s="11">
        <v>1.0645833333333334</v>
      </c>
      <c r="G23" s="11">
        <v>0.0013657407407407407</v>
      </c>
      <c r="H23" s="11">
        <v>6.365740740740741E-4</v>
      </c>
      <c r="I23" s="69" t="s">
        <v>598</v>
      </c>
    </row>
    <row r="24">
      <c r="A24" s="10">
        <v>75.0</v>
      </c>
      <c r="B24" s="10">
        <v>300.0</v>
      </c>
      <c r="C24" s="10">
        <v>4.0</v>
      </c>
      <c r="D24" s="10" t="s">
        <v>13</v>
      </c>
      <c r="E24" s="10" t="s">
        <v>14</v>
      </c>
      <c r="F24" s="11">
        <v>1.0680555555555555</v>
      </c>
      <c r="G24" s="11">
        <v>0.0013541666666666667</v>
      </c>
      <c r="H24" s="11">
        <v>6.365740740740741E-4</v>
      </c>
      <c r="I24" s="69" t="s">
        <v>599</v>
      </c>
    </row>
    <row r="25">
      <c r="A25" s="10">
        <v>75.0</v>
      </c>
      <c r="B25" s="10">
        <v>300.0</v>
      </c>
      <c r="C25" s="10">
        <v>4.0</v>
      </c>
      <c r="D25" s="10" t="s">
        <v>600</v>
      </c>
      <c r="E25" s="10" t="s">
        <v>600</v>
      </c>
      <c r="F25" s="11">
        <v>1.0625</v>
      </c>
      <c r="G25" s="11">
        <v>0.0013541666666666667</v>
      </c>
      <c r="H25" s="11">
        <v>6.25E-4</v>
      </c>
      <c r="I25" s="69" t="s">
        <v>599</v>
      </c>
    </row>
    <row r="26">
      <c r="A26" s="10">
        <v>83.3</v>
      </c>
      <c r="B26" s="10">
        <v>250.0</v>
      </c>
      <c r="C26" s="10">
        <v>3.0</v>
      </c>
      <c r="D26" s="10" t="s">
        <v>16</v>
      </c>
      <c r="E26" s="10" t="s">
        <v>585</v>
      </c>
      <c r="F26" s="11">
        <v>1.2138888888888888</v>
      </c>
      <c r="G26" s="70">
        <v>0.10208333333333333</v>
      </c>
      <c r="H26" s="70">
        <v>0.05</v>
      </c>
      <c r="I26" s="69" t="s">
        <v>353</v>
      </c>
    </row>
    <row r="27">
      <c r="A27" s="10">
        <v>75.0</v>
      </c>
      <c r="B27" s="10">
        <v>300.0</v>
      </c>
      <c r="C27" s="10">
        <v>4.0</v>
      </c>
      <c r="D27" s="10" t="s">
        <v>13</v>
      </c>
      <c r="E27" s="10" t="s">
        <v>88</v>
      </c>
      <c r="F27" s="11">
        <v>1.0652777777777778</v>
      </c>
      <c r="G27" s="11">
        <v>0.0013541666666666667</v>
      </c>
      <c r="H27" s="11">
        <v>6.365740740740741E-4</v>
      </c>
      <c r="I27" s="69" t="s">
        <v>601</v>
      </c>
    </row>
    <row r="28">
      <c r="A28" s="10">
        <v>75.0</v>
      </c>
      <c r="B28" s="10">
        <v>300.0</v>
      </c>
      <c r="C28" s="10">
        <v>4.0</v>
      </c>
      <c r="D28" s="10" t="s">
        <v>90</v>
      </c>
      <c r="E28" s="10" t="s">
        <v>88</v>
      </c>
      <c r="F28" s="11">
        <v>1.06875</v>
      </c>
      <c r="G28" s="11">
        <v>0.0013541666666666667</v>
      </c>
      <c r="H28" s="11">
        <v>6.365740740740741E-4</v>
      </c>
      <c r="I28" s="69" t="s">
        <v>602</v>
      </c>
    </row>
    <row r="29">
      <c r="A29" s="10"/>
      <c r="B29" s="10"/>
      <c r="C29" s="10"/>
      <c r="D29" s="10"/>
      <c r="E29" s="10"/>
      <c r="F29" s="11"/>
      <c r="G29" s="70"/>
      <c r="H29" s="70"/>
      <c r="I29" s="71"/>
    </row>
    <row r="30">
      <c r="A30" s="10"/>
      <c r="B30" s="10"/>
      <c r="C30" s="10"/>
      <c r="D30" s="10"/>
      <c r="E30" s="10"/>
      <c r="F30" s="11"/>
      <c r="G30" s="70"/>
      <c r="H30" s="70"/>
      <c r="I30" s="71"/>
    </row>
    <row r="31">
      <c r="A31" s="10"/>
      <c r="B31" s="10"/>
      <c r="C31" s="10"/>
      <c r="D31" s="10"/>
      <c r="E31" s="10"/>
      <c r="F31" s="11"/>
      <c r="G31" s="70"/>
      <c r="H31" s="70"/>
      <c r="I31" s="71"/>
    </row>
    <row r="32">
      <c r="A32" s="10"/>
      <c r="B32" s="10"/>
      <c r="C32" s="10"/>
      <c r="D32" s="10"/>
      <c r="E32" s="10"/>
      <c r="F32" s="11"/>
      <c r="G32" s="70"/>
      <c r="H32" s="70"/>
      <c r="I32" s="71"/>
    </row>
    <row r="33">
      <c r="A33" s="10"/>
      <c r="B33" s="10"/>
      <c r="C33" s="10"/>
      <c r="D33" s="10"/>
      <c r="E33" s="10"/>
      <c r="F33" s="11"/>
      <c r="G33" s="70"/>
      <c r="H33" s="70"/>
      <c r="I33" s="71"/>
    </row>
    <row r="34">
      <c r="A34" s="10"/>
      <c r="B34" s="10"/>
      <c r="C34" s="10"/>
      <c r="D34" s="10"/>
      <c r="E34" s="10"/>
      <c r="F34" s="11"/>
      <c r="G34" s="70"/>
      <c r="H34" s="70"/>
      <c r="I34" s="71"/>
    </row>
    <row r="35">
      <c r="A35" s="10"/>
      <c r="B35" s="10"/>
      <c r="C35" s="10"/>
      <c r="D35" s="10"/>
      <c r="E35" s="10"/>
      <c r="F35" s="11"/>
      <c r="G35" s="70"/>
      <c r="H35" s="70"/>
      <c r="I35" s="71"/>
    </row>
    <row r="36">
      <c r="A36" s="10"/>
      <c r="B36" s="10"/>
      <c r="C36" s="10"/>
      <c r="D36" s="10"/>
      <c r="E36" s="10"/>
      <c r="F36" s="11"/>
      <c r="G36" s="70"/>
      <c r="H36" s="70"/>
      <c r="I36" s="71"/>
    </row>
    <row r="37">
      <c r="A37" s="10"/>
      <c r="B37" s="10"/>
      <c r="C37" s="10"/>
      <c r="D37" s="10"/>
      <c r="E37" s="10"/>
      <c r="F37" s="11"/>
      <c r="G37" s="70"/>
      <c r="H37" s="70"/>
      <c r="I37" s="71"/>
    </row>
    <row r="38">
      <c r="A38" s="10"/>
      <c r="B38" s="10"/>
      <c r="C38" s="10"/>
      <c r="D38" s="10"/>
      <c r="E38" s="10"/>
      <c r="F38" s="11"/>
      <c r="G38" s="70"/>
      <c r="H38" s="70"/>
      <c r="I38" s="71"/>
    </row>
    <row r="39">
      <c r="A39" s="10"/>
      <c r="B39" s="10"/>
      <c r="C39" s="10"/>
      <c r="D39" s="10"/>
      <c r="E39" s="10"/>
      <c r="F39" s="11"/>
      <c r="G39" s="70"/>
      <c r="H39" s="70"/>
      <c r="I39" s="71"/>
    </row>
    <row r="40">
      <c r="A40" s="10"/>
      <c r="B40" s="10"/>
      <c r="C40" s="10"/>
      <c r="D40" s="10"/>
      <c r="E40" s="10"/>
      <c r="F40" s="11"/>
      <c r="G40" s="70"/>
      <c r="H40" s="70"/>
      <c r="I40" s="71"/>
    </row>
    <row r="41">
      <c r="A41" s="10"/>
      <c r="B41" s="10"/>
      <c r="C41" s="10"/>
      <c r="D41" s="10"/>
      <c r="E41" s="10"/>
      <c r="F41" s="11"/>
      <c r="G41" s="70"/>
      <c r="H41" s="70"/>
      <c r="I41" s="71"/>
    </row>
    <row r="42">
      <c r="A42" s="10"/>
      <c r="B42" s="10"/>
      <c r="C42" s="10"/>
      <c r="D42" s="10"/>
      <c r="E42" s="10"/>
      <c r="F42" s="11"/>
      <c r="G42" s="70"/>
      <c r="H42" s="70"/>
      <c r="I42" s="71"/>
    </row>
    <row r="43">
      <c r="A43" s="10"/>
      <c r="B43" s="10"/>
      <c r="C43" s="10"/>
      <c r="D43" s="10"/>
      <c r="E43" s="10"/>
      <c r="F43" s="11"/>
      <c r="G43" s="70"/>
      <c r="H43" s="70"/>
      <c r="I43" s="71"/>
    </row>
    <row r="44">
      <c r="A44" s="10"/>
      <c r="B44" s="10"/>
      <c r="C44" s="10"/>
      <c r="D44" s="10"/>
      <c r="E44" s="10"/>
      <c r="F44" s="11"/>
      <c r="G44" s="70"/>
      <c r="H44" s="70"/>
      <c r="I44" s="71"/>
    </row>
    <row r="45">
      <c r="A45" s="10"/>
      <c r="B45" s="10"/>
      <c r="C45" s="10"/>
      <c r="D45" s="10"/>
      <c r="E45" s="10"/>
      <c r="F45" s="11"/>
      <c r="G45" s="70"/>
      <c r="H45" s="70"/>
      <c r="I45" s="71"/>
    </row>
    <row r="46">
      <c r="A46" s="10"/>
      <c r="B46" s="10"/>
      <c r="C46" s="10"/>
      <c r="D46" s="10"/>
      <c r="E46" s="10"/>
      <c r="F46" s="11"/>
      <c r="G46" s="70"/>
      <c r="H46" s="70"/>
      <c r="I46" s="71"/>
    </row>
    <row r="47">
      <c r="A47" s="10"/>
      <c r="B47" s="10"/>
      <c r="C47" s="10"/>
      <c r="D47" s="10"/>
      <c r="E47" s="10"/>
      <c r="F47" s="11"/>
      <c r="G47" s="70"/>
      <c r="H47" s="70"/>
      <c r="I47" s="71"/>
    </row>
    <row r="48">
      <c r="A48" s="10"/>
      <c r="B48" s="10"/>
      <c r="C48" s="10"/>
      <c r="D48" s="10"/>
      <c r="E48" s="10"/>
      <c r="F48" s="11"/>
      <c r="G48" s="70"/>
      <c r="H48" s="70"/>
      <c r="I48" s="71"/>
    </row>
    <row r="49">
      <c r="A49" s="10"/>
      <c r="B49" s="10"/>
      <c r="C49" s="10"/>
      <c r="D49" s="10"/>
      <c r="E49" s="10"/>
      <c r="F49" s="11"/>
      <c r="G49" s="70"/>
      <c r="H49" s="70"/>
      <c r="I49" s="71"/>
    </row>
    <row r="50">
      <c r="A50" s="10"/>
      <c r="B50" s="10"/>
      <c r="C50" s="10"/>
      <c r="D50" s="10"/>
      <c r="E50" s="10"/>
      <c r="F50" s="11"/>
      <c r="G50" s="70"/>
      <c r="H50" s="70"/>
      <c r="I50" s="71"/>
    </row>
    <row r="51">
      <c r="A51" s="10"/>
      <c r="B51" s="10"/>
      <c r="C51" s="10"/>
      <c r="D51" s="10"/>
      <c r="E51" s="10"/>
      <c r="F51" s="11"/>
      <c r="G51" s="70"/>
      <c r="H51" s="70"/>
      <c r="I51" s="71"/>
    </row>
    <row r="52">
      <c r="A52" s="10"/>
      <c r="B52" s="10"/>
      <c r="C52" s="10"/>
      <c r="D52" s="10"/>
      <c r="E52" s="10"/>
      <c r="F52" s="11"/>
      <c r="G52" s="70"/>
      <c r="H52" s="70"/>
      <c r="I52" s="71"/>
    </row>
    <row r="53">
      <c r="A53" s="10"/>
      <c r="B53" s="10"/>
      <c r="C53" s="10"/>
      <c r="D53" s="10"/>
      <c r="E53" s="10"/>
      <c r="F53" s="11"/>
      <c r="G53" s="70"/>
      <c r="H53" s="70"/>
      <c r="I53" s="71"/>
    </row>
    <row r="54">
      <c r="A54" s="10"/>
      <c r="B54" s="10"/>
      <c r="C54" s="10"/>
      <c r="D54" s="10"/>
      <c r="E54" s="10"/>
      <c r="F54" s="11"/>
      <c r="G54" s="70"/>
      <c r="H54" s="70"/>
      <c r="I54" s="71"/>
    </row>
    <row r="55">
      <c r="A55" s="10"/>
      <c r="B55" s="10"/>
      <c r="C55" s="10"/>
      <c r="D55" s="10"/>
      <c r="E55" s="10"/>
      <c r="F55" s="11"/>
      <c r="G55" s="70"/>
      <c r="H55" s="70"/>
      <c r="I55" s="71"/>
    </row>
    <row r="56">
      <c r="A56" s="10"/>
      <c r="B56" s="10"/>
      <c r="C56" s="10"/>
      <c r="D56" s="10"/>
      <c r="E56" s="10"/>
      <c r="F56" s="11"/>
      <c r="G56" s="70"/>
      <c r="H56" s="70"/>
      <c r="I56" s="71"/>
    </row>
    <row r="57">
      <c r="A57" s="10"/>
      <c r="B57" s="10"/>
      <c r="C57" s="10"/>
      <c r="D57" s="10"/>
      <c r="E57" s="10"/>
      <c r="F57" s="11"/>
      <c r="G57" s="70"/>
      <c r="H57" s="70"/>
      <c r="I57" s="71"/>
    </row>
    <row r="58">
      <c r="A58" s="10"/>
      <c r="B58" s="10"/>
      <c r="C58" s="10"/>
      <c r="D58" s="10"/>
      <c r="E58" s="10"/>
      <c r="F58" s="11"/>
      <c r="G58" s="70"/>
      <c r="H58" s="70"/>
      <c r="I58" s="71"/>
    </row>
    <row r="59">
      <c r="A59" s="10"/>
      <c r="B59" s="10"/>
      <c r="C59" s="10"/>
      <c r="D59" s="10"/>
      <c r="E59" s="10"/>
      <c r="F59" s="11"/>
      <c r="G59" s="70"/>
      <c r="H59" s="70"/>
      <c r="I59" s="71"/>
    </row>
    <row r="60">
      <c r="A60" s="10"/>
      <c r="B60" s="10"/>
      <c r="C60" s="10"/>
      <c r="D60" s="10"/>
      <c r="E60" s="10"/>
      <c r="F60" s="11"/>
      <c r="G60" s="70"/>
      <c r="H60" s="70"/>
      <c r="I60" s="71"/>
    </row>
    <row r="61">
      <c r="A61" s="10">
        <v>100.0</v>
      </c>
      <c r="B61" s="10">
        <v>250.0</v>
      </c>
      <c r="C61" s="10">
        <v>2.5</v>
      </c>
      <c r="D61" s="10" t="s">
        <v>16</v>
      </c>
      <c r="E61" s="10" t="s">
        <v>585</v>
      </c>
      <c r="F61" s="11">
        <v>1.28125</v>
      </c>
      <c r="G61" s="70">
        <v>0.11805555555555555</v>
      </c>
      <c r="H61" s="70">
        <v>0.05625</v>
      </c>
      <c r="I61" s="69" t="s">
        <v>353</v>
      </c>
    </row>
    <row r="62">
      <c r="A62" s="10">
        <v>50.0</v>
      </c>
      <c r="B62" s="10">
        <v>150.0</v>
      </c>
      <c r="C62" s="10">
        <v>3.0</v>
      </c>
      <c r="D62" s="10" t="s">
        <v>16</v>
      </c>
      <c r="E62" s="10" t="s">
        <v>585</v>
      </c>
      <c r="F62" s="11">
        <v>1.2875</v>
      </c>
      <c r="G62" s="70">
        <v>0.10902777777777778</v>
      </c>
      <c r="H62" s="70">
        <v>0.05555555555555555</v>
      </c>
      <c r="I62" s="69" t="s">
        <v>353</v>
      </c>
    </row>
    <row r="63">
      <c r="A63" s="10">
        <v>37.5</v>
      </c>
      <c r="B63" s="10">
        <v>150.0</v>
      </c>
      <c r="C63" s="10">
        <v>4.0</v>
      </c>
      <c r="D63" s="10" t="s">
        <v>16</v>
      </c>
      <c r="E63" s="10" t="s">
        <v>585</v>
      </c>
      <c r="F63" s="11">
        <v>1.2930555555555556</v>
      </c>
      <c r="G63" s="70">
        <v>0.10138888888888889</v>
      </c>
      <c r="H63" s="70">
        <v>0.05416666666666667</v>
      </c>
      <c r="I63" s="69" t="s">
        <v>353</v>
      </c>
    </row>
    <row r="64">
      <c r="A64" s="10">
        <v>75.0</v>
      </c>
      <c r="B64" s="10">
        <v>200.0</v>
      </c>
      <c r="C64" s="10">
        <v>2.67</v>
      </c>
      <c r="D64" s="10" t="s">
        <v>16</v>
      </c>
      <c r="E64" s="10" t="s">
        <v>585</v>
      </c>
      <c r="F64" s="11">
        <v>1.3090277777777777</v>
      </c>
      <c r="G64" s="70">
        <v>0.11527777777777778</v>
      </c>
      <c r="H64" s="70">
        <v>0.05763888888888889</v>
      </c>
      <c r="I64" s="69" t="s">
        <v>353</v>
      </c>
    </row>
    <row r="65">
      <c r="A65" s="10">
        <v>50.0</v>
      </c>
      <c r="B65" s="10">
        <v>150.0</v>
      </c>
      <c r="C65" s="10">
        <v>3.0</v>
      </c>
      <c r="D65" s="10" t="s">
        <v>16</v>
      </c>
      <c r="E65" s="10" t="s">
        <v>585</v>
      </c>
      <c r="F65" s="11">
        <v>1.3104166666666666</v>
      </c>
      <c r="G65" s="70">
        <v>0.10902777777777778</v>
      </c>
      <c r="H65" s="70">
        <v>0.05625</v>
      </c>
      <c r="I65" s="69" t="s">
        <v>353</v>
      </c>
    </row>
    <row r="66">
      <c r="A66" s="10">
        <v>50.0</v>
      </c>
      <c r="B66" s="10">
        <v>150.0</v>
      </c>
      <c r="C66" s="10">
        <v>3.0</v>
      </c>
      <c r="D66" s="10" t="s">
        <v>16</v>
      </c>
      <c r="E66" s="10" t="s">
        <v>585</v>
      </c>
      <c r="F66" s="11">
        <v>1.33125</v>
      </c>
      <c r="G66" s="70">
        <v>0.10972222222222222</v>
      </c>
      <c r="H66" s="70">
        <v>0.05763888888888889</v>
      </c>
      <c r="I66" s="69" t="s">
        <v>353</v>
      </c>
    </row>
    <row r="67">
      <c r="A67" s="10">
        <v>125.0</v>
      </c>
      <c r="B67" s="10">
        <v>250.0</v>
      </c>
      <c r="C67" s="10">
        <v>2.0</v>
      </c>
      <c r="D67" s="10" t="s">
        <v>16</v>
      </c>
      <c r="E67" s="10" t="s">
        <v>585</v>
      </c>
      <c r="F67" s="11">
        <v>1.3868055555555556</v>
      </c>
      <c r="G67" s="70">
        <v>0.14375</v>
      </c>
      <c r="H67" s="70">
        <v>0.06597222222222222</v>
      </c>
      <c r="I67" s="69" t="s">
        <v>353</v>
      </c>
    </row>
    <row r="68">
      <c r="A68" s="10">
        <v>100.0</v>
      </c>
      <c r="B68" s="10">
        <v>200.0</v>
      </c>
      <c r="C68" s="10">
        <v>2.0</v>
      </c>
      <c r="D68" s="10" t="s">
        <v>19</v>
      </c>
      <c r="E68" s="10" t="s">
        <v>91</v>
      </c>
      <c r="F68" s="11">
        <v>1.4208333333333334</v>
      </c>
      <c r="G68" s="70">
        <v>0.14722222222222223</v>
      </c>
      <c r="H68" s="70">
        <v>0.06875</v>
      </c>
      <c r="I68" s="69" t="s">
        <v>353</v>
      </c>
    </row>
    <row r="69">
      <c r="A69" s="10">
        <v>100.0</v>
      </c>
      <c r="B69" s="10">
        <v>200.0</v>
      </c>
      <c r="C69" s="10">
        <v>2.0</v>
      </c>
      <c r="D69" s="10" t="s">
        <v>16</v>
      </c>
      <c r="E69" s="10" t="s">
        <v>585</v>
      </c>
      <c r="F69" s="11">
        <v>1.4409722222222223</v>
      </c>
      <c r="G69" s="70">
        <v>0.14791666666666667</v>
      </c>
      <c r="H69" s="70">
        <v>0.07083333333333333</v>
      </c>
      <c r="I69" s="69" t="s">
        <v>353</v>
      </c>
    </row>
    <row r="70">
      <c r="A70" s="10">
        <v>75.0</v>
      </c>
      <c r="B70" s="10">
        <v>150.0</v>
      </c>
      <c r="C70" s="10">
        <v>2.0</v>
      </c>
      <c r="D70" s="10" t="s">
        <v>19</v>
      </c>
      <c r="E70" s="10" t="s">
        <v>91</v>
      </c>
      <c r="F70" s="11">
        <v>1.4916666666666667</v>
      </c>
      <c r="G70" s="70">
        <v>0.15208333333333332</v>
      </c>
      <c r="H70" s="70">
        <v>0.075</v>
      </c>
      <c r="I70" s="69" t="s">
        <v>353</v>
      </c>
    </row>
    <row r="71">
      <c r="A71" s="10">
        <v>75.0</v>
      </c>
      <c r="B71" s="10">
        <v>150.0</v>
      </c>
      <c r="C71" s="10">
        <v>2.0</v>
      </c>
      <c r="D71" s="10" t="s">
        <v>16</v>
      </c>
      <c r="E71" s="10" t="s">
        <v>585</v>
      </c>
      <c r="F71" s="11">
        <v>1.5145833333333334</v>
      </c>
      <c r="G71" s="70">
        <v>0.15347222222222223</v>
      </c>
      <c r="H71" s="70">
        <v>0.07708333333333334</v>
      </c>
      <c r="I71" s="69" t="s">
        <v>353</v>
      </c>
    </row>
    <row r="72">
      <c r="A72" s="10">
        <v>100.0</v>
      </c>
      <c r="B72" s="10">
        <v>150.0</v>
      </c>
      <c r="C72" s="10">
        <v>1.5</v>
      </c>
      <c r="D72" s="10" t="s">
        <v>16</v>
      </c>
      <c r="E72" s="10" t="s">
        <v>585</v>
      </c>
      <c r="F72" s="11">
        <v>1.6868055555555554</v>
      </c>
      <c r="G72" s="70">
        <v>0.19722222222222222</v>
      </c>
      <c r="H72" s="70">
        <v>0.09513888888888888</v>
      </c>
      <c r="I72" s="69" t="s">
        <v>353</v>
      </c>
    </row>
  </sheetData>
  <autoFilter ref="$A$1:$I$72"/>
  <customSheetViews>
    <customSheetView guid="{131ED934-56A5-4A4B-9246-8993FA1F050E}" filter="1" showAutoFilter="1">
      <autoFilter ref="$A$1:$I$72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Zwift Carbon"/>
            <filter val="Specialized Tarmac SL7"/>
            <filter val="Zwift Concept ZI (Tron)"/>
            <filter val="Specialized Venge S-Works"/>
            <filter val="Canyon Aeroad 2021"/>
          </filters>
        </filterColumn>
        <filterColumn colId="4">
          <filters blank="1">
            <filter val="32mm carbon"/>
            <filter val="Zipp 858/Super9"/>
            <filter val="DT Swiss ARC 62"/>
            <filter val="Zwift Concept ZI (Tron)"/>
            <filter val="ENVE 7.8"/>
          </filters>
        </filterColumn>
      </autoFilter>
    </customSheetView>
  </customSheetView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61"/>
    <hyperlink r:id="rId29" ref="I62"/>
    <hyperlink r:id="rId30" ref="I63"/>
    <hyperlink r:id="rId31" ref="I64"/>
    <hyperlink r:id="rId32" ref="I65"/>
    <hyperlink r:id="rId33" ref="I66"/>
    <hyperlink r:id="rId34" ref="I67"/>
    <hyperlink r:id="rId35" ref="I68"/>
    <hyperlink r:id="rId36" ref="I69"/>
    <hyperlink r:id="rId37" ref="I70"/>
    <hyperlink r:id="rId38" ref="I71"/>
    <hyperlink r:id="rId39" ref="I72"/>
  </hyperlinks>
  <drawing r:id="rId40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2.75"/>
    <col customWidth="1" min="5" max="5" width="20.13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539</v>
      </c>
      <c r="G1" s="1" t="s">
        <v>603</v>
      </c>
      <c r="H1" s="1" t="s">
        <v>604</v>
      </c>
      <c r="I1" s="30"/>
    </row>
    <row r="2">
      <c r="A2" s="10">
        <v>75.0</v>
      </c>
      <c r="B2" s="10">
        <v>300.0</v>
      </c>
      <c r="C2" s="10">
        <v>4.0</v>
      </c>
      <c r="D2" s="10" t="s">
        <v>94</v>
      </c>
      <c r="E2" s="10" t="s">
        <v>133</v>
      </c>
      <c r="F2" s="72">
        <v>0.03936342592592593</v>
      </c>
      <c r="G2" s="73">
        <v>0.002484837962962963</v>
      </c>
      <c r="H2" s="73">
        <v>0.003171296296296296</v>
      </c>
      <c r="I2" s="69" t="s">
        <v>605</v>
      </c>
    </row>
    <row r="3">
      <c r="A3" s="10">
        <v>75.0</v>
      </c>
      <c r="B3" s="10">
        <v>300.0</v>
      </c>
      <c r="C3" s="10">
        <v>4.0</v>
      </c>
      <c r="D3" s="10" t="s">
        <v>600</v>
      </c>
      <c r="E3" s="10" t="s">
        <v>600</v>
      </c>
      <c r="F3" s="72">
        <v>0.03881944444444444</v>
      </c>
      <c r="G3" s="73">
        <v>0.5024872685185185</v>
      </c>
      <c r="H3" s="73">
        <v>0.5031724537037037</v>
      </c>
      <c r="I3" s="69" t="s">
        <v>606</v>
      </c>
    </row>
    <row r="4">
      <c r="A4" s="10">
        <v>75.0</v>
      </c>
      <c r="B4" s="10">
        <v>300.0</v>
      </c>
      <c r="C4" s="10">
        <v>4.0</v>
      </c>
      <c r="D4" s="10" t="s">
        <v>13</v>
      </c>
      <c r="E4" s="10" t="s">
        <v>14</v>
      </c>
      <c r="F4" s="72">
        <v>0.03900462962962963</v>
      </c>
      <c r="G4" s="73">
        <v>0.5024873842592593</v>
      </c>
      <c r="H4" s="73">
        <v>0.5031739583333333</v>
      </c>
      <c r="I4" s="69" t="s">
        <v>607</v>
      </c>
    </row>
    <row r="5">
      <c r="A5" s="10">
        <v>75.0</v>
      </c>
      <c r="B5" s="10">
        <v>300.0</v>
      </c>
      <c r="C5" s="10">
        <v>4.0</v>
      </c>
      <c r="D5" s="10" t="s">
        <v>13</v>
      </c>
      <c r="E5" s="10" t="s">
        <v>88</v>
      </c>
      <c r="F5" s="72">
        <v>0.03890046296296296</v>
      </c>
      <c r="G5" s="73">
        <v>0.5024894675925925</v>
      </c>
      <c r="H5" s="73">
        <v>0.5031747685185185</v>
      </c>
      <c r="I5" s="69" t="s">
        <v>608</v>
      </c>
    </row>
    <row r="6">
      <c r="A6" s="10">
        <v>75.0</v>
      </c>
      <c r="B6" s="10">
        <v>300.0</v>
      </c>
      <c r="C6" s="10">
        <v>4.0</v>
      </c>
      <c r="D6" s="10" t="s">
        <v>9</v>
      </c>
      <c r="E6" s="10" t="s">
        <v>11</v>
      </c>
      <c r="F6" s="72">
        <v>0.03883101851851852</v>
      </c>
      <c r="G6" s="73">
        <v>0.5025</v>
      </c>
      <c r="H6" s="73">
        <v>0.503187962962963</v>
      </c>
      <c r="I6" s="69" t="s">
        <v>609</v>
      </c>
    </row>
    <row r="7">
      <c r="A7" s="10"/>
      <c r="B7" s="10"/>
      <c r="C7" s="10"/>
      <c r="D7" s="10"/>
      <c r="E7" s="10"/>
      <c r="F7" s="11"/>
      <c r="G7" s="70"/>
      <c r="H7" s="70"/>
      <c r="I7" s="71"/>
    </row>
    <row r="8">
      <c r="A8" s="10"/>
      <c r="B8" s="10"/>
      <c r="C8" s="10"/>
      <c r="D8" s="10"/>
      <c r="E8" s="10"/>
      <c r="F8" s="11"/>
      <c r="G8" s="70"/>
      <c r="H8" s="70"/>
      <c r="I8" s="71"/>
    </row>
    <row r="9">
      <c r="A9" s="10"/>
      <c r="B9" s="10"/>
      <c r="C9" s="10"/>
      <c r="D9" s="10"/>
      <c r="E9" s="10"/>
      <c r="F9" s="11"/>
      <c r="G9" s="70"/>
      <c r="H9" s="70"/>
      <c r="I9" s="71"/>
    </row>
    <row r="10">
      <c r="A10" s="10"/>
      <c r="B10" s="10"/>
      <c r="C10" s="10"/>
      <c r="D10" s="10"/>
      <c r="E10" s="10"/>
      <c r="F10" s="11"/>
      <c r="G10" s="70"/>
      <c r="H10" s="70"/>
      <c r="I10" s="71"/>
    </row>
    <row r="11">
      <c r="A11" s="10"/>
      <c r="B11" s="10"/>
      <c r="C11" s="10"/>
      <c r="D11" s="10"/>
      <c r="E11" s="10"/>
      <c r="F11" s="11"/>
      <c r="G11" s="70"/>
      <c r="H11" s="70"/>
      <c r="I11" s="71"/>
    </row>
    <row r="12">
      <c r="A12" s="10"/>
      <c r="B12" s="10"/>
      <c r="C12" s="10"/>
      <c r="D12" s="10"/>
      <c r="E12" s="10"/>
      <c r="F12" s="11"/>
      <c r="G12" s="70"/>
      <c r="H12" s="70"/>
      <c r="I12" s="71"/>
    </row>
    <row r="13">
      <c r="A13" s="10"/>
      <c r="B13" s="10"/>
      <c r="C13" s="10"/>
      <c r="D13" s="10"/>
      <c r="E13" s="10"/>
      <c r="F13" s="11"/>
      <c r="G13" s="70"/>
      <c r="H13" s="70"/>
      <c r="I13" s="71"/>
    </row>
    <row r="14">
      <c r="A14" s="10"/>
      <c r="B14" s="10"/>
      <c r="C14" s="10"/>
      <c r="D14" s="10"/>
      <c r="E14" s="10"/>
      <c r="F14" s="11"/>
      <c r="G14" s="70"/>
      <c r="H14" s="70"/>
      <c r="I14" s="71"/>
    </row>
    <row r="15">
      <c r="A15" s="10"/>
      <c r="B15" s="10"/>
      <c r="C15" s="10"/>
      <c r="D15" s="10"/>
      <c r="E15" s="10"/>
      <c r="F15" s="11"/>
      <c r="G15" s="70"/>
      <c r="H15" s="70"/>
      <c r="I15" s="71"/>
    </row>
    <row r="16">
      <c r="A16" s="10"/>
      <c r="B16" s="10"/>
      <c r="C16" s="10"/>
      <c r="D16" s="10"/>
      <c r="E16" s="10"/>
      <c r="F16" s="11"/>
      <c r="G16" s="70"/>
      <c r="H16" s="70"/>
      <c r="I16" s="71"/>
    </row>
    <row r="17">
      <c r="A17" s="10"/>
      <c r="B17" s="10"/>
      <c r="C17" s="10"/>
      <c r="D17" s="10"/>
      <c r="E17" s="10"/>
      <c r="F17" s="11"/>
      <c r="G17" s="70"/>
      <c r="H17" s="70"/>
      <c r="I17" s="71"/>
    </row>
    <row r="18">
      <c r="A18" s="10"/>
      <c r="B18" s="10"/>
      <c r="C18" s="10"/>
      <c r="D18" s="10"/>
      <c r="E18" s="10"/>
      <c r="F18" s="11"/>
      <c r="G18" s="70"/>
      <c r="H18" s="70"/>
      <c r="I18" s="71"/>
    </row>
    <row r="19">
      <c r="A19" s="10"/>
      <c r="B19" s="10"/>
      <c r="C19" s="10"/>
      <c r="D19" s="10"/>
      <c r="E19" s="10"/>
      <c r="F19" s="11"/>
      <c r="G19" s="70"/>
      <c r="H19" s="70"/>
      <c r="I19" s="71"/>
    </row>
    <row r="20">
      <c r="A20" s="10"/>
      <c r="B20" s="10"/>
      <c r="C20" s="10"/>
      <c r="D20" s="10"/>
      <c r="E20" s="10"/>
      <c r="F20" s="11"/>
      <c r="G20" s="70"/>
      <c r="H20" s="70"/>
      <c r="I20" s="71"/>
    </row>
    <row r="21">
      <c r="A21" s="10"/>
      <c r="B21" s="10"/>
      <c r="C21" s="10"/>
      <c r="D21" s="10"/>
      <c r="E21" s="10"/>
      <c r="F21" s="11"/>
      <c r="G21" s="70"/>
      <c r="H21" s="70"/>
      <c r="I21" s="71"/>
    </row>
    <row r="22">
      <c r="A22" s="10"/>
      <c r="B22" s="10"/>
      <c r="C22" s="10"/>
      <c r="D22" s="10"/>
      <c r="E22" s="10"/>
      <c r="F22" s="11"/>
      <c r="G22" s="70"/>
      <c r="H22" s="70"/>
      <c r="I22" s="71"/>
    </row>
    <row r="23">
      <c r="A23" s="10"/>
      <c r="B23" s="10"/>
      <c r="C23" s="10"/>
      <c r="D23" s="10"/>
      <c r="E23" s="10"/>
      <c r="F23" s="11"/>
      <c r="G23" s="70"/>
      <c r="H23" s="70"/>
      <c r="I23" s="71"/>
    </row>
    <row r="24">
      <c r="A24" s="10"/>
      <c r="B24" s="10"/>
      <c r="C24" s="10"/>
      <c r="D24" s="10"/>
      <c r="E24" s="10"/>
      <c r="F24" s="11"/>
      <c r="G24" s="70"/>
      <c r="H24" s="70"/>
      <c r="I24" s="71"/>
    </row>
    <row r="25">
      <c r="A25" s="10"/>
      <c r="B25" s="10"/>
      <c r="C25" s="10"/>
      <c r="D25" s="10"/>
      <c r="E25" s="10"/>
      <c r="F25" s="11"/>
      <c r="G25" s="70"/>
      <c r="H25" s="70"/>
      <c r="I25" s="71"/>
    </row>
    <row r="26">
      <c r="A26" s="10"/>
      <c r="B26" s="10"/>
      <c r="C26" s="10"/>
      <c r="D26" s="10"/>
      <c r="E26" s="10"/>
      <c r="F26" s="11"/>
      <c r="G26" s="70"/>
      <c r="H26" s="70"/>
      <c r="I26" s="71"/>
    </row>
    <row r="27">
      <c r="A27" s="10"/>
      <c r="B27" s="10"/>
      <c r="C27" s="10"/>
      <c r="D27" s="10"/>
      <c r="E27" s="10"/>
      <c r="F27" s="11"/>
      <c r="G27" s="70"/>
      <c r="H27" s="70"/>
      <c r="I27" s="71"/>
    </row>
    <row r="28">
      <c r="A28" s="10"/>
      <c r="B28" s="10"/>
      <c r="C28" s="10"/>
      <c r="D28" s="10"/>
      <c r="E28" s="10"/>
      <c r="F28" s="11"/>
      <c r="G28" s="70"/>
      <c r="H28" s="70"/>
      <c r="I28" s="71"/>
    </row>
    <row r="29">
      <c r="A29" s="10"/>
      <c r="B29" s="10"/>
      <c r="C29" s="10"/>
      <c r="D29" s="10"/>
      <c r="E29" s="10"/>
      <c r="F29" s="11"/>
      <c r="G29" s="70"/>
      <c r="H29" s="70"/>
      <c r="I29" s="71"/>
    </row>
    <row r="30">
      <c r="A30" s="10"/>
      <c r="B30" s="10"/>
      <c r="C30" s="10"/>
      <c r="D30" s="10"/>
      <c r="E30" s="10"/>
      <c r="F30" s="11"/>
      <c r="G30" s="70"/>
      <c r="H30" s="70"/>
      <c r="I30" s="71"/>
    </row>
    <row r="31">
      <c r="A31" s="10"/>
      <c r="B31" s="10"/>
      <c r="C31" s="10"/>
      <c r="D31" s="10"/>
      <c r="E31" s="10"/>
      <c r="F31" s="11"/>
      <c r="G31" s="70"/>
      <c r="H31" s="70"/>
      <c r="I31" s="71"/>
    </row>
    <row r="32">
      <c r="A32" s="10"/>
      <c r="B32" s="10"/>
      <c r="C32" s="10"/>
      <c r="D32" s="10"/>
      <c r="E32" s="10"/>
      <c r="F32" s="11"/>
      <c r="G32" s="70"/>
      <c r="H32" s="70"/>
      <c r="I32" s="71"/>
    </row>
    <row r="33">
      <c r="A33" s="10"/>
      <c r="B33" s="10"/>
      <c r="C33" s="10"/>
      <c r="D33" s="10"/>
      <c r="E33" s="10"/>
      <c r="F33" s="11"/>
      <c r="G33" s="70"/>
      <c r="H33" s="70"/>
      <c r="I33" s="71"/>
    </row>
    <row r="34">
      <c r="A34" s="10"/>
      <c r="B34" s="10"/>
      <c r="C34" s="10"/>
      <c r="D34" s="10"/>
      <c r="E34" s="10"/>
      <c r="F34" s="11"/>
      <c r="G34" s="70"/>
      <c r="H34" s="70"/>
      <c r="I34" s="71"/>
    </row>
    <row r="35">
      <c r="A35" s="10"/>
      <c r="B35" s="10"/>
      <c r="C35" s="10"/>
      <c r="D35" s="10"/>
      <c r="E35" s="10"/>
      <c r="F35" s="11"/>
      <c r="G35" s="70"/>
      <c r="H35" s="70"/>
      <c r="I35" s="71"/>
    </row>
    <row r="36">
      <c r="A36" s="10"/>
      <c r="B36" s="10"/>
      <c r="C36" s="10"/>
      <c r="D36" s="10"/>
      <c r="E36" s="10"/>
      <c r="F36" s="11"/>
      <c r="G36" s="70"/>
      <c r="H36" s="70"/>
      <c r="I36" s="71"/>
    </row>
    <row r="37">
      <c r="A37" s="10"/>
      <c r="B37" s="10"/>
      <c r="C37" s="10"/>
      <c r="D37" s="10"/>
      <c r="E37" s="10"/>
      <c r="F37" s="11"/>
      <c r="G37" s="70"/>
      <c r="H37" s="70"/>
      <c r="I37" s="71"/>
    </row>
    <row r="38">
      <c r="A38" s="10"/>
      <c r="B38" s="10"/>
      <c r="C38" s="10"/>
      <c r="D38" s="10"/>
      <c r="E38" s="10"/>
      <c r="F38" s="11"/>
      <c r="G38" s="70"/>
      <c r="H38" s="70"/>
      <c r="I38" s="71"/>
    </row>
  </sheetData>
  <autoFilter ref="$A$1:$I$38"/>
  <customSheetViews>
    <customSheetView guid="{131ED934-56A5-4A4B-9246-8993FA1F050E}" filter="1" showAutoFilter="1">
      <autoFilter ref="$A$1:$I$38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Specialized Tarmac Pro"/>
            <filter val="Zwift Concept ZI (Tron)"/>
            <filter val="Canyon Aeroad 2021"/>
            <filter val="Specialized Venge S-Works"/>
          </filters>
        </filterColumn>
        <filterColumn colId="4">
          <filters blank="1">
            <filter val="DT Swiss ARC 62"/>
            <filter val="Zipp 858/Super9"/>
            <filter val="Zwift Concept ZI (Tron)"/>
            <filter val="ENVE 7.8"/>
            <filter val="Lightweight Meilenstein"/>
          </filters>
        </filterColumn>
      </autoFilter>
    </customSheetView>
  </customSheetViews>
  <hyperlinks>
    <hyperlink r:id="rId1" ref="I2"/>
    <hyperlink r:id="rId2" ref="I3"/>
    <hyperlink r:id="rId3" ref="I4"/>
    <hyperlink r:id="rId4" ref="I5"/>
    <hyperlink r:id="rId5" ref="I6"/>
  </hyperlinks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2.75"/>
    <col customWidth="1" min="5" max="5" width="20.13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539</v>
      </c>
      <c r="G1" s="1" t="s">
        <v>610</v>
      </c>
      <c r="H1" s="30"/>
    </row>
    <row r="2">
      <c r="A2" s="10">
        <v>75.0</v>
      </c>
      <c r="B2" s="10">
        <v>300.0</v>
      </c>
      <c r="C2" s="10">
        <v>4.0</v>
      </c>
      <c r="D2" s="10" t="s">
        <v>600</v>
      </c>
      <c r="E2" s="10" t="s">
        <v>600</v>
      </c>
      <c r="F2" s="72">
        <v>0.024421296296296295</v>
      </c>
      <c r="G2" s="73">
        <v>0.5044212962962963</v>
      </c>
      <c r="H2" s="69" t="s">
        <v>611</v>
      </c>
    </row>
    <row r="3">
      <c r="A3" s="10">
        <v>75.0</v>
      </c>
      <c r="B3" s="10">
        <v>300.0</v>
      </c>
      <c r="C3" s="10">
        <v>4.0</v>
      </c>
      <c r="D3" s="10" t="s">
        <v>13</v>
      </c>
      <c r="E3" s="10" t="s">
        <v>14</v>
      </c>
      <c r="F3" s="72">
        <v>0.02454861111111111</v>
      </c>
      <c r="G3" s="73">
        <v>0.5044328703703703</v>
      </c>
      <c r="H3" s="69" t="s">
        <v>612</v>
      </c>
    </row>
    <row r="4">
      <c r="A4" s="10">
        <v>75.0</v>
      </c>
      <c r="B4" s="10">
        <v>300.0</v>
      </c>
      <c r="C4" s="10">
        <v>4.0</v>
      </c>
      <c r="D4" s="10" t="s">
        <v>9</v>
      </c>
      <c r="E4" s="10" t="s">
        <v>11</v>
      </c>
      <c r="F4" s="72">
        <v>0.024421296296296295</v>
      </c>
      <c r="G4" s="73">
        <v>0.5044328703703703</v>
      </c>
      <c r="H4" s="69" t="s">
        <v>613</v>
      </c>
    </row>
    <row r="5">
      <c r="A5" s="10"/>
      <c r="B5" s="10"/>
      <c r="C5" s="10"/>
      <c r="D5" s="10"/>
      <c r="E5" s="10"/>
      <c r="F5" s="11"/>
      <c r="G5" s="70"/>
      <c r="H5" s="71"/>
    </row>
    <row r="6">
      <c r="A6" s="10"/>
      <c r="B6" s="10"/>
      <c r="C6" s="10"/>
      <c r="D6" s="10"/>
      <c r="E6" s="10"/>
      <c r="F6" s="11"/>
      <c r="G6" s="70"/>
      <c r="H6" s="71"/>
    </row>
    <row r="7">
      <c r="A7" s="10"/>
      <c r="B7" s="10"/>
      <c r="C7" s="10"/>
      <c r="D7" s="10"/>
      <c r="E7" s="10"/>
      <c r="F7" s="11"/>
      <c r="G7" s="70"/>
      <c r="H7" s="71"/>
    </row>
    <row r="8">
      <c r="A8" s="10"/>
      <c r="B8" s="10"/>
      <c r="C8" s="10"/>
      <c r="D8" s="10"/>
      <c r="E8" s="10"/>
      <c r="F8" s="11"/>
      <c r="G8" s="70"/>
      <c r="H8" s="71"/>
    </row>
    <row r="9">
      <c r="A9" s="10"/>
      <c r="B9" s="10"/>
      <c r="C9" s="10"/>
      <c r="D9" s="10"/>
      <c r="E9" s="10"/>
      <c r="F9" s="11"/>
      <c r="G9" s="70"/>
      <c r="H9" s="71"/>
    </row>
    <row r="10">
      <c r="A10" s="10"/>
      <c r="B10" s="10"/>
      <c r="C10" s="10"/>
      <c r="D10" s="10"/>
      <c r="E10" s="10"/>
      <c r="F10" s="11"/>
      <c r="G10" s="70"/>
      <c r="H10" s="71"/>
    </row>
    <row r="11">
      <c r="A11" s="10"/>
      <c r="B11" s="10"/>
      <c r="C11" s="10"/>
      <c r="D11" s="10"/>
      <c r="E11" s="10"/>
      <c r="F11" s="11"/>
      <c r="G11" s="70"/>
      <c r="H11" s="71"/>
    </row>
    <row r="12">
      <c r="A12" s="10"/>
      <c r="B12" s="10"/>
      <c r="C12" s="10"/>
      <c r="D12" s="10"/>
      <c r="E12" s="10"/>
      <c r="F12" s="11"/>
      <c r="G12" s="70"/>
      <c r="H12" s="71"/>
    </row>
    <row r="13">
      <c r="A13" s="10"/>
      <c r="B13" s="10"/>
      <c r="C13" s="10"/>
      <c r="D13" s="10"/>
      <c r="E13" s="10"/>
      <c r="F13" s="11"/>
      <c r="G13" s="70"/>
      <c r="H13" s="71"/>
    </row>
    <row r="14">
      <c r="A14" s="10"/>
      <c r="B14" s="10"/>
      <c r="C14" s="10"/>
      <c r="D14" s="10"/>
      <c r="E14" s="10"/>
      <c r="F14" s="11"/>
      <c r="G14" s="70"/>
      <c r="H14" s="71"/>
    </row>
    <row r="15">
      <c r="A15" s="10"/>
      <c r="B15" s="10"/>
      <c r="C15" s="10"/>
      <c r="D15" s="10"/>
      <c r="E15" s="10"/>
      <c r="F15" s="11"/>
      <c r="G15" s="70"/>
      <c r="H15" s="71"/>
    </row>
    <row r="16">
      <c r="A16" s="10"/>
      <c r="B16" s="10"/>
      <c r="C16" s="10"/>
      <c r="D16" s="10"/>
      <c r="E16" s="10"/>
      <c r="F16" s="11"/>
      <c r="G16" s="70"/>
      <c r="H16" s="71"/>
    </row>
    <row r="17">
      <c r="A17" s="10"/>
      <c r="B17" s="10"/>
      <c r="C17" s="10"/>
      <c r="D17" s="10"/>
      <c r="E17" s="10"/>
      <c r="F17" s="11"/>
      <c r="G17" s="70"/>
      <c r="H17" s="71"/>
    </row>
    <row r="18">
      <c r="A18" s="10"/>
      <c r="B18" s="10"/>
      <c r="C18" s="10"/>
      <c r="D18" s="10"/>
      <c r="E18" s="10"/>
      <c r="F18" s="11"/>
      <c r="G18" s="70"/>
      <c r="H18" s="71"/>
    </row>
    <row r="19">
      <c r="A19" s="10"/>
      <c r="B19" s="10"/>
      <c r="C19" s="10"/>
      <c r="D19" s="10"/>
      <c r="E19" s="10"/>
      <c r="F19" s="11"/>
      <c r="G19" s="70"/>
      <c r="H19" s="71"/>
    </row>
    <row r="20">
      <c r="A20" s="10"/>
      <c r="B20" s="10"/>
      <c r="C20" s="10"/>
      <c r="D20" s="10"/>
      <c r="E20" s="10"/>
      <c r="F20" s="11"/>
      <c r="G20" s="70"/>
      <c r="H20" s="71"/>
    </row>
    <row r="21">
      <c r="A21" s="10"/>
      <c r="B21" s="10"/>
      <c r="C21" s="10"/>
      <c r="D21" s="10"/>
      <c r="E21" s="10"/>
      <c r="F21" s="11"/>
      <c r="G21" s="70"/>
      <c r="H21" s="71"/>
    </row>
    <row r="22">
      <c r="A22" s="10"/>
      <c r="B22" s="10"/>
      <c r="C22" s="10"/>
      <c r="D22" s="10"/>
      <c r="E22" s="10"/>
      <c r="F22" s="11"/>
      <c r="G22" s="70"/>
      <c r="H22" s="71"/>
    </row>
    <row r="23">
      <c r="A23" s="10"/>
      <c r="B23" s="10"/>
      <c r="C23" s="10"/>
      <c r="D23" s="10"/>
      <c r="E23" s="10"/>
      <c r="F23" s="11"/>
      <c r="G23" s="70"/>
      <c r="H23" s="71"/>
    </row>
    <row r="24">
      <c r="A24" s="10"/>
      <c r="B24" s="10"/>
      <c r="C24" s="10"/>
      <c r="D24" s="10"/>
      <c r="E24" s="10"/>
      <c r="F24" s="11"/>
      <c r="G24" s="70"/>
      <c r="H24" s="71"/>
    </row>
    <row r="25">
      <c r="A25" s="10"/>
      <c r="B25" s="10"/>
      <c r="C25" s="10"/>
      <c r="D25" s="10"/>
      <c r="E25" s="10"/>
      <c r="F25" s="11"/>
      <c r="G25" s="70"/>
      <c r="H25" s="71"/>
    </row>
    <row r="26">
      <c r="A26" s="10"/>
      <c r="B26" s="10"/>
      <c r="C26" s="10"/>
      <c r="D26" s="10"/>
      <c r="E26" s="10"/>
      <c r="F26" s="11"/>
      <c r="G26" s="70"/>
      <c r="H26" s="71"/>
    </row>
    <row r="27">
      <c r="A27" s="10"/>
      <c r="B27" s="10"/>
      <c r="C27" s="10"/>
      <c r="D27" s="10"/>
      <c r="E27" s="10"/>
      <c r="F27" s="11"/>
      <c r="G27" s="70"/>
      <c r="H27" s="71"/>
    </row>
    <row r="28">
      <c r="A28" s="10"/>
      <c r="B28" s="10"/>
      <c r="C28" s="10"/>
      <c r="D28" s="10"/>
      <c r="E28" s="10"/>
      <c r="F28" s="11"/>
      <c r="G28" s="70"/>
      <c r="H28" s="71"/>
    </row>
    <row r="29">
      <c r="A29" s="10"/>
      <c r="B29" s="10"/>
      <c r="C29" s="10"/>
      <c r="D29" s="10"/>
      <c r="E29" s="10"/>
      <c r="F29" s="11"/>
      <c r="G29" s="70"/>
      <c r="H29" s="71"/>
    </row>
    <row r="30">
      <c r="A30" s="10"/>
      <c r="B30" s="10"/>
      <c r="C30" s="10"/>
      <c r="D30" s="10"/>
      <c r="E30" s="10"/>
      <c r="F30" s="11"/>
      <c r="G30" s="70"/>
      <c r="H30" s="71"/>
    </row>
    <row r="31">
      <c r="A31" s="10"/>
      <c r="B31" s="10"/>
      <c r="C31" s="10"/>
      <c r="D31" s="10"/>
      <c r="E31" s="10"/>
      <c r="F31" s="11"/>
      <c r="G31" s="70"/>
      <c r="H31" s="71"/>
    </row>
    <row r="32">
      <c r="A32" s="10"/>
      <c r="B32" s="10"/>
      <c r="C32" s="10"/>
      <c r="D32" s="10"/>
      <c r="E32" s="10"/>
      <c r="F32" s="11"/>
      <c r="G32" s="70"/>
      <c r="H32" s="71"/>
    </row>
    <row r="33">
      <c r="A33" s="10"/>
      <c r="B33" s="10"/>
      <c r="C33" s="10"/>
      <c r="D33" s="10"/>
      <c r="E33" s="10"/>
      <c r="F33" s="11"/>
      <c r="G33" s="70"/>
      <c r="H33" s="71"/>
    </row>
    <row r="34">
      <c r="A34" s="10"/>
      <c r="B34" s="10"/>
      <c r="C34" s="10"/>
      <c r="D34" s="10"/>
      <c r="E34" s="10"/>
      <c r="F34" s="11"/>
      <c r="G34" s="70"/>
      <c r="H34" s="71"/>
    </row>
    <row r="35">
      <c r="A35" s="10"/>
      <c r="B35" s="10"/>
      <c r="C35" s="10"/>
      <c r="D35" s="10"/>
      <c r="E35" s="10"/>
      <c r="F35" s="11"/>
      <c r="G35" s="70"/>
      <c r="H35" s="71"/>
    </row>
    <row r="36">
      <c r="A36" s="10"/>
      <c r="B36" s="10"/>
      <c r="C36" s="10"/>
      <c r="D36" s="10"/>
      <c r="E36" s="10"/>
      <c r="F36" s="11"/>
      <c r="G36" s="70"/>
      <c r="H36" s="71"/>
    </row>
  </sheetData>
  <autoFilter ref="$A$1:$H$36"/>
  <customSheetViews>
    <customSheetView guid="{131ED934-56A5-4A4B-9246-8993FA1F050E}" filter="1" showAutoFilter="1">
      <autoFilter ref="$A$1:$H$36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Zwift Concept ZI (Tron)"/>
            <filter val="Canyon Aeroad 2021"/>
            <filter val="Specialized Venge S-Works"/>
          </filters>
        </filterColumn>
        <filterColumn colId="4">
          <filters blank="1">
            <filter val="DT Swiss ARC 62"/>
            <filter val="Zipp 858/Super9"/>
            <filter val="Zwift Concept ZI (Tron)"/>
          </filters>
        </filterColumn>
      </autoFilter>
    </customSheetView>
  </customSheetViews>
  <hyperlinks>
    <hyperlink r:id="rId1" ref="H2"/>
    <hyperlink r:id="rId2" ref="H3"/>
    <hyperlink r:id="rId3" ref="H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472</v>
      </c>
      <c r="I1" s="1" t="s">
        <v>583</v>
      </c>
      <c r="J1" s="1" t="s">
        <v>584</v>
      </c>
      <c r="K1" s="1" t="s">
        <v>614</v>
      </c>
      <c r="L1" s="1" t="s">
        <v>615</v>
      </c>
      <c r="M1" s="30"/>
    </row>
    <row r="2">
      <c r="A2" s="10">
        <v>100.0</v>
      </c>
      <c r="B2" s="10">
        <v>500.0</v>
      </c>
      <c r="C2" s="10">
        <v>5.0</v>
      </c>
      <c r="D2" s="10">
        <v>183.0</v>
      </c>
      <c r="E2" s="10" t="s">
        <v>16</v>
      </c>
      <c r="F2" s="10" t="s">
        <v>585</v>
      </c>
      <c r="G2" s="11">
        <v>0.8715277777777778</v>
      </c>
      <c r="H2" s="70">
        <v>0.39444444444444443</v>
      </c>
      <c r="I2" s="70">
        <v>0.052083333333333336</v>
      </c>
      <c r="J2" s="10" t="s">
        <v>586</v>
      </c>
      <c r="K2" s="70">
        <v>0.05625</v>
      </c>
      <c r="L2" s="10" t="s">
        <v>616</v>
      </c>
      <c r="M2" s="69" t="s">
        <v>353</v>
      </c>
    </row>
    <row r="3">
      <c r="A3" s="10">
        <v>75.0</v>
      </c>
      <c r="B3" s="10">
        <v>500.0</v>
      </c>
      <c r="C3" s="10">
        <v>6.67</v>
      </c>
      <c r="D3" s="10">
        <v>183.0</v>
      </c>
      <c r="E3" s="10" t="s">
        <v>16</v>
      </c>
      <c r="F3" s="10" t="s">
        <v>585</v>
      </c>
      <c r="G3" s="11">
        <v>0.8722222222222222</v>
      </c>
      <c r="H3" s="70">
        <v>0.39375</v>
      </c>
      <c r="I3" s="70">
        <v>0.052083333333333336</v>
      </c>
      <c r="J3" s="10" t="s">
        <v>586</v>
      </c>
      <c r="K3" s="70">
        <v>0.05625</v>
      </c>
      <c r="L3" s="10" t="s">
        <v>616</v>
      </c>
      <c r="M3" s="69" t="s">
        <v>353</v>
      </c>
    </row>
    <row r="4">
      <c r="A4" s="10">
        <v>50.0</v>
      </c>
      <c r="B4" s="10">
        <v>500.0</v>
      </c>
      <c r="C4" s="10">
        <v>10.0</v>
      </c>
      <c r="D4" s="10">
        <v>183.0</v>
      </c>
      <c r="E4" s="10" t="s">
        <v>16</v>
      </c>
      <c r="F4" s="10" t="s">
        <v>585</v>
      </c>
      <c r="G4" s="11">
        <v>0.8722222222222222</v>
      </c>
      <c r="H4" s="70">
        <v>0.39375</v>
      </c>
      <c r="I4" s="70">
        <v>0.052083333333333336</v>
      </c>
      <c r="J4" s="10" t="s">
        <v>587</v>
      </c>
      <c r="K4" s="70">
        <v>0.05694444444444444</v>
      </c>
      <c r="L4" s="10" t="s">
        <v>616</v>
      </c>
      <c r="M4" s="69" t="s">
        <v>353</v>
      </c>
    </row>
    <row r="5">
      <c r="A5" s="10">
        <v>75.0</v>
      </c>
      <c r="B5" s="10">
        <v>400.0</v>
      </c>
      <c r="C5" s="10">
        <v>5.33</v>
      </c>
      <c r="D5" s="10">
        <v>183.0</v>
      </c>
      <c r="E5" s="10" t="s">
        <v>16</v>
      </c>
      <c r="F5" s="10" t="s">
        <v>585</v>
      </c>
      <c r="G5" s="11">
        <v>0.9555555555555556</v>
      </c>
      <c r="H5" s="70">
        <v>0.4270833333333333</v>
      </c>
      <c r="I5" s="70">
        <v>0.06180555555555556</v>
      </c>
      <c r="J5" s="10" t="s">
        <v>588</v>
      </c>
      <c r="K5" s="70">
        <v>0.059722222222222225</v>
      </c>
      <c r="L5" s="10" t="s">
        <v>617</v>
      </c>
      <c r="M5" s="69" t="s">
        <v>353</v>
      </c>
    </row>
    <row r="6">
      <c r="A6" s="10">
        <v>100.0</v>
      </c>
      <c r="B6" s="10">
        <v>400.0</v>
      </c>
      <c r="C6" s="10">
        <v>4.0</v>
      </c>
      <c r="D6" s="10">
        <v>183.0</v>
      </c>
      <c r="E6" s="10" t="s">
        <v>16</v>
      </c>
      <c r="F6" s="10" t="s">
        <v>585</v>
      </c>
      <c r="G6" s="11">
        <v>0.9555555555555556</v>
      </c>
      <c r="H6" s="70">
        <v>0.4270833333333333</v>
      </c>
      <c r="I6" s="70">
        <v>0.06180555555555556</v>
      </c>
      <c r="J6" s="10" t="s">
        <v>589</v>
      </c>
      <c r="K6" s="70">
        <v>0.059722222222222225</v>
      </c>
      <c r="L6" s="10" t="s">
        <v>617</v>
      </c>
      <c r="M6" s="69" t="s">
        <v>353</v>
      </c>
    </row>
    <row r="7">
      <c r="A7" s="10">
        <v>50.0</v>
      </c>
      <c r="B7" s="10">
        <v>400.0</v>
      </c>
      <c r="C7" s="10">
        <v>8.0</v>
      </c>
      <c r="D7" s="10">
        <v>183.0</v>
      </c>
      <c r="E7" s="10" t="s">
        <v>16</v>
      </c>
      <c r="F7" s="10" t="s">
        <v>585</v>
      </c>
      <c r="G7" s="11">
        <v>0.9555555555555556</v>
      </c>
      <c r="H7" s="70">
        <v>0.4270833333333333</v>
      </c>
      <c r="I7" s="70">
        <v>0.06180555555555556</v>
      </c>
      <c r="J7" s="10" t="s">
        <v>588</v>
      </c>
      <c r="K7" s="70">
        <v>0.059722222222222225</v>
      </c>
      <c r="L7" s="10" t="s">
        <v>617</v>
      </c>
      <c r="M7" s="69" t="s">
        <v>353</v>
      </c>
    </row>
    <row r="8">
      <c r="A8" s="10">
        <v>75.0</v>
      </c>
      <c r="B8" s="10">
        <v>375.0</v>
      </c>
      <c r="C8" s="10">
        <v>5.0</v>
      </c>
      <c r="D8" s="10">
        <v>183.0</v>
      </c>
      <c r="E8" s="10" t="s">
        <v>16</v>
      </c>
      <c r="F8" s="10" t="s">
        <v>585</v>
      </c>
      <c r="G8" s="11">
        <v>0.9826388888888888</v>
      </c>
      <c r="H8" s="70">
        <v>0.4375</v>
      </c>
      <c r="I8" s="70">
        <v>0.06527777777777778</v>
      </c>
      <c r="J8" s="10" t="s">
        <v>590</v>
      </c>
      <c r="K8" s="70">
        <v>0.06041666666666667</v>
      </c>
      <c r="L8" s="10" t="s">
        <v>618</v>
      </c>
      <c r="M8" s="69" t="s">
        <v>353</v>
      </c>
    </row>
    <row r="9">
      <c r="A9" s="10">
        <v>100.0</v>
      </c>
      <c r="B9" s="10">
        <v>400.0</v>
      </c>
      <c r="C9" s="10">
        <v>4.0</v>
      </c>
      <c r="D9" s="10">
        <v>183.0</v>
      </c>
      <c r="E9" s="10" t="s">
        <v>19</v>
      </c>
      <c r="F9" s="10" t="s">
        <v>91</v>
      </c>
      <c r="G9" s="11">
        <v>1.0131944444444445</v>
      </c>
      <c r="H9" s="70">
        <v>0.44305555555555554</v>
      </c>
      <c r="I9" s="70">
        <v>0.07569444444444444</v>
      </c>
      <c r="J9" s="10" t="s">
        <v>591</v>
      </c>
      <c r="K9" s="70">
        <v>0.059027777777777776</v>
      </c>
      <c r="L9" s="10" t="s">
        <v>617</v>
      </c>
      <c r="M9" s="69" t="s">
        <v>353</v>
      </c>
    </row>
    <row r="10">
      <c r="A10" s="10">
        <v>50.0</v>
      </c>
      <c r="B10" s="10">
        <v>250.0</v>
      </c>
      <c r="C10" s="10">
        <v>5.0</v>
      </c>
      <c r="D10" s="10">
        <v>183.0</v>
      </c>
      <c r="E10" s="10" t="s">
        <v>16</v>
      </c>
      <c r="F10" s="10" t="s">
        <v>585</v>
      </c>
      <c r="G10" s="11">
        <v>1.0583333333333333</v>
      </c>
      <c r="H10" s="70">
        <v>0.47152777777777777</v>
      </c>
      <c r="I10" s="70">
        <v>0.07013888888888889</v>
      </c>
      <c r="J10" s="10" t="s">
        <v>592</v>
      </c>
      <c r="K10" s="70">
        <v>0.06527777777777778</v>
      </c>
      <c r="L10" s="10" t="s">
        <v>619</v>
      </c>
      <c r="M10" s="69" t="s">
        <v>353</v>
      </c>
    </row>
    <row r="11">
      <c r="A11" s="10">
        <v>75.0</v>
      </c>
      <c r="B11" s="10">
        <v>300.0</v>
      </c>
      <c r="C11" s="10">
        <v>4.0</v>
      </c>
      <c r="D11" s="10">
        <v>183.0</v>
      </c>
      <c r="E11" s="10" t="s">
        <v>19</v>
      </c>
      <c r="F11" s="10" t="s">
        <v>91</v>
      </c>
      <c r="G11" s="11">
        <v>1.0645833333333334</v>
      </c>
      <c r="H11" s="70">
        <v>0.4652777777777778</v>
      </c>
      <c r="I11" s="70">
        <v>0.07916666666666666</v>
      </c>
      <c r="J11" s="10" t="s">
        <v>593</v>
      </c>
      <c r="K11" s="70">
        <v>0.06180555555555556</v>
      </c>
      <c r="L11" s="10" t="s">
        <v>618</v>
      </c>
      <c r="M11" s="69" t="s">
        <v>353</v>
      </c>
    </row>
    <row r="12">
      <c r="A12" s="10">
        <v>75.0</v>
      </c>
      <c r="B12" s="10">
        <v>310.0</v>
      </c>
      <c r="C12" s="10">
        <v>4.13</v>
      </c>
      <c r="D12" s="10">
        <v>183.0</v>
      </c>
      <c r="E12" s="10" t="s">
        <v>16</v>
      </c>
      <c r="F12" s="10" t="s">
        <v>585</v>
      </c>
      <c r="G12" s="11">
        <v>1.0666666666666667</v>
      </c>
      <c r="H12" s="70">
        <v>0.46875</v>
      </c>
      <c r="I12" s="70">
        <v>0.07708333333333334</v>
      </c>
      <c r="J12" s="10" t="s">
        <v>594</v>
      </c>
      <c r="K12" s="70">
        <v>0.06319444444444444</v>
      </c>
      <c r="L12" s="10" t="s">
        <v>618</v>
      </c>
      <c r="M12" s="69" t="s">
        <v>353</v>
      </c>
    </row>
    <row r="13">
      <c r="A13" s="10">
        <v>75.0</v>
      </c>
      <c r="B13" s="10">
        <v>300.0</v>
      </c>
      <c r="C13" s="10">
        <v>4.0</v>
      </c>
      <c r="D13" s="10">
        <v>183.0</v>
      </c>
      <c r="E13" s="10" t="s">
        <v>16</v>
      </c>
      <c r="F13" s="10" t="s">
        <v>585</v>
      </c>
      <c r="G13" s="11">
        <v>1.082638888888889</v>
      </c>
      <c r="H13" s="70">
        <v>0.475</v>
      </c>
      <c r="I13" s="70">
        <v>0.07916666666666666</v>
      </c>
      <c r="J13" s="10" t="s">
        <v>595</v>
      </c>
      <c r="K13" s="70">
        <v>0.06388888888888888</v>
      </c>
      <c r="L13" s="10" t="s">
        <v>619</v>
      </c>
      <c r="M13" s="69" t="s">
        <v>353</v>
      </c>
    </row>
    <row r="14">
      <c r="A14" s="10">
        <v>62.5</v>
      </c>
      <c r="B14" s="10">
        <v>250.0</v>
      </c>
      <c r="C14" s="10">
        <v>4.0</v>
      </c>
      <c r="D14" s="10">
        <v>183.0</v>
      </c>
      <c r="E14" s="10" t="s">
        <v>16</v>
      </c>
      <c r="F14" s="10" t="s">
        <v>585</v>
      </c>
      <c r="G14" s="11">
        <v>1.1194444444444445</v>
      </c>
      <c r="H14" s="70">
        <v>0.49027777777777776</v>
      </c>
      <c r="I14" s="70">
        <v>0.08125</v>
      </c>
      <c r="J14" s="10" t="s">
        <v>596</v>
      </c>
      <c r="K14" s="70">
        <v>0.06597222222222222</v>
      </c>
      <c r="L14" s="10" t="s">
        <v>620</v>
      </c>
      <c r="M14" s="69" t="s">
        <v>353</v>
      </c>
    </row>
    <row r="15">
      <c r="A15" s="10">
        <v>100.0</v>
      </c>
      <c r="B15" s="10">
        <v>300.0</v>
      </c>
      <c r="C15" s="10">
        <v>3.0</v>
      </c>
      <c r="D15" s="10">
        <v>153.0</v>
      </c>
      <c r="E15" s="10" t="s">
        <v>16</v>
      </c>
      <c r="F15" s="10" t="s">
        <v>585</v>
      </c>
      <c r="G15" s="11">
        <v>1.1354166666666667</v>
      </c>
      <c r="H15" s="70">
        <v>0.4840277777777778</v>
      </c>
      <c r="I15" s="70">
        <v>0.09791666666666667</v>
      </c>
      <c r="J15" s="70">
        <v>0.04375</v>
      </c>
      <c r="K15" s="70">
        <v>0.06111111111111111</v>
      </c>
      <c r="L15" s="10" t="s">
        <v>618</v>
      </c>
      <c r="M15" s="69" t="s">
        <v>353</v>
      </c>
    </row>
    <row r="16">
      <c r="A16" s="10">
        <v>100.0</v>
      </c>
      <c r="B16" s="10">
        <v>300.0</v>
      </c>
      <c r="C16" s="10">
        <v>3.0</v>
      </c>
      <c r="D16" s="10">
        <v>168.0</v>
      </c>
      <c r="E16" s="10" t="s">
        <v>16</v>
      </c>
      <c r="F16" s="10" t="s">
        <v>585</v>
      </c>
      <c r="G16" s="11">
        <v>1.15625</v>
      </c>
      <c r="H16" s="70">
        <v>0.4930555555555556</v>
      </c>
      <c r="I16" s="70">
        <v>0.09861111111111111</v>
      </c>
      <c r="J16" s="70">
        <v>0.04513888888888889</v>
      </c>
      <c r="K16" s="70">
        <v>0.0625</v>
      </c>
      <c r="L16" s="10" t="s">
        <v>618</v>
      </c>
      <c r="M16" s="69" t="s">
        <v>353</v>
      </c>
    </row>
    <row r="17">
      <c r="A17" s="10">
        <v>100.0</v>
      </c>
      <c r="B17" s="10">
        <v>300.0</v>
      </c>
      <c r="C17" s="10">
        <v>3.0</v>
      </c>
      <c r="D17" s="10">
        <v>183.0</v>
      </c>
      <c r="E17" s="10" t="s">
        <v>19</v>
      </c>
      <c r="F17" s="10" t="s">
        <v>91</v>
      </c>
      <c r="G17" s="11">
        <v>1.1583333333333334</v>
      </c>
      <c r="H17" s="70">
        <v>0.49375</v>
      </c>
      <c r="I17" s="70">
        <v>0.09861111111111111</v>
      </c>
      <c r="J17" s="70">
        <v>0.04583333333333333</v>
      </c>
      <c r="K17" s="70">
        <v>0.06319444444444444</v>
      </c>
      <c r="L17" s="10" t="s">
        <v>619</v>
      </c>
      <c r="M17" s="69" t="s">
        <v>353</v>
      </c>
    </row>
    <row r="18">
      <c r="A18" s="10">
        <v>50.0</v>
      </c>
      <c r="B18" s="10">
        <v>200.0</v>
      </c>
      <c r="C18" s="10">
        <v>4.0</v>
      </c>
      <c r="D18" s="10">
        <v>183.0</v>
      </c>
      <c r="E18" s="10" t="s">
        <v>16</v>
      </c>
      <c r="F18" s="10" t="s">
        <v>585</v>
      </c>
      <c r="G18" s="11">
        <v>1.1666666666666667</v>
      </c>
      <c r="H18" s="70">
        <v>0.5111111111111111</v>
      </c>
      <c r="I18" s="70">
        <v>0.08472222222222223</v>
      </c>
      <c r="J18" s="70">
        <v>0.04375</v>
      </c>
      <c r="K18" s="70">
        <v>0.06805555555555555</v>
      </c>
      <c r="L18" s="10" t="s">
        <v>620</v>
      </c>
      <c r="M18" s="69" t="s">
        <v>353</v>
      </c>
    </row>
    <row r="19">
      <c r="A19" s="10">
        <v>100.0</v>
      </c>
      <c r="B19" s="10">
        <v>300.0</v>
      </c>
      <c r="C19" s="10">
        <v>3.0</v>
      </c>
      <c r="D19" s="10">
        <v>183.0</v>
      </c>
      <c r="E19" s="10" t="s">
        <v>16</v>
      </c>
      <c r="F19" s="10" t="s">
        <v>585</v>
      </c>
      <c r="G19" s="11">
        <v>1.175</v>
      </c>
      <c r="H19" s="70">
        <v>0.5013888888888889</v>
      </c>
      <c r="I19" s="70">
        <v>0.09930555555555555</v>
      </c>
      <c r="J19" s="70">
        <v>0.04722222222222222</v>
      </c>
      <c r="K19" s="70">
        <v>0.06388888888888888</v>
      </c>
      <c r="L19" s="10" t="s">
        <v>619</v>
      </c>
      <c r="M19" s="69" t="s">
        <v>353</v>
      </c>
    </row>
    <row r="20">
      <c r="A20" s="10">
        <v>75.0</v>
      </c>
      <c r="B20" s="10">
        <v>250.0</v>
      </c>
      <c r="C20" s="10">
        <v>3.33</v>
      </c>
      <c r="D20" s="10">
        <v>183.0</v>
      </c>
      <c r="E20" s="10" t="s">
        <v>16</v>
      </c>
      <c r="F20" s="10" t="s">
        <v>585</v>
      </c>
      <c r="G20" s="11">
        <v>1.176388888888889</v>
      </c>
      <c r="H20" s="70">
        <v>0.5076388888888889</v>
      </c>
      <c r="I20" s="70">
        <v>0.09305555555555556</v>
      </c>
      <c r="J20" s="70">
        <v>0.04652777777777778</v>
      </c>
      <c r="K20" s="70">
        <v>0.06597222222222222</v>
      </c>
      <c r="L20" s="10" t="s">
        <v>620</v>
      </c>
      <c r="M20" s="69" t="s">
        <v>353</v>
      </c>
    </row>
    <row r="21">
      <c r="A21" s="10">
        <v>75.0</v>
      </c>
      <c r="B21" s="10">
        <v>225.0</v>
      </c>
      <c r="C21" s="10">
        <v>3.0</v>
      </c>
      <c r="D21" s="10">
        <v>183.0</v>
      </c>
      <c r="E21" s="10" t="s">
        <v>56</v>
      </c>
      <c r="F21" s="10" t="s">
        <v>91</v>
      </c>
      <c r="G21" s="11">
        <v>1.1875</v>
      </c>
      <c r="H21" s="70">
        <v>0.5048611111111111</v>
      </c>
      <c r="I21" s="70">
        <v>0.10277777777777777</v>
      </c>
      <c r="J21" s="70">
        <v>0.04791666666666667</v>
      </c>
      <c r="K21" s="70">
        <v>0.06458333333333334</v>
      </c>
      <c r="L21" s="10" t="s">
        <v>619</v>
      </c>
      <c r="M21" s="69" t="s">
        <v>353</v>
      </c>
    </row>
    <row r="22">
      <c r="A22" s="10">
        <v>75.0</v>
      </c>
      <c r="B22" s="10">
        <v>225.0</v>
      </c>
      <c r="C22" s="10">
        <v>3.0</v>
      </c>
      <c r="D22" s="10">
        <v>183.0</v>
      </c>
      <c r="E22" s="10" t="s">
        <v>621</v>
      </c>
      <c r="F22" s="10" t="s">
        <v>622</v>
      </c>
      <c r="G22" s="11">
        <v>1.1902777777777778</v>
      </c>
      <c r="H22" s="70">
        <v>0.5069444444444444</v>
      </c>
      <c r="I22" s="70">
        <v>0.10277777777777777</v>
      </c>
      <c r="J22" s="70">
        <v>0.04861111111111111</v>
      </c>
      <c r="K22" s="70">
        <v>0.06458333333333334</v>
      </c>
      <c r="L22" s="70" t="s">
        <v>619</v>
      </c>
    </row>
    <row r="23">
      <c r="A23" s="10">
        <v>75.0</v>
      </c>
      <c r="B23" s="10">
        <v>225.0</v>
      </c>
      <c r="C23" s="10">
        <v>3.0</v>
      </c>
      <c r="D23" s="10">
        <v>153.0</v>
      </c>
      <c r="E23" s="10" t="s">
        <v>16</v>
      </c>
      <c r="F23" s="10" t="s">
        <v>585</v>
      </c>
      <c r="G23" s="11">
        <v>1.195138888888889</v>
      </c>
      <c r="H23" s="70">
        <v>0.5097222222222222</v>
      </c>
      <c r="I23" s="70">
        <v>0.10208333333333333</v>
      </c>
      <c r="J23" s="70">
        <v>0.04791666666666667</v>
      </c>
      <c r="K23" s="70">
        <v>0.06527777777777778</v>
      </c>
      <c r="L23" s="10" t="s">
        <v>619</v>
      </c>
      <c r="M23" s="69" t="s">
        <v>353</v>
      </c>
    </row>
    <row r="24">
      <c r="A24" s="10">
        <v>75.0</v>
      </c>
      <c r="B24" s="10">
        <v>225.0</v>
      </c>
      <c r="C24" s="10">
        <v>3.0</v>
      </c>
      <c r="D24" s="10">
        <v>183.0</v>
      </c>
      <c r="E24" s="10" t="s">
        <v>56</v>
      </c>
      <c r="F24" s="10" t="s">
        <v>585</v>
      </c>
      <c r="G24" s="11">
        <v>1.2041666666666666</v>
      </c>
      <c r="H24" s="70">
        <v>0.5118055555555555</v>
      </c>
      <c r="I24" s="70">
        <v>0.10277777777777777</v>
      </c>
      <c r="J24" s="70">
        <v>0.049305555555555554</v>
      </c>
      <c r="K24" s="70">
        <v>0.06527777777777778</v>
      </c>
      <c r="L24" s="10" t="s">
        <v>620</v>
      </c>
      <c r="M24" s="69" t="s">
        <v>353</v>
      </c>
    </row>
    <row r="25">
      <c r="A25" s="10">
        <v>75.0</v>
      </c>
      <c r="B25" s="10">
        <v>225.0</v>
      </c>
      <c r="C25" s="10">
        <v>3.0</v>
      </c>
      <c r="D25" s="10">
        <v>183.0</v>
      </c>
      <c r="E25" s="10" t="s">
        <v>623</v>
      </c>
      <c r="F25" s="10" t="s">
        <v>91</v>
      </c>
      <c r="G25" s="11">
        <v>1.2118055555555556</v>
      </c>
      <c r="H25" s="70">
        <v>0.5180555555555556</v>
      </c>
      <c r="I25" s="70">
        <v>0.10069444444444445</v>
      </c>
      <c r="J25" s="70">
        <v>0.049305555555555554</v>
      </c>
      <c r="K25" s="70">
        <v>0.06666666666666667</v>
      </c>
      <c r="L25" s="10" t="s">
        <v>619</v>
      </c>
      <c r="M25" s="69" t="s">
        <v>353</v>
      </c>
    </row>
    <row r="26">
      <c r="A26" s="10">
        <v>75.0</v>
      </c>
      <c r="B26" s="10">
        <v>225.0</v>
      </c>
      <c r="C26" s="10">
        <v>3.0</v>
      </c>
      <c r="D26" s="10">
        <v>183.0</v>
      </c>
      <c r="E26" s="10" t="s">
        <v>58</v>
      </c>
      <c r="F26" s="10" t="s">
        <v>91</v>
      </c>
      <c r="G26" s="11">
        <v>1.2125</v>
      </c>
      <c r="H26" s="70">
        <v>0.5180555555555556</v>
      </c>
      <c r="I26" s="70">
        <v>0.10138888888888889</v>
      </c>
      <c r="J26" s="70">
        <v>0.05</v>
      </c>
      <c r="K26" s="70">
        <v>0.06666666666666667</v>
      </c>
      <c r="L26" s="10" t="s">
        <v>620</v>
      </c>
      <c r="M26" s="69" t="s">
        <v>353</v>
      </c>
    </row>
    <row r="27">
      <c r="A27" s="10">
        <v>83.3</v>
      </c>
      <c r="B27" s="10">
        <v>250.0</v>
      </c>
      <c r="C27" s="10">
        <v>3.0</v>
      </c>
      <c r="D27" s="10">
        <v>183.0</v>
      </c>
      <c r="E27" s="10" t="s">
        <v>16</v>
      </c>
      <c r="F27" s="10" t="s">
        <v>585</v>
      </c>
      <c r="G27" s="11">
        <v>1.2138888888888888</v>
      </c>
      <c r="H27" s="70">
        <v>0.5180555555555556</v>
      </c>
      <c r="I27" s="70">
        <v>0.10208333333333333</v>
      </c>
      <c r="J27" s="70">
        <v>0.05</v>
      </c>
      <c r="K27" s="70">
        <v>0.06597222222222222</v>
      </c>
      <c r="L27" s="10" t="s">
        <v>620</v>
      </c>
      <c r="M27" s="69" t="s">
        <v>353</v>
      </c>
    </row>
    <row r="28">
      <c r="A28" s="10">
        <v>75.0</v>
      </c>
      <c r="B28" s="10">
        <v>225.0</v>
      </c>
      <c r="C28" s="10">
        <v>3.0</v>
      </c>
      <c r="D28" s="10">
        <v>183.0</v>
      </c>
      <c r="E28" s="10" t="s">
        <v>63</v>
      </c>
      <c r="F28" s="10" t="s">
        <v>91</v>
      </c>
      <c r="G28" s="11">
        <v>1.2145833333333333</v>
      </c>
      <c r="H28" s="70">
        <v>0.51875</v>
      </c>
      <c r="I28" s="70">
        <v>0.10208333333333333</v>
      </c>
      <c r="J28" s="70">
        <v>0.049305555555555554</v>
      </c>
      <c r="K28" s="70">
        <v>0.06666666666666667</v>
      </c>
      <c r="L28" s="10" t="s">
        <v>619</v>
      </c>
      <c r="M28" s="69" t="s">
        <v>353</v>
      </c>
    </row>
    <row r="29">
      <c r="A29" s="10">
        <v>75.0</v>
      </c>
      <c r="B29" s="10">
        <v>225.0</v>
      </c>
      <c r="C29" s="10">
        <v>3.0</v>
      </c>
      <c r="D29" s="10">
        <v>183.0</v>
      </c>
      <c r="E29" s="10" t="s">
        <v>75</v>
      </c>
      <c r="F29" s="10" t="s">
        <v>91</v>
      </c>
      <c r="G29" s="11">
        <v>1.2152777777777777</v>
      </c>
      <c r="H29" s="70">
        <v>0.51875</v>
      </c>
      <c r="I29" s="70">
        <v>0.10208333333333333</v>
      </c>
      <c r="J29" s="70">
        <v>0.05</v>
      </c>
      <c r="K29" s="70">
        <v>0.06597222222222222</v>
      </c>
      <c r="L29" s="10" t="s">
        <v>620</v>
      </c>
      <c r="M29" s="69" t="s">
        <v>353</v>
      </c>
    </row>
    <row r="30">
      <c r="A30" s="10">
        <v>75.0</v>
      </c>
      <c r="B30" s="10">
        <v>225.0</v>
      </c>
      <c r="C30" s="10">
        <v>3.0</v>
      </c>
      <c r="D30" s="10">
        <v>183.0</v>
      </c>
      <c r="E30" s="10" t="s">
        <v>58</v>
      </c>
      <c r="F30" s="10" t="s">
        <v>624</v>
      </c>
      <c r="G30" s="11">
        <v>1.2159722222222222</v>
      </c>
      <c r="H30" s="70">
        <v>0.5194444444444445</v>
      </c>
      <c r="I30" s="70">
        <v>0.10138888888888889</v>
      </c>
      <c r="J30" s="70">
        <v>0.05</v>
      </c>
      <c r="K30" s="70">
        <v>0.06666666666666667</v>
      </c>
      <c r="L30" s="10" t="s">
        <v>620</v>
      </c>
      <c r="M30" s="69" t="s">
        <v>353</v>
      </c>
    </row>
    <row r="31">
      <c r="A31" s="10">
        <v>75.0</v>
      </c>
      <c r="B31" s="10">
        <v>225.0</v>
      </c>
      <c r="C31" s="10">
        <v>3.0</v>
      </c>
      <c r="D31" s="10">
        <v>168.0</v>
      </c>
      <c r="E31" s="10" t="s">
        <v>16</v>
      </c>
      <c r="F31" s="10" t="s">
        <v>585</v>
      </c>
      <c r="G31" s="11">
        <v>1.2166666666666666</v>
      </c>
      <c r="H31" s="70">
        <v>0.5194444444444445</v>
      </c>
      <c r="I31" s="70">
        <v>0.10277777777777777</v>
      </c>
      <c r="J31" s="70">
        <v>0.05</v>
      </c>
      <c r="K31" s="70">
        <v>0.06597222222222222</v>
      </c>
      <c r="L31" s="10" t="s">
        <v>620</v>
      </c>
      <c r="M31" s="69" t="s">
        <v>353</v>
      </c>
    </row>
    <row r="32">
      <c r="A32" s="10">
        <v>75.0</v>
      </c>
      <c r="B32" s="10">
        <v>225.0</v>
      </c>
      <c r="C32" s="10">
        <v>3.0</v>
      </c>
      <c r="D32" s="10">
        <v>183.0</v>
      </c>
      <c r="E32" s="10" t="s">
        <v>19</v>
      </c>
      <c r="F32" s="10" t="s">
        <v>91</v>
      </c>
      <c r="G32" s="11">
        <v>1.2166666666666666</v>
      </c>
      <c r="H32" s="70">
        <v>0.5194444444444445</v>
      </c>
      <c r="I32" s="70">
        <v>0.10277777777777777</v>
      </c>
      <c r="J32" s="70">
        <v>0.05</v>
      </c>
      <c r="K32" s="70">
        <v>0.06666666666666667</v>
      </c>
      <c r="L32" s="10" t="s">
        <v>620</v>
      </c>
      <c r="M32" s="69" t="s">
        <v>353</v>
      </c>
    </row>
    <row r="33">
      <c r="A33" s="10">
        <v>75.0</v>
      </c>
      <c r="B33" s="10">
        <v>225.0</v>
      </c>
      <c r="C33" s="10">
        <v>3.0</v>
      </c>
      <c r="D33" s="10">
        <v>183.0</v>
      </c>
      <c r="E33" s="10" t="s">
        <v>225</v>
      </c>
      <c r="F33" s="10" t="s">
        <v>91</v>
      </c>
      <c r="G33" s="11">
        <v>1.21875</v>
      </c>
      <c r="H33" s="70">
        <v>0.5208333333333334</v>
      </c>
      <c r="I33" s="70">
        <v>0.10208333333333333</v>
      </c>
      <c r="J33" s="70">
        <v>0.05</v>
      </c>
      <c r="K33" s="70">
        <v>0.06666666666666667</v>
      </c>
      <c r="L33" s="10" t="s">
        <v>620</v>
      </c>
      <c r="M33" s="69" t="s">
        <v>353</v>
      </c>
    </row>
    <row r="34">
      <c r="A34" s="10">
        <v>75.0</v>
      </c>
      <c r="B34" s="10">
        <v>225.0</v>
      </c>
      <c r="C34" s="10">
        <v>3.0</v>
      </c>
      <c r="D34" s="10">
        <v>183.0</v>
      </c>
      <c r="E34" s="10" t="s">
        <v>205</v>
      </c>
      <c r="F34" s="10" t="s">
        <v>91</v>
      </c>
      <c r="G34" s="11">
        <v>1.2194444444444446</v>
      </c>
      <c r="H34" s="70">
        <v>0.5208333333333334</v>
      </c>
      <c r="I34" s="70">
        <v>0.10208333333333333</v>
      </c>
      <c r="J34" s="70">
        <v>0.05</v>
      </c>
      <c r="K34" s="70">
        <v>0.06736111111111111</v>
      </c>
      <c r="L34" s="10" t="s">
        <v>619</v>
      </c>
      <c r="M34" s="69" t="s">
        <v>353</v>
      </c>
    </row>
    <row r="35">
      <c r="A35" s="10">
        <v>75.0</v>
      </c>
      <c r="B35" s="10">
        <v>225.0</v>
      </c>
      <c r="C35" s="10">
        <v>3.0</v>
      </c>
      <c r="D35" s="10">
        <v>183.0</v>
      </c>
      <c r="E35" s="10" t="s">
        <v>75</v>
      </c>
      <c r="F35" s="10" t="s">
        <v>139</v>
      </c>
      <c r="G35" s="11">
        <v>1.2222222222222223</v>
      </c>
      <c r="H35" s="70">
        <v>0.5222222222222223</v>
      </c>
      <c r="I35" s="70">
        <v>0.10277777777777777</v>
      </c>
      <c r="J35" s="70">
        <v>0.05</v>
      </c>
      <c r="K35" s="70">
        <v>0.06666666666666667</v>
      </c>
      <c r="L35" s="10" t="s">
        <v>620</v>
      </c>
      <c r="M35" s="69" t="s">
        <v>353</v>
      </c>
    </row>
    <row r="36">
      <c r="A36" s="10">
        <v>75.0</v>
      </c>
      <c r="B36" s="10">
        <v>225.0</v>
      </c>
      <c r="C36" s="10">
        <v>3.0</v>
      </c>
      <c r="D36" s="10">
        <v>183.0</v>
      </c>
      <c r="E36" s="10" t="s">
        <v>625</v>
      </c>
      <c r="F36" s="10" t="s">
        <v>91</v>
      </c>
      <c r="G36" s="11">
        <v>1.2222222222222223</v>
      </c>
      <c r="H36" s="70">
        <v>0.5215277777777778</v>
      </c>
      <c r="I36" s="70">
        <v>0.10277777777777777</v>
      </c>
      <c r="J36" s="70">
        <v>0.05</v>
      </c>
      <c r="K36" s="70">
        <v>0.06666666666666667</v>
      </c>
      <c r="L36" s="10" t="s">
        <v>620</v>
      </c>
      <c r="M36" s="69" t="s">
        <v>353</v>
      </c>
    </row>
    <row r="37">
      <c r="A37" s="10">
        <v>75.0</v>
      </c>
      <c r="B37" s="10">
        <v>225.0</v>
      </c>
      <c r="C37" s="10">
        <v>3.0</v>
      </c>
      <c r="D37" s="10">
        <v>183.0</v>
      </c>
      <c r="E37" s="10" t="s">
        <v>16</v>
      </c>
      <c r="F37" s="10" t="s">
        <v>91</v>
      </c>
      <c r="G37" s="11">
        <v>1.2222222222222223</v>
      </c>
      <c r="H37" s="70">
        <v>0.5215277777777778</v>
      </c>
      <c r="I37" s="70">
        <v>0.10277777777777777</v>
      </c>
      <c r="J37" s="70">
        <v>0.05</v>
      </c>
      <c r="K37" s="70">
        <v>0.06666666666666667</v>
      </c>
      <c r="L37" s="10" t="s">
        <v>620</v>
      </c>
      <c r="M37" s="69" t="s">
        <v>353</v>
      </c>
    </row>
    <row r="38">
      <c r="A38" s="10">
        <v>75.0</v>
      </c>
      <c r="B38" s="10">
        <v>225.0</v>
      </c>
      <c r="C38" s="10">
        <v>3.0</v>
      </c>
      <c r="D38" s="10">
        <v>183.0</v>
      </c>
      <c r="E38" s="10" t="s">
        <v>16</v>
      </c>
      <c r="F38" s="10" t="s">
        <v>624</v>
      </c>
      <c r="G38" s="11">
        <v>1.225</v>
      </c>
      <c r="H38" s="70">
        <v>0.5229166666666667</v>
      </c>
      <c r="I38" s="70">
        <v>0.10277777777777777</v>
      </c>
      <c r="J38" s="70">
        <v>0.05</v>
      </c>
      <c r="K38" s="70">
        <v>0.06666666666666667</v>
      </c>
      <c r="L38" s="10" t="s">
        <v>619</v>
      </c>
      <c r="M38" s="69" t="s">
        <v>353</v>
      </c>
    </row>
    <row r="39">
      <c r="A39" s="10">
        <v>75.0</v>
      </c>
      <c r="B39" s="10">
        <v>225.0</v>
      </c>
      <c r="C39" s="10">
        <v>3.0</v>
      </c>
      <c r="D39" s="10">
        <v>183.0</v>
      </c>
      <c r="E39" s="10" t="s">
        <v>16</v>
      </c>
      <c r="F39" s="10" t="s">
        <v>118</v>
      </c>
      <c r="G39" s="11">
        <v>1.225</v>
      </c>
      <c r="H39" s="70">
        <v>0.5229166666666667</v>
      </c>
      <c r="I39" s="70">
        <v>0.10347222222222222</v>
      </c>
      <c r="J39" s="70">
        <v>0.05</v>
      </c>
      <c r="K39" s="70">
        <v>0.06666666666666667</v>
      </c>
      <c r="L39" s="10" t="s">
        <v>620</v>
      </c>
      <c r="M39" s="69" t="s">
        <v>353</v>
      </c>
    </row>
    <row r="40">
      <c r="A40" s="10">
        <v>75.0</v>
      </c>
      <c r="B40" s="10">
        <v>225.0</v>
      </c>
      <c r="C40" s="10">
        <v>3.0</v>
      </c>
      <c r="D40" s="10">
        <v>183.0</v>
      </c>
      <c r="E40" s="10" t="s">
        <v>623</v>
      </c>
      <c r="F40" s="10" t="s">
        <v>585</v>
      </c>
      <c r="G40" s="11">
        <v>1.2256944444444444</v>
      </c>
      <c r="H40" s="70">
        <v>0.525</v>
      </c>
      <c r="I40" s="70">
        <v>0.10138888888888889</v>
      </c>
      <c r="J40" s="70">
        <v>0.050694444444444445</v>
      </c>
      <c r="K40" s="70">
        <v>0.06736111111111111</v>
      </c>
      <c r="L40" s="10" t="s">
        <v>620</v>
      </c>
      <c r="M40" s="69" t="s">
        <v>353</v>
      </c>
    </row>
    <row r="41">
      <c r="A41" s="10">
        <v>75.0</v>
      </c>
      <c r="B41" s="10">
        <v>225.0</v>
      </c>
      <c r="C41" s="10">
        <v>3.0</v>
      </c>
      <c r="D41" s="10">
        <v>183.0</v>
      </c>
      <c r="E41" s="10" t="s">
        <v>58</v>
      </c>
      <c r="F41" s="10" t="s">
        <v>585</v>
      </c>
      <c r="G41" s="11">
        <v>1.2277777777777779</v>
      </c>
      <c r="H41" s="70">
        <v>0.525</v>
      </c>
      <c r="I41" s="70">
        <v>0.10208333333333333</v>
      </c>
      <c r="J41" s="70">
        <v>0.050694444444444445</v>
      </c>
      <c r="K41" s="70">
        <v>0.06736111111111111</v>
      </c>
      <c r="L41" s="10" t="s">
        <v>620</v>
      </c>
      <c r="M41" s="69" t="s">
        <v>353</v>
      </c>
    </row>
    <row r="42">
      <c r="A42" s="10">
        <v>75.0</v>
      </c>
      <c r="B42" s="10">
        <v>225.0</v>
      </c>
      <c r="C42" s="10">
        <v>3.0</v>
      </c>
      <c r="D42" s="10">
        <v>183.0</v>
      </c>
      <c r="E42" s="10" t="s">
        <v>626</v>
      </c>
      <c r="F42" s="10" t="s">
        <v>351</v>
      </c>
      <c r="G42" s="11">
        <v>1.2291666666666667</v>
      </c>
      <c r="H42" s="70">
        <v>0.5256944444444445</v>
      </c>
      <c r="I42" s="70">
        <v>0.10277777777777777</v>
      </c>
      <c r="J42" s="70">
        <v>0.050694444444444445</v>
      </c>
      <c r="K42" s="70">
        <v>0.06736111111111111</v>
      </c>
      <c r="L42" s="10" t="s">
        <v>619</v>
      </c>
      <c r="M42" s="69" t="s">
        <v>353</v>
      </c>
    </row>
    <row r="43">
      <c r="A43" s="10">
        <v>75.0</v>
      </c>
      <c r="B43" s="10">
        <v>225.0</v>
      </c>
      <c r="C43" s="10">
        <v>3.0</v>
      </c>
      <c r="D43" s="10">
        <v>183.0</v>
      </c>
      <c r="E43" s="10" t="s">
        <v>16</v>
      </c>
      <c r="F43" s="10" t="s">
        <v>627</v>
      </c>
      <c r="G43" s="11">
        <v>1.2291666666666667</v>
      </c>
      <c r="H43" s="70">
        <v>0.525</v>
      </c>
      <c r="I43" s="70">
        <v>0.10277777777777777</v>
      </c>
      <c r="J43" s="70">
        <v>0.050694444444444445</v>
      </c>
      <c r="K43" s="70">
        <v>0.06736111111111111</v>
      </c>
      <c r="L43" s="10" t="s">
        <v>620</v>
      </c>
      <c r="M43" s="69" t="s">
        <v>353</v>
      </c>
    </row>
    <row r="44">
      <c r="A44" s="10">
        <v>75.0</v>
      </c>
      <c r="B44" s="10">
        <v>225.0</v>
      </c>
      <c r="C44" s="10">
        <v>3.0</v>
      </c>
      <c r="D44" s="10">
        <v>183.0</v>
      </c>
      <c r="E44" s="10" t="s">
        <v>16</v>
      </c>
      <c r="F44" s="10" t="s">
        <v>139</v>
      </c>
      <c r="G44" s="11">
        <v>1.2291666666666667</v>
      </c>
      <c r="H44" s="70">
        <v>0.5243055555555556</v>
      </c>
      <c r="I44" s="70">
        <v>0.10277777777777777</v>
      </c>
      <c r="J44" s="70">
        <v>0.050694444444444445</v>
      </c>
      <c r="K44" s="70">
        <v>0.06736111111111111</v>
      </c>
      <c r="L44" s="10" t="s">
        <v>620</v>
      </c>
      <c r="M44" s="69" t="s">
        <v>353</v>
      </c>
    </row>
    <row r="45">
      <c r="A45" s="10">
        <v>75.0</v>
      </c>
      <c r="B45" s="10">
        <v>225.0</v>
      </c>
      <c r="C45" s="10">
        <v>3.0</v>
      </c>
      <c r="D45" s="10">
        <v>183.0</v>
      </c>
      <c r="E45" s="10" t="s">
        <v>63</v>
      </c>
      <c r="F45" s="10" t="s">
        <v>585</v>
      </c>
      <c r="G45" s="11">
        <v>1.229861111111111</v>
      </c>
      <c r="H45" s="70">
        <v>0.5263888888888889</v>
      </c>
      <c r="I45" s="70">
        <v>0.10208333333333333</v>
      </c>
      <c r="J45" s="70">
        <v>0.050694444444444445</v>
      </c>
      <c r="K45" s="70">
        <v>0.06736111111111111</v>
      </c>
      <c r="L45" s="10" t="s">
        <v>620</v>
      </c>
      <c r="M45" s="69" t="s">
        <v>353</v>
      </c>
    </row>
    <row r="46">
      <c r="A46" s="10">
        <v>75.0</v>
      </c>
      <c r="B46" s="10">
        <v>225.0</v>
      </c>
      <c r="C46" s="10">
        <v>3.0</v>
      </c>
      <c r="D46" s="10">
        <v>183.0</v>
      </c>
      <c r="E46" s="10" t="s">
        <v>75</v>
      </c>
      <c r="F46" s="10" t="s">
        <v>585</v>
      </c>
      <c r="G46" s="11">
        <v>1.2305555555555556</v>
      </c>
      <c r="H46" s="70">
        <v>0.5256944444444445</v>
      </c>
      <c r="I46" s="70">
        <v>0.10277777777777777</v>
      </c>
      <c r="J46" s="70">
        <v>0.050694444444444445</v>
      </c>
      <c r="K46" s="70">
        <v>0.06736111111111111</v>
      </c>
      <c r="L46" s="10" t="s">
        <v>620</v>
      </c>
      <c r="M46" s="69" t="s">
        <v>353</v>
      </c>
    </row>
    <row r="47">
      <c r="A47" s="10">
        <v>75.0</v>
      </c>
      <c r="B47" s="10">
        <v>225.0</v>
      </c>
      <c r="C47" s="10">
        <v>3.0</v>
      </c>
      <c r="D47" s="10">
        <v>183.0</v>
      </c>
      <c r="E47" s="10" t="s">
        <v>225</v>
      </c>
      <c r="F47" s="10" t="s">
        <v>188</v>
      </c>
      <c r="G47" s="11">
        <v>1.23125</v>
      </c>
      <c r="H47" s="70">
        <v>0.5270833333333333</v>
      </c>
      <c r="I47" s="70">
        <v>0.10138888888888889</v>
      </c>
      <c r="J47" s="70">
        <v>0.050694444444444445</v>
      </c>
      <c r="K47" s="70">
        <v>0.06805555555555555</v>
      </c>
      <c r="L47" s="10" t="s">
        <v>620</v>
      </c>
      <c r="M47" s="69" t="s">
        <v>353</v>
      </c>
    </row>
    <row r="48">
      <c r="A48" s="10">
        <v>75.0</v>
      </c>
      <c r="B48" s="10">
        <v>225.0</v>
      </c>
      <c r="C48" s="10">
        <v>3.0</v>
      </c>
      <c r="D48" s="10">
        <v>183.0</v>
      </c>
      <c r="E48" s="10" t="s">
        <v>16</v>
      </c>
      <c r="F48" s="10" t="s">
        <v>628</v>
      </c>
      <c r="G48" s="11">
        <v>1.2319444444444445</v>
      </c>
      <c r="H48" s="70">
        <v>0.5263888888888889</v>
      </c>
      <c r="I48" s="70">
        <v>0.10277777777777777</v>
      </c>
      <c r="J48" s="70">
        <v>0.05138888888888889</v>
      </c>
      <c r="K48" s="70">
        <v>0.06805555555555555</v>
      </c>
      <c r="L48" s="10" t="s">
        <v>619</v>
      </c>
      <c r="M48" s="69" t="s">
        <v>353</v>
      </c>
    </row>
    <row r="49">
      <c r="A49" s="10">
        <v>75.0</v>
      </c>
      <c r="B49" s="10">
        <v>225.0</v>
      </c>
      <c r="C49" s="10">
        <v>3.0</v>
      </c>
      <c r="D49" s="10">
        <v>183.0</v>
      </c>
      <c r="E49" s="10" t="s">
        <v>19</v>
      </c>
      <c r="F49" s="10" t="s">
        <v>585</v>
      </c>
      <c r="G49" s="11">
        <v>1.2319444444444445</v>
      </c>
      <c r="H49" s="70">
        <v>0.5263888888888889</v>
      </c>
      <c r="I49" s="70">
        <v>0.10277777777777777</v>
      </c>
      <c r="J49" s="70">
        <v>0.05138888888888889</v>
      </c>
      <c r="K49" s="70">
        <v>0.06736111111111111</v>
      </c>
      <c r="L49" s="10" t="s">
        <v>620</v>
      </c>
      <c r="M49" s="69" t="s">
        <v>353</v>
      </c>
    </row>
    <row r="50">
      <c r="A50" s="10">
        <v>75.0</v>
      </c>
      <c r="B50" s="10">
        <v>225.0</v>
      </c>
      <c r="C50" s="10">
        <v>3.0</v>
      </c>
      <c r="D50" s="10">
        <v>183.0</v>
      </c>
      <c r="E50" s="10" t="s">
        <v>225</v>
      </c>
      <c r="F50" s="10" t="s">
        <v>585</v>
      </c>
      <c r="G50" s="11">
        <v>1.2333333333333334</v>
      </c>
      <c r="H50" s="70">
        <v>0.5277777777777778</v>
      </c>
      <c r="I50" s="70">
        <v>0.10208333333333333</v>
      </c>
      <c r="J50" s="70">
        <v>0.05138888888888889</v>
      </c>
      <c r="K50" s="70">
        <v>0.06805555555555555</v>
      </c>
      <c r="L50" s="10" t="s">
        <v>620</v>
      </c>
      <c r="M50" s="69" t="s">
        <v>353</v>
      </c>
    </row>
    <row r="51">
      <c r="A51" s="10">
        <v>75.0</v>
      </c>
      <c r="B51" s="10">
        <v>225.0</v>
      </c>
      <c r="C51" s="10">
        <v>3.0</v>
      </c>
      <c r="D51" s="10">
        <v>183.0</v>
      </c>
      <c r="E51" s="10" t="s">
        <v>221</v>
      </c>
      <c r="F51" s="10" t="s">
        <v>585</v>
      </c>
      <c r="G51" s="11">
        <v>1.2340277777777777</v>
      </c>
      <c r="H51" s="70">
        <v>0.5284722222222222</v>
      </c>
      <c r="I51" s="70">
        <v>0.10277777777777777</v>
      </c>
      <c r="J51" s="70">
        <v>0.05138888888888889</v>
      </c>
      <c r="K51" s="70">
        <v>0.06805555555555555</v>
      </c>
      <c r="L51" s="10" t="s">
        <v>620</v>
      </c>
      <c r="M51" s="69" t="s">
        <v>353</v>
      </c>
    </row>
    <row r="52">
      <c r="A52" s="10">
        <v>75.0</v>
      </c>
      <c r="B52" s="10">
        <v>225.0</v>
      </c>
      <c r="C52" s="10">
        <v>3.0</v>
      </c>
      <c r="D52" s="10">
        <v>183.0</v>
      </c>
      <c r="E52" s="10" t="s">
        <v>16</v>
      </c>
      <c r="F52" s="10" t="s">
        <v>188</v>
      </c>
      <c r="G52" s="11">
        <v>1.2340277777777777</v>
      </c>
      <c r="H52" s="70">
        <v>0.5277777777777778</v>
      </c>
      <c r="I52" s="70">
        <v>0.10277777777777777</v>
      </c>
      <c r="J52" s="70">
        <v>0.05138888888888889</v>
      </c>
      <c r="K52" s="70">
        <v>0.06736111111111111</v>
      </c>
      <c r="L52" s="10" t="s">
        <v>620</v>
      </c>
      <c r="M52" s="69" t="s">
        <v>353</v>
      </c>
    </row>
    <row r="53">
      <c r="A53" s="10">
        <v>75.0</v>
      </c>
      <c r="B53" s="10">
        <v>225.0</v>
      </c>
      <c r="C53" s="10">
        <v>3.0</v>
      </c>
      <c r="D53" s="10">
        <v>183.0</v>
      </c>
      <c r="E53" s="10" t="s">
        <v>205</v>
      </c>
      <c r="F53" s="10" t="s">
        <v>585</v>
      </c>
      <c r="G53" s="11">
        <v>1.2347222222222223</v>
      </c>
      <c r="H53" s="70">
        <v>0.5277777777777778</v>
      </c>
      <c r="I53" s="70">
        <v>0.10208333333333333</v>
      </c>
      <c r="J53" s="70">
        <v>0.05138888888888889</v>
      </c>
      <c r="K53" s="70">
        <v>0.06736111111111111</v>
      </c>
      <c r="L53" s="10" t="s">
        <v>620</v>
      </c>
      <c r="M53" s="69" t="s">
        <v>353</v>
      </c>
    </row>
    <row r="54">
      <c r="A54" s="10">
        <v>75.0</v>
      </c>
      <c r="B54" s="10">
        <v>225.0</v>
      </c>
      <c r="C54" s="10">
        <v>3.0</v>
      </c>
      <c r="D54" s="10">
        <v>183.0</v>
      </c>
      <c r="E54" s="10" t="s">
        <v>629</v>
      </c>
      <c r="F54" s="10" t="s">
        <v>253</v>
      </c>
      <c r="G54" s="11">
        <v>1.2347222222222223</v>
      </c>
      <c r="H54" s="70">
        <v>0.5277777777777778</v>
      </c>
      <c r="I54" s="70">
        <v>0.10208333333333333</v>
      </c>
      <c r="J54" s="70">
        <v>0.050694444444444445</v>
      </c>
      <c r="K54" s="70">
        <v>0.06805555555555555</v>
      </c>
      <c r="L54" s="10" t="s">
        <v>620</v>
      </c>
      <c r="M54" s="69" t="s">
        <v>353</v>
      </c>
    </row>
    <row r="55">
      <c r="A55" s="10">
        <v>75.0</v>
      </c>
      <c r="B55" s="10">
        <v>225.0</v>
      </c>
      <c r="C55" s="10">
        <v>3.0</v>
      </c>
      <c r="D55" s="10">
        <v>183.0</v>
      </c>
      <c r="E55" s="10" t="s">
        <v>199</v>
      </c>
      <c r="F55" s="10" t="s">
        <v>585</v>
      </c>
      <c r="G55" s="11">
        <v>1.2354166666666666</v>
      </c>
      <c r="H55" s="70">
        <v>0.5284722222222222</v>
      </c>
      <c r="I55" s="70">
        <v>0.10277777777777777</v>
      </c>
      <c r="J55" s="70">
        <v>0.05138888888888889</v>
      </c>
      <c r="K55" s="70">
        <v>0.06805555555555555</v>
      </c>
      <c r="L55" s="10" t="s">
        <v>620</v>
      </c>
      <c r="M55" s="69" t="s">
        <v>353</v>
      </c>
    </row>
    <row r="56">
      <c r="A56" s="10">
        <v>75.0</v>
      </c>
      <c r="B56" s="10">
        <v>225.0</v>
      </c>
      <c r="C56" s="10">
        <v>3.0</v>
      </c>
      <c r="D56" s="10">
        <v>183.0</v>
      </c>
      <c r="E56" s="10" t="s">
        <v>16</v>
      </c>
      <c r="F56" s="10" t="s">
        <v>585</v>
      </c>
      <c r="G56" s="11">
        <v>1.2354166666666666</v>
      </c>
      <c r="H56" s="70">
        <v>0.5284722222222222</v>
      </c>
      <c r="I56" s="70">
        <v>0.10347222222222222</v>
      </c>
      <c r="J56" s="70">
        <v>0.05138888888888889</v>
      </c>
      <c r="K56" s="70">
        <v>0.06805555555555555</v>
      </c>
      <c r="L56" s="10" t="s">
        <v>620</v>
      </c>
      <c r="M56" s="69" t="s">
        <v>353</v>
      </c>
    </row>
    <row r="57">
      <c r="A57" s="10">
        <v>75.0</v>
      </c>
      <c r="B57" s="10">
        <v>225.0</v>
      </c>
      <c r="C57" s="10">
        <v>3.0</v>
      </c>
      <c r="D57" s="10">
        <v>183.0</v>
      </c>
      <c r="E57" s="10" t="s">
        <v>264</v>
      </c>
      <c r="F57" s="10" t="s">
        <v>585</v>
      </c>
      <c r="G57" s="11">
        <v>1.2354166666666666</v>
      </c>
      <c r="H57" s="70">
        <v>0.5284722222222222</v>
      </c>
      <c r="I57" s="70">
        <v>0.10277777777777777</v>
      </c>
      <c r="J57" s="70">
        <v>0.05138888888888889</v>
      </c>
      <c r="K57" s="70">
        <v>0.06805555555555555</v>
      </c>
      <c r="L57" s="10" t="s">
        <v>620</v>
      </c>
      <c r="M57" s="69" t="s">
        <v>353</v>
      </c>
    </row>
    <row r="58">
      <c r="A58" s="10">
        <v>75.0</v>
      </c>
      <c r="B58" s="10">
        <v>225.0</v>
      </c>
      <c r="C58" s="10">
        <v>3.0</v>
      </c>
      <c r="D58" s="10">
        <v>183.0</v>
      </c>
      <c r="E58" s="10" t="s">
        <v>625</v>
      </c>
      <c r="F58" s="10" t="s">
        <v>585</v>
      </c>
      <c r="G58" s="11">
        <v>1.2368055555555555</v>
      </c>
      <c r="H58" s="70">
        <v>0.5284722222222222</v>
      </c>
      <c r="I58" s="70">
        <v>0.10347222222222222</v>
      </c>
      <c r="J58" s="70">
        <v>0.05138888888888889</v>
      </c>
      <c r="K58" s="70">
        <v>0.06805555555555555</v>
      </c>
      <c r="L58" s="10" t="s">
        <v>620</v>
      </c>
      <c r="M58" s="69" t="s">
        <v>353</v>
      </c>
    </row>
    <row r="59">
      <c r="A59" s="10">
        <v>75.0</v>
      </c>
      <c r="B59" s="10">
        <v>225.0</v>
      </c>
      <c r="C59" s="10">
        <v>3.0</v>
      </c>
      <c r="D59" s="10">
        <v>183.0</v>
      </c>
      <c r="E59" s="10" t="s">
        <v>552</v>
      </c>
      <c r="F59" s="10" t="s">
        <v>585</v>
      </c>
      <c r="G59" s="11">
        <v>1.2375</v>
      </c>
      <c r="H59" s="70">
        <v>0.5284722222222222</v>
      </c>
      <c r="I59" s="70">
        <v>0.10416666666666667</v>
      </c>
      <c r="J59" s="70">
        <v>0.05138888888888889</v>
      </c>
      <c r="K59" s="70">
        <v>0.06805555555555555</v>
      </c>
      <c r="L59" s="10" t="s">
        <v>620</v>
      </c>
      <c r="M59" s="69" t="s">
        <v>353</v>
      </c>
    </row>
    <row r="60">
      <c r="A60" s="10">
        <v>75.0</v>
      </c>
      <c r="B60" s="10">
        <v>225.0</v>
      </c>
      <c r="C60" s="10">
        <v>3.0</v>
      </c>
      <c r="D60" s="10">
        <v>183.0</v>
      </c>
      <c r="E60" s="10" t="s">
        <v>16</v>
      </c>
      <c r="F60" s="10" t="s">
        <v>551</v>
      </c>
      <c r="G60" s="11">
        <v>1.238888888888889</v>
      </c>
      <c r="H60" s="70">
        <v>0.5298611111111111</v>
      </c>
      <c r="I60" s="70">
        <v>0.10347222222222222</v>
      </c>
      <c r="J60" s="70">
        <v>0.052083333333333336</v>
      </c>
      <c r="K60" s="70">
        <v>0.06805555555555555</v>
      </c>
      <c r="L60" s="10" t="s">
        <v>620</v>
      </c>
      <c r="M60" s="69" t="s">
        <v>353</v>
      </c>
    </row>
    <row r="61">
      <c r="A61" s="10">
        <v>75.0</v>
      </c>
      <c r="B61" s="10">
        <v>225.0</v>
      </c>
      <c r="C61" s="10">
        <v>3.0</v>
      </c>
      <c r="D61" s="10">
        <v>183.0</v>
      </c>
      <c r="E61" s="10" t="s">
        <v>306</v>
      </c>
      <c r="F61" s="10" t="s">
        <v>585</v>
      </c>
      <c r="G61" s="11">
        <v>1.2395833333333333</v>
      </c>
      <c r="H61" s="70">
        <v>0.5284722222222222</v>
      </c>
      <c r="I61" s="70">
        <v>0.10416666666666667</v>
      </c>
      <c r="J61" s="70">
        <v>0.05138888888888889</v>
      </c>
      <c r="K61" s="70">
        <v>0.06805555555555555</v>
      </c>
      <c r="L61" s="10" t="s">
        <v>620</v>
      </c>
      <c r="M61" s="69" t="s">
        <v>353</v>
      </c>
    </row>
    <row r="62">
      <c r="A62" s="10">
        <v>100.0</v>
      </c>
      <c r="B62" s="10">
        <v>250.0</v>
      </c>
      <c r="C62" s="10">
        <v>2.5</v>
      </c>
      <c r="D62" s="10">
        <v>183.0</v>
      </c>
      <c r="E62" s="10" t="s">
        <v>16</v>
      </c>
      <c r="F62" s="10" t="s">
        <v>585</v>
      </c>
      <c r="G62" s="11">
        <v>1.28125</v>
      </c>
      <c r="H62" s="70">
        <v>0.5340277777777778</v>
      </c>
      <c r="I62" s="70">
        <v>0.11805555555555555</v>
      </c>
      <c r="J62" s="70">
        <v>0.05625</v>
      </c>
      <c r="K62" s="70">
        <v>0.06666666666666667</v>
      </c>
      <c r="L62" s="10" t="s">
        <v>619</v>
      </c>
      <c r="M62" s="69" t="s">
        <v>353</v>
      </c>
    </row>
    <row r="63">
      <c r="A63" s="10">
        <v>50.0</v>
      </c>
      <c r="B63" s="10">
        <v>150.0</v>
      </c>
      <c r="C63" s="10">
        <v>3.0</v>
      </c>
      <c r="D63" s="10">
        <v>153.0</v>
      </c>
      <c r="E63" s="10" t="s">
        <v>16</v>
      </c>
      <c r="F63" s="10" t="s">
        <v>585</v>
      </c>
      <c r="G63" s="11">
        <v>1.2875</v>
      </c>
      <c r="H63" s="70">
        <v>0.5486111111111112</v>
      </c>
      <c r="I63" s="70">
        <v>0.10902777777777778</v>
      </c>
      <c r="J63" s="70">
        <v>0.05555555555555555</v>
      </c>
      <c r="K63" s="70">
        <v>0.07013888888888889</v>
      </c>
      <c r="L63" s="10" t="s">
        <v>620</v>
      </c>
      <c r="M63" s="69" t="s">
        <v>353</v>
      </c>
    </row>
    <row r="64">
      <c r="A64" s="10">
        <v>37.5</v>
      </c>
      <c r="B64" s="10">
        <v>150.0</v>
      </c>
      <c r="C64" s="10">
        <v>4.0</v>
      </c>
      <c r="D64" s="10">
        <v>183.0</v>
      </c>
      <c r="E64" s="10" t="s">
        <v>16</v>
      </c>
      <c r="F64" s="10" t="s">
        <v>585</v>
      </c>
      <c r="G64" s="11">
        <v>1.2930555555555556</v>
      </c>
      <c r="H64" s="70">
        <v>0.5583333333333333</v>
      </c>
      <c r="I64" s="70">
        <v>0.10138888888888889</v>
      </c>
      <c r="J64" s="70">
        <v>0.05416666666666667</v>
      </c>
      <c r="K64" s="70">
        <v>0.07222222222222222</v>
      </c>
      <c r="L64" s="10" t="s">
        <v>630</v>
      </c>
      <c r="M64" s="69" t="s">
        <v>353</v>
      </c>
    </row>
    <row r="65">
      <c r="A65" s="10">
        <v>75.0</v>
      </c>
      <c r="B65" s="10">
        <v>200.0</v>
      </c>
      <c r="C65" s="10">
        <v>2.67</v>
      </c>
      <c r="D65" s="10">
        <v>183.0</v>
      </c>
      <c r="E65" s="10" t="s">
        <v>16</v>
      </c>
      <c r="F65" s="10" t="s">
        <v>585</v>
      </c>
      <c r="G65" s="11">
        <v>1.3090277777777777</v>
      </c>
      <c r="H65" s="70">
        <v>0.5527777777777778</v>
      </c>
      <c r="I65" s="70">
        <v>0.11527777777777778</v>
      </c>
      <c r="J65" s="70">
        <v>0.05763888888888889</v>
      </c>
      <c r="K65" s="70">
        <v>0.06944444444444445</v>
      </c>
      <c r="L65" s="10" t="s">
        <v>620</v>
      </c>
      <c r="M65" s="69" t="s">
        <v>353</v>
      </c>
    </row>
    <row r="66">
      <c r="A66" s="10">
        <v>50.0</v>
      </c>
      <c r="B66" s="10">
        <v>150.0</v>
      </c>
      <c r="C66" s="10">
        <v>3.0</v>
      </c>
      <c r="D66" s="10">
        <v>168.0</v>
      </c>
      <c r="E66" s="10" t="s">
        <v>16</v>
      </c>
      <c r="F66" s="10" t="s">
        <v>585</v>
      </c>
      <c r="G66" s="11">
        <v>1.3104166666666666</v>
      </c>
      <c r="H66" s="70">
        <v>0.5590277777777778</v>
      </c>
      <c r="I66" s="70">
        <v>0.10902777777777778</v>
      </c>
      <c r="J66" s="70">
        <v>0.05625</v>
      </c>
      <c r="K66" s="70">
        <v>0.07152777777777777</v>
      </c>
      <c r="L66" s="10" t="s">
        <v>630</v>
      </c>
      <c r="M66" s="69" t="s">
        <v>353</v>
      </c>
    </row>
    <row r="67">
      <c r="A67" s="10">
        <v>50.0</v>
      </c>
      <c r="B67" s="10">
        <v>150.0</v>
      </c>
      <c r="C67" s="10">
        <v>3.0</v>
      </c>
      <c r="D67" s="10">
        <v>183.0</v>
      </c>
      <c r="E67" s="10" t="s">
        <v>16</v>
      </c>
      <c r="F67" s="10" t="s">
        <v>585</v>
      </c>
      <c r="G67" s="11">
        <v>1.33125</v>
      </c>
      <c r="H67" s="70">
        <v>0.56875</v>
      </c>
      <c r="I67" s="70">
        <v>0.10972222222222222</v>
      </c>
      <c r="J67" s="70">
        <v>0.05763888888888889</v>
      </c>
      <c r="K67" s="70">
        <v>0.07291666666666667</v>
      </c>
      <c r="L67" s="10" t="s">
        <v>631</v>
      </c>
      <c r="M67" s="69" t="s">
        <v>353</v>
      </c>
    </row>
    <row r="68">
      <c r="A68" s="10">
        <v>125.0</v>
      </c>
      <c r="B68" s="10">
        <v>250.0</v>
      </c>
      <c r="C68" s="10">
        <v>2.0</v>
      </c>
      <c r="D68" s="10">
        <v>183.0</v>
      </c>
      <c r="E68" s="10" t="s">
        <v>16</v>
      </c>
      <c r="F68" s="10" t="s">
        <v>585</v>
      </c>
      <c r="G68" s="11">
        <v>1.3868055555555556</v>
      </c>
      <c r="H68" s="70">
        <v>0.5638888888888889</v>
      </c>
      <c r="I68" s="70">
        <v>0.14375</v>
      </c>
      <c r="J68" s="70">
        <v>0.06597222222222222</v>
      </c>
      <c r="K68" s="70">
        <v>0.06736111111111111</v>
      </c>
      <c r="L68" s="10" t="s">
        <v>620</v>
      </c>
      <c r="M68" s="69" t="s">
        <v>353</v>
      </c>
    </row>
    <row r="69">
      <c r="A69" s="10">
        <v>100.0</v>
      </c>
      <c r="B69" s="10">
        <v>200.0</v>
      </c>
      <c r="C69" s="10">
        <v>2.0</v>
      </c>
      <c r="D69" s="10">
        <v>183.0</v>
      </c>
      <c r="E69" s="10" t="s">
        <v>19</v>
      </c>
      <c r="F69" s="10" t="s">
        <v>91</v>
      </c>
      <c r="G69" s="11">
        <v>1.4208333333333334</v>
      </c>
      <c r="H69" s="70">
        <v>0.5784722222222223</v>
      </c>
      <c r="I69" s="70">
        <v>0.14722222222222223</v>
      </c>
      <c r="J69" s="70">
        <v>0.06875</v>
      </c>
      <c r="K69" s="70">
        <v>0.06875</v>
      </c>
      <c r="L69" s="10" t="s">
        <v>630</v>
      </c>
      <c r="M69" s="69" t="s">
        <v>353</v>
      </c>
    </row>
    <row r="70">
      <c r="A70" s="10">
        <v>100.0</v>
      </c>
      <c r="B70" s="10">
        <v>200.0</v>
      </c>
      <c r="C70" s="10">
        <v>2.0</v>
      </c>
      <c r="D70" s="10">
        <v>183.0</v>
      </c>
      <c r="E70" s="10" t="s">
        <v>16</v>
      </c>
      <c r="F70" s="10" t="s">
        <v>585</v>
      </c>
      <c r="G70" s="11">
        <v>1.4409722222222223</v>
      </c>
      <c r="H70" s="70">
        <v>0.5868055555555556</v>
      </c>
      <c r="I70" s="70">
        <v>0.14791666666666667</v>
      </c>
      <c r="J70" s="70">
        <v>0.07083333333333333</v>
      </c>
      <c r="K70" s="70">
        <v>0.07013888888888889</v>
      </c>
      <c r="L70" s="10" t="s">
        <v>630</v>
      </c>
      <c r="M70" s="69" t="s">
        <v>353</v>
      </c>
    </row>
    <row r="71">
      <c r="A71" s="10">
        <v>75.0</v>
      </c>
      <c r="B71" s="10">
        <v>150.0</v>
      </c>
      <c r="C71" s="10">
        <v>2.0</v>
      </c>
      <c r="D71" s="10">
        <v>183.0</v>
      </c>
      <c r="E71" s="10" t="s">
        <v>19</v>
      </c>
      <c r="F71" s="10" t="s">
        <v>91</v>
      </c>
      <c r="G71" s="11">
        <v>1.4916666666666667</v>
      </c>
      <c r="H71" s="70">
        <v>0.6076388888888888</v>
      </c>
      <c r="I71" s="70">
        <v>0.15208333333333332</v>
      </c>
      <c r="J71" s="70">
        <v>0.075</v>
      </c>
      <c r="K71" s="70">
        <v>0.07222222222222222</v>
      </c>
      <c r="L71" s="10" t="s">
        <v>630</v>
      </c>
      <c r="M71" s="69" t="s">
        <v>353</v>
      </c>
    </row>
    <row r="72">
      <c r="A72" s="10">
        <v>75.0</v>
      </c>
      <c r="B72" s="10">
        <v>150.0</v>
      </c>
      <c r="C72" s="10">
        <v>2.0</v>
      </c>
      <c r="D72" s="10">
        <v>183.0</v>
      </c>
      <c r="E72" s="10" t="s">
        <v>16</v>
      </c>
      <c r="F72" s="10" t="s">
        <v>585</v>
      </c>
      <c r="G72" s="11">
        <v>1.5145833333333334</v>
      </c>
      <c r="H72" s="70">
        <v>0.6180555555555556</v>
      </c>
      <c r="I72" s="70">
        <v>0.15347222222222223</v>
      </c>
      <c r="J72" s="70">
        <v>0.07708333333333334</v>
      </c>
      <c r="K72" s="70">
        <v>0.07361111111111111</v>
      </c>
      <c r="L72" s="10" t="s">
        <v>631</v>
      </c>
      <c r="M72" s="69" t="s">
        <v>353</v>
      </c>
    </row>
    <row r="73">
      <c r="A73" s="10">
        <v>100.0</v>
      </c>
      <c r="B73" s="10">
        <v>150.0</v>
      </c>
      <c r="C73" s="10">
        <v>1.5</v>
      </c>
      <c r="D73" s="10">
        <v>183.0</v>
      </c>
      <c r="E73" s="10" t="s">
        <v>16</v>
      </c>
      <c r="F73" s="10" t="s">
        <v>585</v>
      </c>
      <c r="G73" s="11">
        <v>1.6868055555555554</v>
      </c>
      <c r="H73" s="70">
        <v>0.6597222222222222</v>
      </c>
      <c r="I73" s="70">
        <v>0.19722222222222222</v>
      </c>
      <c r="J73" s="70">
        <v>0.09513888888888888</v>
      </c>
      <c r="K73" s="70">
        <v>0.07361111111111111</v>
      </c>
      <c r="L73" s="10" t="s">
        <v>631</v>
      </c>
      <c r="M73" s="69" t="s">
        <v>353</v>
      </c>
    </row>
    <row r="74">
      <c r="A74" s="10"/>
      <c r="B74" s="10"/>
      <c r="C74" s="10"/>
      <c r="D74" s="10"/>
      <c r="E74" s="10"/>
      <c r="F74" s="10"/>
      <c r="G74" s="11"/>
      <c r="H74" s="70"/>
      <c r="I74" s="70"/>
      <c r="J74" s="70"/>
      <c r="K74" s="70"/>
      <c r="L74" s="10"/>
      <c r="M74" s="71"/>
    </row>
  </sheetData>
  <autoFilter ref="$A$1:$M$74"/>
  <customSheetViews>
    <customSheetView guid="{131ED934-56A5-4A4B-9246-8993FA1F050E}" filter="1" showAutoFilter="1">
      <autoFilter ref="$A$1:$M$73">
        <filterColumn colId="4">
          <filters>
            <filter val="Specialized Tarmac"/>
            <filter val="Zwift Carbon"/>
            <filter val="Zwift TT"/>
            <filter val="Buffalo Fahrrad"/>
            <filter val="Zwift Steel"/>
            <filter val="Specialized Shiv 2019"/>
            <filter val="Trek Emonda"/>
            <filter val="Specialized Allez"/>
            <filter val="Pinarello F8"/>
          </filters>
        </filterColumn>
        <filterColumn colId="3">
          <filters>
            <filter val="183"/>
          </filters>
        </filterColumn>
        <filterColumn colId="0">
          <filters>
            <filter val="75"/>
          </filters>
        </filterColumn>
        <filterColumn colId="1">
          <filters>
            <filter val="225"/>
          </filters>
        </filterColumn>
        <filterColumn colId="5">
          <filters>
            <filter val="32mm carbon"/>
            <filter val="Shiv"/>
            <filter val="Zwift Safety"/>
            <filter val="Tron"/>
          </filters>
        </filterColumn>
      </autoFilter>
    </customSheetView>
  </customSheetView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5"/>
    <hyperlink r:id="rId44" ref="M46"/>
    <hyperlink r:id="rId45" ref="M47"/>
    <hyperlink r:id="rId46" ref="M48"/>
    <hyperlink r:id="rId47" ref="M49"/>
    <hyperlink r:id="rId48" ref="M50"/>
    <hyperlink r:id="rId49" ref="M51"/>
    <hyperlink r:id="rId50" ref="M52"/>
    <hyperlink r:id="rId51" ref="M53"/>
    <hyperlink r:id="rId52" ref="M54"/>
    <hyperlink r:id="rId53" ref="M55"/>
    <hyperlink r:id="rId54" ref="M56"/>
    <hyperlink r:id="rId55" ref="M57"/>
    <hyperlink r:id="rId56" ref="M58"/>
    <hyperlink r:id="rId57" ref="M59"/>
    <hyperlink r:id="rId58" ref="M60"/>
    <hyperlink r:id="rId59" ref="M61"/>
    <hyperlink r:id="rId60" ref="M62"/>
    <hyperlink r:id="rId61" ref="M63"/>
    <hyperlink r:id="rId62" ref="M64"/>
    <hyperlink r:id="rId63" ref="M65"/>
    <hyperlink r:id="rId64" ref="M66"/>
    <hyperlink r:id="rId65" ref="M67"/>
    <hyperlink r:id="rId66" ref="M68"/>
    <hyperlink r:id="rId67" ref="M69"/>
    <hyperlink r:id="rId68" ref="M70"/>
    <hyperlink r:id="rId69" ref="M71"/>
    <hyperlink r:id="rId70" ref="M72"/>
    <hyperlink r:id="rId71" ref="M73"/>
  </hyperlinks>
  <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  <col customWidth="1" min="6" max="7" width="16.75"/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0"/>
      <c r="J1" s="1" t="s">
        <v>8</v>
      </c>
      <c r="K1" s="2"/>
    </row>
    <row r="2">
      <c r="A2" s="4">
        <v>90.0</v>
      </c>
      <c r="B2" s="4">
        <v>360.0</v>
      </c>
      <c r="C2" s="3">
        <f t="shared" ref="C2:C202" si="1">B2/A2</f>
        <v>4</v>
      </c>
      <c r="D2" s="3">
        <v>183.0</v>
      </c>
      <c r="E2" s="3" t="s">
        <v>94</v>
      </c>
      <c r="F2" s="3" t="s">
        <v>10</v>
      </c>
      <c r="G2" s="3" t="s">
        <v>133</v>
      </c>
      <c r="H2" s="5">
        <v>0.033310185185185186</v>
      </c>
      <c r="I2" s="8"/>
      <c r="J2" s="31" t="s">
        <v>311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20">
        <v>75.0</v>
      </c>
      <c r="B3" s="20">
        <v>300.0</v>
      </c>
      <c r="C3" s="20">
        <f t="shared" si="1"/>
        <v>4</v>
      </c>
      <c r="D3" s="20">
        <v>183.0</v>
      </c>
      <c r="E3" s="4" t="s">
        <v>94</v>
      </c>
      <c r="F3" s="10" t="s">
        <v>10</v>
      </c>
      <c r="G3" s="10" t="s">
        <v>133</v>
      </c>
      <c r="H3" s="5">
        <v>0.03351851851851852</v>
      </c>
      <c r="I3" s="32" t="str">
        <f>HYPERLINK("https://www.strava.com/activities/3380472632","Strava")</f>
        <v>Strava</v>
      </c>
      <c r="J3" s="33" t="s">
        <v>312</v>
      </c>
      <c r="K3" s="7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10">
        <v>75.0</v>
      </c>
      <c r="B4" s="10">
        <v>375.0</v>
      </c>
      <c r="C4" s="10">
        <f t="shared" si="1"/>
        <v>5</v>
      </c>
      <c r="D4" s="10">
        <v>183.0</v>
      </c>
      <c r="E4" s="10" t="s">
        <v>13</v>
      </c>
      <c r="F4" s="10" t="s">
        <v>10</v>
      </c>
      <c r="G4" s="10" t="s">
        <v>14</v>
      </c>
      <c r="H4" s="11">
        <v>0.027766203703703703</v>
      </c>
      <c r="I4" s="12" t="s">
        <v>313</v>
      </c>
      <c r="J4" s="2"/>
      <c r="K4" s="17" t="s">
        <v>314</v>
      </c>
    </row>
    <row r="5">
      <c r="A5" s="4">
        <v>90.0</v>
      </c>
      <c r="B5" s="4">
        <v>360.0</v>
      </c>
      <c r="C5" s="3">
        <f t="shared" si="1"/>
        <v>4</v>
      </c>
      <c r="D5" s="3">
        <v>183.0</v>
      </c>
      <c r="E5" s="10" t="s">
        <v>9</v>
      </c>
      <c r="F5" s="10" t="s">
        <v>10</v>
      </c>
      <c r="G5" s="10" t="s">
        <v>11</v>
      </c>
      <c r="H5" s="5">
        <v>0.03365740740740741</v>
      </c>
      <c r="I5" s="7"/>
      <c r="J5" s="34" t="s">
        <v>311</v>
      </c>
      <c r="K5" s="7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229</v>
      </c>
      <c r="F6" s="10" t="s">
        <v>10</v>
      </c>
      <c r="G6" s="10" t="s">
        <v>145</v>
      </c>
      <c r="H6" s="11">
        <v>0.033715277777777775</v>
      </c>
      <c r="I6" s="12" t="s">
        <v>315</v>
      </c>
      <c r="J6" s="2"/>
      <c r="K6" s="17"/>
    </row>
    <row r="7">
      <c r="A7" s="20">
        <v>75.0</v>
      </c>
      <c r="B7" s="20">
        <v>300.0</v>
      </c>
      <c r="C7" s="20">
        <f t="shared" si="1"/>
        <v>4</v>
      </c>
      <c r="D7" s="20">
        <v>183.0</v>
      </c>
      <c r="E7" s="4" t="s">
        <v>316</v>
      </c>
      <c r="F7" s="10" t="s">
        <v>10</v>
      </c>
      <c r="G7" s="4" t="s">
        <v>133</v>
      </c>
      <c r="H7" s="5">
        <v>0.03378472222222222</v>
      </c>
      <c r="I7" s="32" t="str">
        <f>HYPERLINK("https://www.strava.com/activities/2194325895","Strava")</f>
        <v>Strava</v>
      </c>
      <c r="J7" s="33" t="s">
        <v>317</v>
      </c>
      <c r="K7" s="7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 t="s">
        <v>318</v>
      </c>
      <c r="F8" s="10" t="s">
        <v>10</v>
      </c>
      <c r="G8" s="10" t="s">
        <v>133</v>
      </c>
      <c r="H8" s="11">
        <v>0.033796296296296297</v>
      </c>
      <c r="I8" s="12" t="s">
        <v>319</v>
      </c>
      <c r="J8" s="2"/>
      <c r="K8" s="17" t="s">
        <v>320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 t="s">
        <v>94</v>
      </c>
      <c r="F9" s="10" t="s">
        <v>10</v>
      </c>
      <c r="G9" s="10" t="s">
        <v>133</v>
      </c>
      <c r="H9" s="11">
        <v>0.03380787037037037</v>
      </c>
      <c r="I9" s="12" t="s">
        <v>321</v>
      </c>
      <c r="J9" s="2"/>
      <c r="K9" s="17"/>
    </row>
    <row r="10">
      <c r="A10" s="10">
        <v>75.0</v>
      </c>
      <c r="B10" s="10">
        <v>375.0</v>
      </c>
      <c r="C10" s="10">
        <f t="shared" si="1"/>
        <v>5</v>
      </c>
      <c r="D10" s="10">
        <v>183.0</v>
      </c>
      <c r="E10" s="10" t="s">
        <v>16</v>
      </c>
      <c r="F10" s="10" t="s">
        <v>10</v>
      </c>
      <c r="G10" s="10" t="s">
        <v>17</v>
      </c>
      <c r="H10" s="11">
        <v>0.02826388888888889</v>
      </c>
      <c r="I10" s="12" t="s">
        <v>322</v>
      </c>
      <c r="J10" s="2"/>
      <c r="K10" s="17" t="s">
        <v>314</v>
      </c>
    </row>
    <row r="11">
      <c r="A11" s="10">
        <v>75.0</v>
      </c>
      <c r="B11" s="10">
        <v>300.0</v>
      </c>
      <c r="C11" s="10">
        <f t="shared" si="1"/>
        <v>4</v>
      </c>
      <c r="D11" s="10">
        <v>183.0</v>
      </c>
      <c r="E11" s="10" t="s">
        <v>207</v>
      </c>
      <c r="F11" s="10" t="s">
        <v>10</v>
      </c>
      <c r="G11" s="10" t="s">
        <v>133</v>
      </c>
      <c r="H11" s="11">
        <v>0.033819444444444444</v>
      </c>
      <c r="I11" s="12" t="s">
        <v>323</v>
      </c>
      <c r="J11" s="2"/>
      <c r="K11" s="17"/>
    </row>
    <row r="12">
      <c r="A12" s="10">
        <v>100.0</v>
      </c>
      <c r="B12" s="10">
        <v>400.0</v>
      </c>
      <c r="C12" s="10">
        <f t="shared" si="1"/>
        <v>4</v>
      </c>
      <c r="D12" s="10">
        <v>183.0</v>
      </c>
      <c r="E12" s="10" t="s">
        <v>19</v>
      </c>
      <c r="F12" s="10" t="s">
        <v>10</v>
      </c>
      <c r="G12" s="10" t="s">
        <v>17</v>
      </c>
      <c r="H12" s="11">
        <v>0.03346064814814815</v>
      </c>
      <c r="I12" s="12" t="s">
        <v>324</v>
      </c>
      <c r="J12" s="2"/>
      <c r="K12" s="2"/>
    </row>
    <row r="13">
      <c r="A13" s="20">
        <v>75.0</v>
      </c>
      <c r="B13" s="20">
        <v>300.0</v>
      </c>
      <c r="C13" s="20">
        <f t="shared" si="1"/>
        <v>4</v>
      </c>
      <c r="D13" s="20">
        <v>183.0</v>
      </c>
      <c r="E13" s="4" t="s">
        <v>325</v>
      </c>
      <c r="F13" s="10" t="s">
        <v>10</v>
      </c>
      <c r="G13" s="4" t="s">
        <v>133</v>
      </c>
      <c r="H13" s="5">
        <v>0.033819444444444444</v>
      </c>
      <c r="I13" s="32" t="str">
        <f>HYPERLINK("https://www.strava.com/activities/2194326658","Strava")</f>
        <v>Strava</v>
      </c>
      <c r="J13" s="33" t="s">
        <v>326</v>
      </c>
      <c r="K13" s="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10">
        <v>75.0</v>
      </c>
      <c r="B14" s="10">
        <v>300.0</v>
      </c>
      <c r="C14" s="10">
        <f t="shared" si="1"/>
        <v>4</v>
      </c>
      <c r="D14" s="10">
        <v>183.0</v>
      </c>
      <c r="E14" s="10" t="s">
        <v>94</v>
      </c>
      <c r="F14" s="10" t="s">
        <v>10</v>
      </c>
      <c r="G14" s="10" t="s">
        <v>133</v>
      </c>
      <c r="H14" s="5">
        <v>0.033819444444444444</v>
      </c>
      <c r="I14" s="12" t="s">
        <v>327</v>
      </c>
      <c r="J14" s="17" t="s">
        <v>298</v>
      </c>
      <c r="K14" s="2"/>
    </row>
    <row r="15">
      <c r="A15" s="20">
        <v>75.0</v>
      </c>
      <c r="B15" s="20">
        <v>300.0</v>
      </c>
      <c r="C15" s="20">
        <f t="shared" si="1"/>
        <v>4</v>
      </c>
      <c r="D15" s="20">
        <v>183.0</v>
      </c>
      <c r="E15" s="4" t="s">
        <v>94</v>
      </c>
      <c r="F15" s="10" t="s">
        <v>10</v>
      </c>
      <c r="G15" s="4" t="s">
        <v>133</v>
      </c>
      <c r="H15" s="5">
        <v>0.03383101851851852</v>
      </c>
      <c r="I15" s="35" t="s">
        <v>328</v>
      </c>
      <c r="J15" s="36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10">
        <v>75.0</v>
      </c>
      <c r="B16" s="10">
        <v>300.0</v>
      </c>
      <c r="C16" s="10">
        <f t="shared" si="1"/>
        <v>4</v>
      </c>
      <c r="D16" s="10">
        <v>183.0</v>
      </c>
      <c r="E16" s="10" t="s">
        <v>13</v>
      </c>
      <c r="F16" s="10" t="s">
        <v>10</v>
      </c>
      <c r="G16" s="10" t="s">
        <v>111</v>
      </c>
      <c r="H16" s="5">
        <v>0.033854166666666664</v>
      </c>
      <c r="I16" s="12" t="s">
        <v>329</v>
      </c>
      <c r="J16" s="2"/>
      <c r="K16" s="2"/>
    </row>
    <row r="17">
      <c r="A17" s="20">
        <v>75.0</v>
      </c>
      <c r="B17" s="20">
        <v>300.0</v>
      </c>
      <c r="C17" s="20">
        <f t="shared" si="1"/>
        <v>4</v>
      </c>
      <c r="D17" s="20">
        <v>183.0</v>
      </c>
      <c r="E17" s="4" t="s">
        <v>225</v>
      </c>
      <c r="F17" s="10" t="s">
        <v>10</v>
      </c>
      <c r="G17" s="4" t="s">
        <v>133</v>
      </c>
      <c r="H17" s="5">
        <v>0.033854166666666664</v>
      </c>
      <c r="I17" s="32" t="str">
        <f>HYPERLINK("https://www.strava.com/activities/2194326105","Strava")</f>
        <v>Strava</v>
      </c>
      <c r="J17" s="33" t="s">
        <v>326</v>
      </c>
      <c r="K17" s="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10">
        <v>75.0</v>
      </c>
      <c r="B18" s="10">
        <v>300.0</v>
      </c>
      <c r="C18" s="10">
        <f t="shared" si="1"/>
        <v>4</v>
      </c>
      <c r="D18" s="10">
        <v>183.0</v>
      </c>
      <c r="E18" s="10" t="s">
        <v>13</v>
      </c>
      <c r="F18" s="10" t="s">
        <v>10</v>
      </c>
      <c r="G18" s="10" t="s">
        <v>14</v>
      </c>
      <c r="H18" s="5">
        <v>0.03386574074074074</v>
      </c>
      <c r="I18" s="12" t="s">
        <v>330</v>
      </c>
      <c r="J18" s="2"/>
      <c r="K18" s="2"/>
    </row>
    <row r="19">
      <c r="A19" s="20">
        <v>75.0</v>
      </c>
      <c r="B19" s="20">
        <v>300.0</v>
      </c>
      <c r="C19" s="20">
        <f t="shared" si="1"/>
        <v>4</v>
      </c>
      <c r="D19" s="20">
        <v>183.0</v>
      </c>
      <c r="E19" s="4" t="s">
        <v>233</v>
      </c>
      <c r="F19" s="10" t="s">
        <v>10</v>
      </c>
      <c r="G19" s="10" t="s">
        <v>133</v>
      </c>
      <c r="H19" s="5">
        <v>0.03386574074074074</v>
      </c>
      <c r="I19" s="32" t="str">
        <f>HYPERLINK("https://www.strava.com/activities/2195410448","Strava")</f>
        <v>Strava</v>
      </c>
      <c r="J19" s="36"/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20">
        <v>75.0</v>
      </c>
      <c r="B20" s="20">
        <v>300.0</v>
      </c>
      <c r="C20" s="20">
        <f t="shared" si="1"/>
        <v>4</v>
      </c>
      <c r="D20" s="20">
        <v>183.0</v>
      </c>
      <c r="E20" s="4" t="s">
        <v>192</v>
      </c>
      <c r="F20" s="10" t="s">
        <v>10</v>
      </c>
      <c r="G20" s="10" t="s">
        <v>133</v>
      </c>
      <c r="H20" s="5">
        <v>0.03387731481481481</v>
      </c>
      <c r="I20" s="32" t="str">
        <f>HYPERLINK("https://www.strava.com/activities/2832082167","Strava")</f>
        <v>Strava</v>
      </c>
      <c r="J20" s="33"/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A21" s="20">
        <v>75.0</v>
      </c>
      <c r="B21" s="20">
        <v>300.0</v>
      </c>
      <c r="C21" s="20">
        <f t="shared" si="1"/>
        <v>4</v>
      </c>
      <c r="D21" s="20">
        <v>183.0</v>
      </c>
      <c r="E21" s="4" t="s">
        <v>219</v>
      </c>
      <c r="F21" s="10" t="s">
        <v>10</v>
      </c>
      <c r="G21" s="10" t="s">
        <v>133</v>
      </c>
      <c r="H21" s="5">
        <v>0.03387731481481481</v>
      </c>
      <c r="I21" s="32" t="str">
        <f>HYPERLINK("https://www.strava.com/activities/2195409038","Strava")</f>
        <v>Strava</v>
      </c>
      <c r="J21" s="36"/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A22" s="10">
        <v>75.0</v>
      </c>
      <c r="B22" s="10">
        <v>300.0</v>
      </c>
      <c r="C22" s="10">
        <f t="shared" si="1"/>
        <v>4</v>
      </c>
      <c r="D22" s="10">
        <v>183.0</v>
      </c>
      <c r="E22" s="10" t="s">
        <v>90</v>
      </c>
      <c r="F22" s="10" t="s">
        <v>10</v>
      </c>
      <c r="G22" s="10" t="s">
        <v>133</v>
      </c>
      <c r="H22" s="5">
        <v>0.03387731481481481</v>
      </c>
      <c r="I22" s="12" t="s">
        <v>331</v>
      </c>
      <c r="J22" s="2"/>
      <c r="K22" s="17" t="s">
        <v>332</v>
      </c>
    </row>
    <row r="23">
      <c r="A23" s="20">
        <v>75.0</v>
      </c>
      <c r="B23" s="20">
        <v>300.0</v>
      </c>
      <c r="C23" s="20">
        <f t="shared" si="1"/>
        <v>4</v>
      </c>
      <c r="D23" s="20">
        <v>183.0</v>
      </c>
      <c r="E23" s="4" t="s">
        <v>211</v>
      </c>
      <c r="F23" s="10" t="s">
        <v>10</v>
      </c>
      <c r="G23" s="10" t="s">
        <v>133</v>
      </c>
      <c r="H23" s="5">
        <v>0.03388888888888889</v>
      </c>
      <c r="I23" s="32" t="str">
        <f>HYPERLINK("https://www.strava.com/activities/2195433299","Strava")</f>
        <v>Strava</v>
      </c>
      <c r="J23" s="33"/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A24" s="10">
        <v>75.0</v>
      </c>
      <c r="B24" s="10">
        <v>300.0</v>
      </c>
      <c r="C24" s="10">
        <f t="shared" si="1"/>
        <v>4</v>
      </c>
      <c r="D24" s="10">
        <v>183.0</v>
      </c>
      <c r="E24" s="10" t="s">
        <v>215</v>
      </c>
      <c r="F24" s="10" t="s">
        <v>10</v>
      </c>
      <c r="G24" s="10" t="s">
        <v>133</v>
      </c>
      <c r="H24" s="22">
        <v>0.03388888888888889</v>
      </c>
      <c r="I24" s="37" t="str">
        <f>HYPERLINK("https://www.strava.com/activities/2770952125","Strava")</f>
        <v>Strava</v>
      </c>
      <c r="J24" s="38"/>
      <c r="K24" s="2"/>
    </row>
    <row r="25">
      <c r="A25" s="10">
        <v>75.0</v>
      </c>
      <c r="B25" s="10">
        <v>300.0</v>
      </c>
      <c r="C25" s="10">
        <f t="shared" si="1"/>
        <v>4</v>
      </c>
      <c r="D25" s="10">
        <v>183.0</v>
      </c>
      <c r="E25" s="10" t="s">
        <v>229</v>
      </c>
      <c r="F25" s="10" t="s">
        <v>10</v>
      </c>
      <c r="G25" s="10" t="s">
        <v>17</v>
      </c>
      <c r="H25" s="11">
        <v>0.033900462962962966</v>
      </c>
      <c r="I25" s="12" t="s">
        <v>333</v>
      </c>
      <c r="J25" s="2"/>
      <c r="K25" s="17"/>
    </row>
    <row r="26">
      <c r="A26" s="20">
        <v>75.0</v>
      </c>
      <c r="B26" s="20">
        <v>300.0</v>
      </c>
      <c r="C26" s="20">
        <f t="shared" si="1"/>
        <v>4</v>
      </c>
      <c r="D26" s="20">
        <v>183.0</v>
      </c>
      <c r="E26" s="4" t="s">
        <v>101</v>
      </c>
      <c r="F26" s="20" t="s">
        <v>10</v>
      </c>
      <c r="G26" s="10" t="s">
        <v>14</v>
      </c>
      <c r="H26" s="5">
        <v>0.033900462962962966</v>
      </c>
      <c r="I26" s="9" t="s">
        <v>334</v>
      </c>
      <c r="J26" s="7"/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A27" s="10">
        <v>75.0</v>
      </c>
      <c r="B27" s="10">
        <v>300.0</v>
      </c>
      <c r="C27" s="10">
        <f t="shared" si="1"/>
        <v>4</v>
      </c>
      <c r="D27" s="10">
        <v>183.0</v>
      </c>
      <c r="E27" s="10" t="s">
        <v>94</v>
      </c>
      <c r="F27" s="10" t="s">
        <v>10</v>
      </c>
      <c r="G27" s="10" t="s">
        <v>111</v>
      </c>
      <c r="H27" s="5">
        <v>0.033900462962962966</v>
      </c>
      <c r="I27" s="12" t="s">
        <v>335</v>
      </c>
      <c r="J27" s="17" t="s">
        <v>153</v>
      </c>
      <c r="K27" s="2"/>
    </row>
    <row r="28">
      <c r="A28" s="20">
        <v>75.0</v>
      </c>
      <c r="B28" s="20">
        <v>300.0</v>
      </c>
      <c r="C28" s="20">
        <f t="shared" si="1"/>
        <v>4</v>
      </c>
      <c r="D28" s="20">
        <v>183.0</v>
      </c>
      <c r="E28" s="4" t="s">
        <v>13</v>
      </c>
      <c r="F28" s="10" t="s">
        <v>10</v>
      </c>
      <c r="G28" s="4" t="s">
        <v>133</v>
      </c>
      <c r="H28" s="5">
        <v>0.033900462962962966</v>
      </c>
      <c r="I28" s="35" t="s">
        <v>336</v>
      </c>
      <c r="J28" s="33"/>
      <c r="K28" s="39" t="s">
        <v>298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A29" s="10">
        <v>75.0</v>
      </c>
      <c r="B29" s="10">
        <v>300.0</v>
      </c>
      <c r="C29" s="10">
        <f t="shared" si="1"/>
        <v>4</v>
      </c>
      <c r="D29" s="10">
        <v>183.0</v>
      </c>
      <c r="E29" s="10" t="s">
        <v>94</v>
      </c>
      <c r="F29" s="10" t="s">
        <v>10</v>
      </c>
      <c r="G29" s="10" t="s">
        <v>14</v>
      </c>
      <c r="H29" s="5">
        <v>0.033900462962962966</v>
      </c>
      <c r="I29" s="12" t="s">
        <v>337</v>
      </c>
      <c r="J29" s="17" t="s">
        <v>338</v>
      </c>
      <c r="K29" s="2"/>
    </row>
    <row r="30">
      <c r="A30" s="10">
        <v>75.0</v>
      </c>
      <c r="B30" s="10">
        <v>300.0</v>
      </c>
      <c r="C30" s="10">
        <f t="shared" si="1"/>
        <v>4</v>
      </c>
      <c r="D30" s="10">
        <v>183.0</v>
      </c>
      <c r="E30" s="10" t="s">
        <v>13</v>
      </c>
      <c r="F30" s="10" t="s">
        <v>10</v>
      </c>
      <c r="G30" s="10" t="s">
        <v>88</v>
      </c>
      <c r="H30" s="5">
        <v>0.03391203703703704</v>
      </c>
      <c r="I30" s="12" t="s">
        <v>339</v>
      </c>
      <c r="J30" s="2"/>
      <c r="K30" s="2"/>
    </row>
    <row r="31">
      <c r="A31" s="10">
        <v>75.0</v>
      </c>
      <c r="B31" s="10">
        <v>300.0</v>
      </c>
      <c r="C31" s="10">
        <f t="shared" si="1"/>
        <v>4</v>
      </c>
      <c r="D31" s="10">
        <v>183.0</v>
      </c>
      <c r="E31" s="10" t="s">
        <v>235</v>
      </c>
      <c r="F31" s="10" t="s">
        <v>10</v>
      </c>
      <c r="G31" s="10" t="s">
        <v>133</v>
      </c>
      <c r="H31" s="11">
        <v>0.03391203703703704</v>
      </c>
      <c r="I31" s="37" t="str">
        <f>HYPERLINK("https://www.strava.com/activities/2839365445","Strava")</f>
        <v>Strava</v>
      </c>
      <c r="J31" s="2"/>
      <c r="K31" s="2"/>
    </row>
    <row r="32">
      <c r="A32" s="10">
        <v>75.0</v>
      </c>
      <c r="B32" s="10">
        <v>300.0</v>
      </c>
      <c r="C32" s="10">
        <f t="shared" si="1"/>
        <v>4</v>
      </c>
      <c r="D32" s="10">
        <v>183.0</v>
      </c>
      <c r="E32" s="10" t="s">
        <v>221</v>
      </c>
      <c r="F32" s="10" t="s">
        <v>10</v>
      </c>
      <c r="G32" s="10" t="s">
        <v>133</v>
      </c>
      <c r="H32" s="11">
        <v>0.03391203703703704</v>
      </c>
      <c r="I32" s="37" t="str">
        <f>HYPERLINK("https://www.strava.com/activities/2197451775","Strava")</f>
        <v>Strava</v>
      </c>
      <c r="J32" s="38"/>
      <c r="K32" s="2"/>
    </row>
    <row r="33">
      <c r="A33" s="20">
        <v>75.0</v>
      </c>
      <c r="B33" s="20">
        <v>300.0</v>
      </c>
      <c r="C33" s="20">
        <f t="shared" si="1"/>
        <v>4</v>
      </c>
      <c r="D33" s="20">
        <v>183.0</v>
      </c>
      <c r="E33" s="4" t="s">
        <v>227</v>
      </c>
      <c r="F33" s="10" t="s">
        <v>10</v>
      </c>
      <c r="G33" s="10" t="s">
        <v>133</v>
      </c>
      <c r="H33" s="5">
        <v>0.03391203703703704</v>
      </c>
      <c r="I33" s="32" t="str">
        <f>HYPERLINK("https://www.strava.com/activities/2195409038","Strava")</f>
        <v>Strava</v>
      </c>
      <c r="J33" s="36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A34" s="10">
        <v>75.0</v>
      </c>
      <c r="B34" s="10">
        <v>300.0</v>
      </c>
      <c r="C34" s="10">
        <f t="shared" si="1"/>
        <v>4</v>
      </c>
      <c r="D34" s="10">
        <v>183.0</v>
      </c>
      <c r="E34" s="10" t="s">
        <v>90</v>
      </c>
      <c r="F34" s="10" t="s">
        <v>10</v>
      </c>
      <c r="G34" s="10" t="s">
        <v>111</v>
      </c>
      <c r="H34" s="5">
        <v>0.033935185185185186</v>
      </c>
      <c r="I34" s="2"/>
      <c r="J34" s="2"/>
      <c r="K34" s="2"/>
    </row>
    <row r="35">
      <c r="A35" s="20">
        <v>75.0</v>
      </c>
      <c r="B35" s="20">
        <v>300.0</v>
      </c>
      <c r="C35" s="20">
        <f t="shared" si="1"/>
        <v>4</v>
      </c>
      <c r="D35" s="20">
        <v>183.0</v>
      </c>
      <c r="E35" s="4" t="s">
        <v>316</v>
      </c>
      <c r="F35" s="10" t="s">
        <v>10</v>
      </c>
      <c r="G35" s="10" t="s">
        <v>17</v>
      </c>
      <c r="H35" s="5">
        <v>0.03394675925925926</v>
      </c>
      <c r="I35" s="32" t="str">
        <f>HYPERLINK("https://www.strava.com/activities/2191955476","Strava")</f>
        <v>Strava</v>
      </c>
      <c r="J35" s="33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A36" s="10">
        <v>75.0</v>
      </c>
      <c r="B36" s="10">
        <v>300.0</v>
      </c>
      <c r="C36" s="10">
        <f t="shared" si="1"/>
        <v>4</v>
      </c>
      <c r="D36" s="10">
        <v>183.0</v>
      </c>
      <c r="E36" s="10" t="s">
        <v>90</v>
      </c>
      <c r="F36" s="10" t="s">
        <v>10</v>
      </c>
      <c r="G36" s="10" t="s">
        <v>14</v>
      </c>
      <c r="H36" s="5">
        <v>0.03394675925925926</v>
      </c>
      <c r="I36" s="2"/>
      <c r="J36" s="2"/>
      <c r="K36" s="2"/>
    </row>
    <row r="37">
      <c r="A37" s="10">
        <v>75.0</v>
      </c>
      <c r="B37" s="10">
        <v>300.0</v>
      </c>
      <c r="C37" s="10">
        <f t="shared" si="1"/>
        <v>4</v>
      </c>
      <c r="D37" s="10">
        <v>183.0</v>
      </c>
      <c r="E37" s="10" t="s">
        <v>94</v>
      </c>
      <c r="F37" s="10" t="s">
        <v>10</v>
      </c>
      <c r="G37" s="10" t="s">
        <v>88</v>
      </c>
      <c r="H37" s="5">
        <v>0.03394675925925926</v>
      </c>
      <c r="I37" s="12" t="s">
        <v>340</v>
      </c>
      <c r="J37" s="17" t="s">
        <v>153</v>
      </c>
      <c r="K37" s="2"/>
    </row>
    <row r="38">
      <c r="A38" s="20">
        <v>75.0</v>
      </c>
      <c r="B38" s="20">
        <v>300.0</v>
      </c>
      <c r="C38" s="20">
        <f t="shared" si="1"/>
        <v>4</v>
      </c>
      <c r="D38" s="20">
        <v>183.0</v>
      </c>
      <c r="E38" s="4" t="s">
        <v>239</v>
      </c>
      <c r="F38" s="10" t="s">
        <v>10</v>
      </c>
      <c r="G38" s="10" t="s">
        <v>133</v>
      </c>
      <c r="H38" s="5">
        <v>0.03394675925925926</v>
      </c>
      <c r="I38" s="32" t="str">
        <f>HYPERLINK("https://www.strava.com/activities/2195410448","Strava")</f>
        <v>Strava</v>
      </c>
      <c r="J38" s="36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A39" s="10">
        <v>75.0</v>
      </c>
      <c r="B39" s="10">
        <v>300.0</v>
      </c>
      <c r="C39" s="10">
        <f t="shared" si="1"/>
        <v>4</v>
      </c>
      <c r="D39" s="10">
        <v>183.0</v>
      </c>
      <c r="E39" s="10" t="s">
        <v>9</v>
      </c>
      <c r="F39" s="10" t="s">
        <v>10</v>
      </c>
      <c r="G39" s="10" t="s">
        <v>133</v>
      </c>
      <c r="H39" s="5">
        <v>0.03394675925925926</v>
      </c>
      <c r="I39" s="32" t="str">
        <f>HYPERLINK("https://www.strava.com/activities/2195433299","Strava")</f>
        <v>Strava</v>
      </c>
      <c r="J39" s="2"/>
      <c r="K39" s="2"/>
    </row>
    <row r="40">
      <c r="A40" s="10">
        <v>75.0</v>
      </c>
      <c r="B40" s="10">
        <v>300.0</v>
      </c>
      <c r="C40" s="10">
        <f t="shared" si="1"/>
        <v>4</v>
      </c>
      <c r="D40" s="10">
        <v>183.0</v>
      </c>
      <c r="E40" s="10" t="s">
        <v>13</v>
      </c>
      <c r="F40" s="10" t="s">
        <v>10</v>
      </c>
      <c r="G40" s="10" t="s">
        <v>79</v>
      </c>
      <c r="H40" s="5">
        <v>0.03395833333333333</v>
      </c>
      <c r="I40" s="12" t="s">
        <v>341</v>
      </c>
      <c r="J40" s="2"/>
      <c r="K40" s="2"/>
    </row>
    <row r="41">
      <c r="A41" s="10">
        <v>75.0</v>
      </c>
      <c r="B41" s="10">
        <v>300.0</v>
      </c>
      <c r="C41" s="10">
        <f t="shared" si="1"/>
        <v>4</v>
      </c>
      <c r="D41" s="10">
        <v>183.0</v>
      </c>
      <c r="E41" s="10" t="s">
        <v>13</v>
      </c>
      <c r="F41" s="10" t="s">
        <v>10</v>
      </c>
      <c r="G41" s="10" t="s">
        <v>14</v>
      </c>
      <c r="H41" s="11">
        <v>0.03396990740740741</v>
      </c>
      <c r="I41" s="12" t="s">
        <v>313</v>
      </c>
      <c r="J41" s="2"/>
      <c r="K41" s="17" t="s">
        <v>314</v>
      </c>
    </row>
    <row r="42">
      <c r="A42" s="20">
        <v>75.0</v>
      </c>
      <c r="B42" s="20">
        <v>300.0</v>
      </c>
      <c r="C42" s="20">
        <f t="shared" si="1"/>
        <v>4</v>
      </c>
      <c r="D42" s="20">
        <v>183.0</v>
      </c>
      <c r="E42" s="4" t="s">
        <v>318</v>
      </c>
      <c r="F42" s="10" t="s">
        <v>10</v>
      </c>
      <c r="G42" s="4" t="s">
        <v>17</v>
      </c>
      <c r="H42" s="5">
        <v>0.03396990740740741</v>
      </c>
      <c r="I42" s="35" t="s">
        <v>342</v>
      </c>
      <c r="J42" s="33"/>
      <c r="K42" s="3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A43" s="20">
        <v>75.0</v>
      </c>
      <c r="B43" s="20">
        <v>300.0</v>
      </c>
      <c r="C43" s="20">
        <f t="shared" si="1"/>
        <v>4</v>
      </c>
      <c r="D43" s="20">
        <v>183.0</v>
      </c>
      <c r="E43" s="4" t="s">
        <v>231</v>
      </c>
      <c r="F43" s="10" t="s">
        <v>10</v>
      </c>
      <c r="G43" s="10" t="s">
        <v>133</v>
      </c>
      <c r="H43" s="5">
        <v>0.03396990740740741</v>
      </c>
      <c r="I43" s="32" t="str">
        <f>HYPERLINK("https://www.strava.com/activities/2195409038","Strava")</f>
        <v>Strava</v>
      </c>
      <c r="J43" s="36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A44" s="10">
        <v>75.0</v>
      </c>
      <c r="B44" s="10">
        <v>300.0</v>
      </c>
      <c r="C44" s="10">
        <f t="shared" si="1"/>
        <v>4</v>
      </c>
      <c r="D44" s="10">
        <v>183.0</v>
      </c>
      <c r="E44" s="10" t="s">
        <v>13</v>
      </c>
      <c r="F44" s="10" t="s">
        <v>10</v>
      </c>
      <c r="G44" s="10" t="s">
        <v>91</v>
      </c>
      <c r="H44" s="5">
        <v>0.03398148148148148</v>
      </c>
      <c r="I44" s="12" t="s">
        <v>343</v>
      </c>
      <c r="J44" s="2"/>
      <c r="K44" s="2"/>
    </row>
    <row r="45">
      <c r="A45" s="20">
        <v>75.0</v>
      </c>
      <c r="B45" s="20">
        <v>300.0</v>
      </c>
      <c r="C45" s="20">
        <f t="shared" si="1"/>
        <v>4</v>
      </c>
      <c r="D45" s="20">
        <v>183.0</v>
      </c>
      <c r="E45" s="4" t="s">
        <v>58</v>
      </c>
      <c r="F45" s="10" t="s">
        <v>10</v>
      </c>
      <c r="G45" s="10" t="s">
        <v>133</v>
      </c>
      <c r="H45" s="5">
        <v>0.03398148148148148</v>
      </c>
      <c r="I45" s="32" t="str">
        <f>HYPERLINK("https://www.strava.com/activities/2195410448","Strava")</f>
        <v>Strava</v>
      </c>
      <c r="J45" s="36"/>
      <c r="K45" s="7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A46" s="20">
        <v>75.0</v>
      </c>
      <c r="B46" s="20">
        <v>300.0</v>
      </c>
      <c r="C46" s="20">
        <f t="shared" si="1"/>
        <v>4</v>
      </c>
      <c r="D46" s="20">
        <v>183.0</v>
      </c>
      <c r="E46" s="4" t="s">
        <v>61</v>
      </c>
      <c r="F46" s="10" t="s">
        <v>10</v>
      </c>
      <c r="G46" s="4" t="s">
        <v>133</v>
      </c>
      <c r="H46" s="5">
        <v>0.03398148148148148</v>
      </c>
      <c r="I46" s="32" t="str">
        <f>HYPERLINK("https://www.strava.com/activities/2412885435","Strava")</f>
        <v>Strava</v>
      </c>
      <c r="J46" s="36"/>
      <c r="K46" s="7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A47" s="10">
        <v>75.0</v>
      </c>
      <c r="B47" s="10">
        <v>300.0</v>
      </c>
      <c r="C47" s="10">
        <f t="shared" si="1"/>
        <v>4</v>
      </c>
      <c r="D47" s="10">
        <v>183.0</v>
      </c>
      <c r="E47" s="10" t="s">
        <v>90</v>
      </c>
      <c r="F47" s="10" t="s">
        <v>10</v>
      </c>
      <c r="G47" s="10" t="s">
        <v>88</v>
      </c>
      <c r="H47" s="5">
        <v>0.033993055555555554</v>
      </c>
      <c r="I47" s="2"/>
      <c r="J47" s="2"/>
      <c r="K47" s="2"/>
    </row>
    <row r="48">
      <c r="A48" s="20">
        <v>75.0</v>
      </c>
      <c r="B48" s="20">
        <v>300.0</v>
      </c>
      <c r="C48" s="20">
        <f t="shared" si="1"/>
        <v>4</v>
      </c>
      <c r="D48" s="20">
        <v>183.0</v>
      </c>
      <c r="E48" s="4" t="s">
        <v>94</v>
      </c>
      <c r="F48" s="10" t="s">
        <v>10</v>
      </c>
      <c r="G48" s="10" t="s">
        <v>17</v>
      </c>
      <c r="H48" s="5">
        <v>0.033993055555555554</v>
      </c>
      <c r="I48" s="35" t="s">
        <v>344</v>
      </c>
      <c r="J48" s="33"/>
      <c r="K48" s="3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A49" s="10">
        <v>75.0</v>
      </c>
      <c r="B49" s="10">
        <v>300.0</v>
      </c>
      <c r="C49" s="10">
        <f t="shared" si="1"/>
        <v>4</v>
      </c>
      <c r="D49" s="10">
        <v>183.0</v>
      </c>
      <c r="E49" s="10" t="s">
        <v>94</v>
      </c>
      <c r="F49" s="10" t="s">
        <v>10</v>
      </c>
      <c r="G49" s="10" t="s">
        <v>79</v>
      </c>
      <c r="H49" s="5">
        <v>0.033993055555555554</v>
      </c>
      <c r="I49" s="12" t="s">
        <v>345</v>
      </c>
      <c r="J49" s="17" t="s">
        <v>346</v>
      </c>
      <c r="K49" s="2"/>
    </row>
    <row r="50">
      <c r="A50" s="10">
        <v>75.0</v>
      </c>
      <c r="B50" s="10">
        <v>300.0</v>
      </c>
      <c r="C50" s="10">
        <f t="shared" si="1"/>
        <v>4</v>
      </c>
      <c r="D50" s="10">
        <v>183.0</v>
      </c>
      <c r="E50" s="10" t="s">
        <v>207</v>
      </c>
      <c r="F50" s="10" t="s">
        <v>10</v>
      </c>
      <c r="G50" s="10" t="s">
        <v>17</v>
      </c>
      <c r="H50" s="11">
        <v>0.03400462962962963</v>
      </c>
      <c r="I50" s="12" t="s">
        <v>347</v>
      </c>
      <c r="J50" s="2"/>
      <c r="K50" s="17"/>
    </row>
    <row r="51">
      <c r="A51" s="10">
        <v>75.0</v>
      </c>
      <c r="B51" s="10">
        <v>300.0</v>
      </c>
      <c r="C51" s="10">
        <f t="shared" si="1"/>
        <v>4</v>
      </c>
      <c r="D51" s="10">
        <v>183.0</v>
      </c>
      <c r="E51" s="20" t="s">
        <v>209</v>
      </c>
      <c r="F51" s="10" t="s">
        <v>10</v>
      </c>
      <c r="G51" s="10" t="s">
        <v>17</v>
      </c>
      <c r="H51" s="11">
        <v>0.03400462962962963</v>
      </c>
      <c r="I51" s="37" t="str">
        <f>HYPERLINK("https://www.strava.com/activities/2191954587","Strava")</f>
        <v>Strava</v>
      </c>
      <c r="J51" s="40"/>
      <c r="K51" s="2"/>
    </row>
    <row r="52">
      <c r="A52" s="20">
        <v>75.0</v>
      </c>
      <c r="B52" s="20">
        <v>300.0</v>
      </c>
      <c r="C52" s="20">
        <f t="shared" si="1"/>
        <v>4</v>
      </c>
      <c r="D52" s="20">
        <v>183.0</v>
      </c>
      <c r="E52" s="4" t="s">
        <v>94</v>
      </c>
      <c r="F52" s="10" t="s">
        <v>10</v>
      </c>
      <c r="G52" s="10" t="s">
        <v>91</v>
      </c>
      <c r="H52" s="5">
        <v>0.03400462962962963</v>
      </c>
      <c r="I52" s="35" t="s">
        <v>348</v>
      </c>
      <c r="J52" s="33" t="s">
        <v>349</v>
      </c>
      <c r="K52" s="3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A53" s="10">
        <v>75.0</v>
      </c>
      <c r="B53" s="10">
        <v>300.0</v>
      </c>
      <c r="C53" s="10">
        <f t="shared" si="1"/>
        <v>4</v>
      </c>
      <c r="D53" s="10">
        <v>183.0</v>
      </c>
      <c r="E53" s="4" t="s">
        <v>101</v>
      </c>
      <c r="F53" s="10" t="s">
        <v>10</v>
      </c>
      <c r="G53" s="10" t="s">
        <v>17</v>
      </c>
      <c r="H53" s="11">
        <v>0.0340162037037037</v>
      </c>
      <c r="I53" s="12" t="s">
        <v>350</v>
      </c>
      <c r="J53" s="2"/>
      <c r="K53" s="17"/>
    </row>
    <row r="54">
      <c r="A54" s="10">
        <v>75.0</v>
      </c>
      <c r="B54" s="10">
        <v>300.0</v>
      </c>
      <c r="C54" s="10">
        <f t="shared" si="1"/>
        <v>4</v>
      </c>
      <c r="D54" s="10">
        <v>183.0</v>
      </c>
      <c r="E54" s="10" t="s">
        <v>225</v>
      </c>
      <c r="F54" s="10" t="s">
        <v>10</v>
      </c>
      <c r="G54" s="10" t="s">
        <v>17</v>
      </c>
      <c r="H54" s="11">
        <v>0.0340162037037037</v>
      </c>
      <c r="I54" s="37" t="str">
        <f>HYPERLINK("https://www.strava.com/activities/2191956190","Strava")</f>
        <v>Strava</v>
      </c>
      <c r="J54" s="40"/>
      <c r="K54" s="2"/>
    </row>
    <row r="55">
      <c r="A55" s="10">
        <v>75.0</v>
      </c>
      <c r="B55" s="10">
        <v>300.0</v>
      </c>
      <c r="C55" s="10">
        <f t="shared" si="1"/>
        <v>4</v>
      </c>
      <c r="D55" s="10">
        <v>183.0</v>
      </c>
      <c r="E55" s="10" t="s">
        <v>9</v>
      </c>
      <c r="F55" s="10" t="s">
        <v>10</v>
      </c>
      <c r="G55" s="10" t="s">
        <v>111</v>
      </c>
      <c r="H55" s="5">
        <v>0.0340162037037037</v>
      </c>
      <c r="I55" s="2"/>
      <c r="J55" s="2"/>
      <c r="K55" s="2"/>
    </row>
    <row r="56">
      <c r="A56" s="20">
        <v>75.0</v>
      </c>
      <c r="B56" s="20">
        <v>300.0</v>
      </c>
      <c r="C56" s="20">
        <f t="shared" si="1"/>
        <v>4</v>
      </c>
      <c r="D56" s="20">
        <v>183.0</v>
      </c>
      <c r="E56" s="4" t="s">
        <v>179</v>
      </c>
      <c r="F56" s="10" t="s">
        <v>10</v>
      </c>
      <c r="G56" s="10" t="s">
        <v>133</v>
      </c>
      <c r="H56" s="5">
        <v>0.0340162037037037</v>
      </c>
      <c r="I56" s="32" t="str">
        <f>HYPERLINK("https://www.strava.com/activities/2195433299","Strava")</f>
        <v>Strava</v>
      </c>
      <c r="J56" s="36"/>
      <c r="K56" s="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A57" s="10">
        <v>75.0</v>
      </c>
      <c r="B57" s="10">
        <v>300.0</v>
      </c>
      <c r="C57" s="10">
        <f t="shared" si="1"/>
        <v>4</v>
      </c>
      <c r="D57" s="10">
        <v>183.0</v>
      </c>
      <c r="E57" s="10" t="s">
        <v>73</v>
      </c>
      <c r="F57" s="10" t="s">
        <v>10</v>
      </c>
      <c r="G57" s="10" t="s">
        <v>351</v>
      </c>
      <c r="H57" s="11">
        <v>0.0340162037037037</v>
      </c>
      <c r="I57" s="37" t="str">
        <f>HYPERLINK("https://www.strava.com/activities/2189774250","Strava")</f>
        <v>Strava</v>
      </c>
      <c r="J57" s="38" t="s">
        <v>352</v>
      </c>
      <c r="K57" s="2"/>
    </row>
    <row r="58">
      <c r="A58" s="10">
        <v>75.0</v>
      </c>
      <c r="B58" s="10">
        <v>300.0</v>
      </c>
      <c r="C58" s="10">
        <f t="shared" si="1"/>
        <v>4</v>
      </c>
      <c r="D58" s="10">
        <v>183.0</v>
      </c>
      <c r="E58" s="10" t="s">
        <v>9</v>
      </c>
      <c r="F58" s="10" t="s">
        <v>10</v>
      </c>
      <c r="G58" s="10" t="s">
        <v>14</v>
      </c>
      <c r="H58" s="5">
        <v>0.0340162037037037</v>
      </c>
      <c r="I58" s="2"/>
      <c r="J58" s="2"/>
      <c r="K58" s="2"/>
    </row>
    <row r="59">
      <c r="A59" s="10">
        <v>75.0</v>
      </c>
      <c r="B59" s="10">
        <v>300.0</v>
      </c>
      <c r="C59" s="10">
        <f t="shared" si="1"/>
        <v>4</v>
      </c>
      <c r="D59" s="10">
        <v>183.0</v>
      </c>
      <c r="E59" s="10" t="s">
        <v>90</v>
      </c>
      <c r="F59" s="10" t="s">
        <v>10</v>
      </c>
      <c r="G59" s="10" t="s">
        <v>79</v>
      </c>
      <c r="H59" s="5">
        <v>0.034027777777777775</v>
      </c>
      <c r="I59" s="2"/>
      <c r="J59" s="2"/>
      <c r="K59" s="2"/>
    </row>
    <row r="60">
      <c r="A60" s="20">
        <v>75.0</v>
      </c>
      <c r="B60" s="20">
        <v>300.0</v>
      </c>
      <c r="C60" s="20">
        <f t="shared" si="1"/>
        <v>4</v>
      </c>
      <c r="D60" s="20">
        <v>183.0</v>
      </c>
      <c r="E60" s="4" t="s">
        <v>219</v>
      </c>
      <c r="F60" s="10" t="s">
        <v>10</v>
      </c>
      <c r="G60" s="4" t="s">
        <v>17</v>
      </c>
      <c r="H60" s="5">
        <v>0.03403935185185185</v>
      </c>
      <c r="I60" s="32" t="str">
        <f>HYPERLINK("https://www.strava.com/activities/2193099181","Strava")</f>
        <v>Strava</v>
      </c>
      <c r="J60" s="36"/>
      <c r="K60" s="7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A61" s="10">
        <v>75.0</v>
      </c>
      <c r="B61" s="10">
        <v>300.0</v>
      </c>
      <c r="C61" s="10">
        <f t="shared" si="1"/>
        <v>4</v>
      </c>
      <c r="D61" s="10">
        <v>183.0</v>
      </c>
      <c r="E61" s="10" t="s">
        <v>90</v>
      </c>
      <c r="F61" s="10" t="s">
        <v>10</v>
      </c>
      <c r="G61" s="10" t="s">
        <v>17</v>
      </c>
      <c r="H61" s="11">
        <v>0.03403935185185185</v>
      </c>
      <c r="I61" s="41" t="s">
        <v>353</v>
      </c>
      <c r="J61" s="38"/>
      <c r="K61" s="2"/>
    </row>
    <row r="62">
      <c r="A62" s="10">
        <v>75.0</v>
      </c>
      <c r="B62" s="10">
        <v>300.0</v>
      </c>
      <c r="C62" s="10">
        <f t="shared" si="1"/>
        <v>4</v>
      </c>
      <c r="D62" s="10">
        <v>183.0</v>
      </c>
      <c r="E62" s="20" t="s">
        <v>192</v>
      </c>
      <c r="F62" s="10" t="s">
        <v>10</v>
      </c>
      <c r="G62" s="10" t="s">
        <v>17</v>
      </c>
      <c r="H62" s="11">
        <v>0.03405092592592593</v>
      </c>
      <c r="I62" s="12" t="s">
        <v>354</v>
      </c>
      <c r="J62" s="2"/>
      <c r="K62" s="2"/>
    </row>
    <row r="63">
      <c r="A63" s="10">
        <v>75.0</v>
      </c>
      <c r="B63" s="10">
        <v>300.0</v>
      </c>
      <c r="C63" s="10">
        <f t="shared" si="1"/>
        <v>4</v>
      </c>
      <c r="D63" s="10">
        <v>183.0</v>
      </c>
      <c r="E63" s="10" t="s">
        <v>233</v>
      </c>
      <c r="F63" s="10" t="s">
        <v>10</v>
      </c>
      <c r="G63" s="10" t="s">
        <v>17</v>
      </c>
      <c r="H63" s="11">
        <v>0.03405092592592593</v>
      </c>
      <c r="I63" s="37" t="str">
        <f>HYPERLINK("https://www.strava.com/activities/2191956190","Strava")</f>
        <v>Strava</v>
      </c>
      <c r="J63" s="40"/>
      <c r="K63" s="2"/>
    </row>
    <row r="64">
      <c r="A64" s="20">
        <v>75.0</v>
      </c>
      <c r="B64" s="20">
        <v>300.0</v>
      </c>
      <c r="C64" s="20">
        <f t="shared" si="1"/>
        <v>4</v>
      </c>
      <c r="D64" s="20">
        <v>183.0</v>
      </c>
      <c r="E64" s="4" t="s">
        <v>211</v>
      </c>
      <c r="F64" s="10" t="s">
        <v>10</v>
      </c>
      <c r="G64" s="10" t="s">
        <v>17</v>
      </c>
      <c r="H64" s="5">
        <v>0.0340625</v>
      </c>
      <c r="I64" s="32" t="str">
        <f>HYPERLINK("https://www.strava.com/activities/2193109458","Strava")</f>
        <v>Strava</v>
      </c>
      <c r="J64" s="36"/>
      <c r="K64" s="7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A65" s="10">
        <v>75.0</v>
      </c>
      <c r="B65" s="10">
        <v>300.0</v>
      </c>
      <c r="C65" s="10">
        <f t="shared" si="1"/>
        <v>4</v>
      </c>
      <c r="D65" s="10">
        <v>183.0</v>
      </c>
      <c r="E65" s="10" t="s">
        <v>215</v>
      </c>
      <c r="F65" s="10" t="s">
        <v>10</v>
      </c>
      <c r="G65" s="10" t="s">
        <v>17</v>
      </c>
      <c r="H65" s="11">
        <v>0.0340625</v>
      </c>
      <c r="I65" s="37" t="str">
        <f>HYPERLINK("https://www.strava.com/activities/2770952125","Strava")</f>
        <v>Strava</v>
      </c>
      <c r="J65" s="38"/>
      <c r="K65" s="2"/>
    </row>
    <row r="66">
      <c r="A66" s="10">
        <v>75.0</v>
      </c>
      <c r="B66" s="10">
        <v>300.0</v>
      </c>
      <c r="C66" s="10">
        <f t="shared" si="1"/>
        <v>4</v>
      </c>
      <c r="D66" s="10">
        <v>183.0</v>
      </c>
      <c r="E66" s="10" t="s">
        <v>221</v>
      </c>
      <c r="F66" s="10" t="s">
        <v>10</v>
      </c>
      <c r="G66" s="10" t="s">
        <v>17</v>
      </c>
      <c r="H66" s="11">
        <v>0.0340625</v>
      </c>
      <c r="I66" s="37" t="str">
        <f>HYPERLINK("https://www.strava.com/activities/2197452255","Strava")</f>
        <v>Strava</v>
      </c>
      <c r="J66" s="38"/>
      <c r="K66" s="2"/>
    </row>
    <row r="67">
      <c r="A67" s="10">
        <v>75.0</v>
      </c>
      <c r="B67" s="10">
        <v>300.0</v>
      </c>
      <c r="C67" s="10">
        <f t="shared" si="1"/>
        <v>4</v>
      </c>
      <c r="D67" s="10">
        <v>183.0</v>
      </c>
      <c r="E67" s="10" t="s">
        <v>9</v>
      </c>
      <c r="F67" s="10" t="s">
        <v>10</v>
      </c>
      <c r="G67" s="10" t="s">
        <v>88</v>
      </c>
      <c r="H67" s="5">
        <v>0.0340625</v>
      </c>
      <c r="I67" s="2"/>
      <c r="J67" s="2"/>
      <c r="K67" s="2"/>
    </row>
    <row r="68">
      <c r="A68" s="10">
        <v>75.0</v>
      </c>
      <c r="B68" s="10">
        <v>300.0</v>
      </c>
      <c r="C68" s="10">
        <f t="shared" si="1"/>
        <v>4</v>
      </c>
      <c r="D68" s="10">
        <v>183.0</v>
      </c>
      <c r="E68" s="10" t="s">
        <v>13</v>
      </c>
      <c r="F68" s="10" t="s">
        <v>10</v>
      </c>
      <c r="G68" s="10" t="s">
        <v>11</v>
      </c>
      <c r="H68" s="5">
        <v>0.034074074074074076</v>
      </c>
      <c r="I68" s="12" t="s">
        <v>355</v>
      </c>
      <c r="J68" s="2"/>
      <c r="K68" s="2"/>
    </row>
    <row r="69">
      <c r="A69" s="20">
        <v>75.0</v>
      </c>
      <c r="B69" s="20">
        <v>300.0</v>
      </c>
      <c r="C69" s="20">
        <f t="shared" si="1"/>
        <v>4</v>
      </c>
      <c r="D69" s="20">
        <v>183.0</v>
      </c>
      <c r="E69" s="4" t="s">
        <v>13</v>
      </c>
      <c r="F69" s="10" t="s">
        <v>10</v>
      </c>
      <c r="G69" s="4" t="s">
        <v>17</v>
      </c>
      <c r="H69" s="5">
        <v>0.034074074074074076</v>
      </c>
      <c r="I69" s="35" t="s">
        <v>336</v>
      </c>
      <c r="J69" s="33"/>
      <c r="K69" s="3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A70" s="20">
        <v>75.0</v>
      </c>
      <c r="B70" s="20">
        <v>300.0</v>
      </c>
      <c r="C70" s="20">
        <f t="shared" si="1"/>
        <v>4</v>
      </c>
      <c r="D70" s="20">
        <v>183.0</v>
      </c>
      <c r="E70" s="4" t="s">
        <v>227</v>
      </c>
      <c r="F70" s="10" t="s">
        <v>10</v>
      </c>
      <c r="G70" s="4" t="s">
        <v>17</v>
      </c>
      <c r="H70" s="5">
        <v>0.034074074074074076</v>
      </c>
      <c r="I70" s="32" t="str">
        <f>HYPERLINK("https://www.strava.com/activities/2193029192","Strava")</f>
        <v>Strava</v>
      </c>
      <c r="J70" s="36"/>
      <c r="K70" s="7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A71" s="10">
        <v>75.0</v>
      </c>
      <c r="B71" s="10">
        <v>300.0</v>
      </c>
      <c r="C71" s="10">
        <f t="shared" si="1"/>
        <v>4</v>
      </c>
      <c r="D71" s="10">
        <v>183.0</v>
      </c>
      <c r="E71" s="10" t="s">
        <v>9</v>
      </c>
      <c r="F71" s="10" t="s">
        <v>10</v>
      </c>
      <c r="G71" s="10" t="s">
        <v>79</v>
      </c>
      <c r="H71" s="11">
        <v>0.034074074074074076</v>
      </c>
      <c r="I71" s="12" t="s">
        <v>356</v>
      </c>
      <c r="J71" s="17" t="s">
        <v>149</v>
      </c>
      <c r="K71" s="17"/>
    </row>
    <row r="72">
      <c r="A72" s="10">
        <v>75.0</v>
      </c>
      <c r="B72" s="10">
        <v>300.0</v>
      </c>
      <c r="C72" s="10">
        <f t="shared" si="1"/>
        <v>4</v>
      </c>
      <c r="D72" s="10">
        <v>183.0</v>
      </c>
      <c r="E72" s="10" t="s">
        <v>235</v>
      </c>
      <c r="F72" s="10" t="s">
        <v>10</v>
      </c>
      <c r="G72" s="10" t="s">
        <v>17</v>
      </c>
      <c r="H72" s="11">
        <v>0.03408564814814815</v>
      </c>
      <c r="I72" s="37" t="str">
        <f>HYPERLINK("https://www.strava.com/activities/2839365445","Strava")</f>
        <v>Strava</v>
      </c>
      <c r="J72" s="2"/>
      <c r="K72" s="2"/>
    </row>
    <row r="73">
      <c r="A73" s="20">
        <v>75.0</v>
      </c>
      <c r="B73" s="20">
        <v>300.0</v>
      </c>
      <c r="C73" s="20">
        <f t="shared" si="1"/>
        <v>4</v>
      </c>
      <c r="D73" s="20">
        <v>183.0</v>
      </c>
      <c r="E73" s="4" t="s">
        <v>217</v>
      </c>
      <c r="F73" s="10" t="s">
        <v>10</v>
      </c>
      <c r="G73" s="10" t="s">
        <v>17</v>
      </c>
      <c r="H73" s="5">
        <v>0.03408564814814815</v>
      </c>
      <c r="I73" s="35" t="s">
        <v>357</v>
      </c>
      <c r="J73" s="36"/>
      <c r="K73" s="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A74" s="10">
        <v>75.0</v>
      </c>
      <c r="B74" s="10">
        <v>300.0</v>
      </c>
      <c r="C74" s="10">
        <f t="shared" si="1"/>
        <v>4</v>
      </c>
      <c r="D74" s="10">
        <v>183.0</v>
      </c>
      <c r="E74" s="10" t="s">
        <v>9</v>
      </c>
      <c r="F74" s="10" t="s">
        <v>10</v>
      </c>
      <c r="G74" s="10" t="s">
        <v>79</v>
      </c>
      <c r="H74" s="5">
        <v>0.03409722222222222</v>
      </c>
      <c r="I74" s="2"/>
      <c r="J74" s="17" t="s">
        <v>358</v>
      </c>
      <c r="K74" s="2"/>
    </row>
    <row r="75">
      <c r="A75" s="10">
        <v>75.0</v>
      </c>
      <c r="B75" s="10">
        <v>300.0</v>
      </c>
      <c r="C75" s="10">
        <f t="shared" si="1"/>
        <v>4</v>
      </c>
      <c r="D75" s="10">
        <v>183.0</v>
      </c>
      <c r="E75" s="10" t="s">
        <v>94</v>
      </c>
      <c r="F75" s="10" t="s">
        <v>10</v>
      </c>
      <c r="G75" s="10" t="s">
        <v>11</v>
      </c>
      <c r="H75" s="5">
        <v>0.0341087962962963</v>
      </c>
      <c r="I75" s="12" t="s">
        <v>359</v>
      </c>
      <c r="J75" s="17" t="s">
        <v>153</v>
      </c>
      <c r="K75" s="2"/>
    </row>
    <row r="76">
      <c r="A76" s="20">
        <v>75.0</v>
      </c>
      <c r="B76" s="20">
        <v>300.0</v>
      </c>
      <c r="C76" s="20">
        <f t="shared" si="1"/>
        <v>4</v>
      </c>
      <c r="D76" s="20">
        <v>183.0</v>
      </c>
      <c r="E76" s="4" t="s">
        <v>360</v>
      </c>
      <c r="F76" s="10" t="s">
        <v>10</v>
      </c>
      <c r="G76" s="10" t="s">
        <v>17</v>
      </c>
      <c r="H76" s="5">
        <v>0.0341087962962963</v>
      </c>
      <c r="I76" s="32" t="str">
        <f>HYPERLINK("https://www.strava.com/activities/2194325895","Strava")</f>
        <v>Strava</v>
      </c>
      <c r="J76" s="36"/>
      <c r="K76" s="7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A77" s="20">
        <v>75.0</v>
      </c>
      <c r="B77" s="20">
        <v>300.0</v>
      </c>
      <c r="C77" s="20">
        <f t="shared" si="1"/>
        <v>4</v>
      </c>
      <c r="D77" s="20">
        <v>183.0</v>
      </c>
      <c r="E77" s="4" t="s">
        <v>239</v>
      </c>
      <c r="F77" s="10" t="s">
        <v>10</v>
      </c>
      <c r="G77" s="4" t="s">
        <v>17</v>
      </c>
      <c r="H77" s="5">
        <v>0.0341087962962963</v>
      </c>
      <c r="I77" s="32" t="str">
        <f>HYPERLINK("https://www.strava.com/activities/2193029192","Strava")</f>
        <v>Strava</v>
      </c>
      <c r="J77" s="36"/>
      <c r="K77" s="7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A78" s="20">
        <v>75.0</v>
      </c>
      <c r="B78" s="20">
        <v>300.0</v>
      </c>
      <c r="C78" s="20">
        <f t="shared" si="1"/>
        <v>4</v>
      </c>
      <c r="D78" s="20">
        <v>183.0</v>
      </c>
      <c r="E78" s="4" t="s">
        <v>243</v>
      </c>
      <c r="F78" s="10" t="s">
        <v>10</v>
      </c>
      <c r="G78" s="10" t="s">
        <v>17</v>
      </c>
      <c r="H78" s="5">
        <v>0.03412037037037037</v>
      </c>
      <c r="I78" s="32" t="str">
        <f>HYPERLINK("https://www.strava.com/activities/2194326105","Strava")</f>
        <v>Strava</v>
      </c>
      <c r="J78" s="36"/>
      <c r="K78" s="7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A79" s="20">
        <v>75.0</v>
      </c>
      <c r="B79" s="20">
        <v>300.0</v>
      </c>
      <c r="C79" s="20">
        <f t="shared" si="1"/>
        <v>4</v>
      </c>
      <c r="D79" s="20">
        <v>183.0</v>
      </c>
      <c r="E79" s="4" t="s">
        <v>247</v>
      </c>
      <c r="F79" s="10" t="s">
        <v>10</v>
      </c>
      <c r="G79" s="10" t="s">
        <v>17</v>
      </c>
      <c r="H79" s="5">
        <v>0.03412037037037037</v>
      </c>
      <c r="I79" s="32" t="str">
        <f>HYPERLINK("https://www.strava.com/activities/2194326658","Strava")</f>
        <v>Strava</v>
      </c>
      <c r="J79" s="36"/>
      <c r="K79" s="7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A80" s="10">
        <v>75.0</v>
      </c>
      <c r="B80" s="10">
        <v>300.0</v>
      </c>
      <c r="C80" s="10">
        <f t="shared" si="1"/>
        <v>4</v>
      </c>
      <c r="D80" s="10">
        <v>183.0</v>
      </c>
      <c r="E80" s="10" t="s">
        <v>9</v>
      </c>
      <c r="F80" s="10" t="s">
        <v>10</v>
      </c>
      <c r="G80" s="10" t="s">
        <v>17</v>
      </c>
      <c r="H80" s="11">
        <v>0.03412037037037037</v>
      </c>
      <c r="I80" s="37" t="str">
        <f>HYPERLINK("https://www.strava.com/activities/2191954587","Strava")</f>
        <v>Strava</v>
      </c>
      <c r="J80" s="40"/>
      <c r="K80" s="2"/>
    </row>
    <row r="81">
      <c r="A81" s="20">
        <v>75.0</v>
      </c>
      <c r="B81" s="20">
        <v>300.0</v>
      </c>
      <c r="C81" s="20">
        <f t="shared" si="1"/>
        <v>4</v>
      </c>
      <c r="D81" s="20">
        <v>183.0</v>
      </c>
      <c r="E81" s="4" t="s">
        <v>231</v>
      </c>
      <c r="F81" s="10" t="s">
        <v>10</v>
      </c>
      <c r="G81" s="10" t="s">
        <v>17</v>
      </c>
      <c r="H81" s="5">
        <v>0.034131944444444444</v>
      </c>
      <c r="I81" s="32" t="str">
        <f>HYPERLINK("https://www.strava.com/activities/2193109458","Strava")</f>
        <v>Strava</v>
      </c>
      <c r="J81" s="36"/>
      <c r="K81" s="7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A82" s="10">
        <v>75.0</v>
      </c>
      <c r="B82" s="10">
        <v>300.0</v>
      </c>
      <c r="C82" s="10">
        <f t="shared" si="1"/>
        <v>4</v>
      </c>
      <c r="D82" s="10">
        <v>183.0</v>
      </c>
      <c r="E82" s="10" t="s">
        <v>9</v>
      </c>
      <c r="F82" s="10" t="s">
        <v>10</v>
      </c>
      <c r="G82" s="10" t="s">
        <v>91</v>
      </c>
      <c r="H82" s="11">
        <v>0.034131944444444444</v>
      </c>
      <c r="I82" s="2"/>
      <c r="J82" s="2"/>
      <c r="K82" s="2"/>
    </row>
    <row r="83">
      <c r="A83" s="10">
        <v>75.0</v>
      </c>
      <c r="B83" s="10">
        <v>300.0</v>
      </c>
      <c r="C83" s="10">
        <f t="shared" si="1"/>
        <v>4</v>
      </c>
      <c r="D83" s="10">
        <v>183.0</v>
      </c>
      <c r="E83" s="10" t="s">
        <v>166</v>
      </c>
      <c r="F83" s="10" t="s">
        <v>10</v>
      </c>
      <c r="G83" s="10" t="s">
        <v>17</v>
      </c>
      <c r="H83" s="11">
        <v>0.03414351851851852</v>
      </c>
      <c r="I83" s="12" t="s">
        <v>361</v>
      </c>
      <c r="J83" s="38"/>
      <c r="K83" s="2"/>
    </row>
    <row r="84">
      <c r="A84" s="20">
        <v>75.0</v>
      </c>
      <c r="B84" s="20">
        <v>300.0</v>
      </c>
      <c r="C84" s="20">
        <f t="shared" si="1"/>
        <v>4</v>
      </c>
      <c r="D84" s="20">
        <v>183.0</v>
      </c>
      <c r="E84" s="4" t="s">
        <v>58</v>
      </c>
      <c r="F84" s="10" t="s">
        <v>10</v>
      </c>
      <c r="G84" s="10" t="s">
        <v>17</v>
      </c>
      <c r="H84" s="5">
        <v>0.03415509259259259</v>
      </c>
      <c r="I84" s="32" t="str">
        <f>HYPERLINK("https://www.strava.com/activities/2191955476","Strava")</f>
        <v>Strava</v>
      </c>
      <c r="J84" s="38"/>
      <c r="K84" s="7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A85" s="10">
        <v>75.0</v>
      </c>
      <c r="B85" s="10">
        <v>300.0</v>
      </c>
      <c r="C85" s="10">
        <f t="shared" si="1"/>
        <v>4</v>
      </c>
      <c r="D85" s="10">
        <v>183.0</v>
      </c>
      <c r="E85" s="10" t="s">
        <v>256</v>
      </c>
      <c r="F85" s="10" t="s">
        <v>10</v>
      </c>
      <c r="G85" s="10" t="s">
        <v>17</v>
      </c>
      <c r="H85" s="11">
        <v>0.03415509259259259</v>
      </c>
      <c r="I85" s="12" t="s">
        <v>362</v>
      </c>
      <c r="J85" s="2"/>
      <c r="K85" s="2"/>
    </row>
    <row r="86">
      <c r="A86" s="20">
        <v>75.0</v>
      </c>
      <c r="B86" s="20">
        <v>300.0</v>
      </c>
      <c r="C86" s="20">
        <f t="shared" si="1"/>
        <v>4</v>
      </c>
      <c r="D86" s="20">
        <v>183.0</v>
      </c>
      <c r="E86" s="4" t="s">
        <v>61</v>
      </c>
      <c r="F86" s="10" t="s">
        <v>10</v>
      </c>
      <c r="G86" s="10" t="s">
        <v>17</v>
      </c>
      <c r="H86" s="5">
        <v>0.03415509259259259</v>
      </c>
      <c r="I86" s="32" t="str">
        <f>HYPERLINK("https://www.strava.com/activities/2428226001","Strava")</f>
        <v>Strava</v>
      </c>
      <c r="J86" s="7"/>
      <c r="K86" s="7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A87" s="10">
        <v>75.0</v>
      </c>
      <c r="B87" s="10">
        <v>300.0</v>
      </c>
      <c r="C87" s="10">
        <f t="shared" si="1"/>
        <v>4</v>
      </c>
      <c r="D87" s="10">
        <v>183.0</v>
      </c>
      <c r="E87" s="10" t="s">
        <v>162</v>
      </c>
      <c r="F87" s="10" t="s">
        <v>10</v>
      </c>
      <c r="G87" s="10" t="s">
        <v>17</v>
      </c>
      <c r="H87" s="11">
        <v>0.03415509259259259</v>
      </c>
      <c r="I87" s="12" t="s">
        <v>363</v>
      </c>
      <c r="J87" s="2"/>
      <c r="K87" s="2"/>
    </row>
    <row r="88">
      <c r="A88" s="10">
        <v>75.0</v>
      </c>
      <c r="B88" s="10">
        <v>300.0</v>
      </c>
      <c r="C88" s="10">
        <f t="shared" si="1"/>
        <v>4</v>
      </c>
      <c r="D88" s="10">
        <v>183.0</v>
      </c>
      <c r="E88" s="10" t="s">
        <v>90</v>
      </c>
      <c r="F88" s="10" t="s">
        <v>10</v>
      </c>
      <c r="G88" s="10" t="s">
        <v>11</v>
      </c>
      <c r="H88" s="5">
        <v>0.03415509259259259</v>
      </c>
      <c r="I88" s="2"/>
      <c r="J88" s="2"/>
      <c r="K88" s="2"/>
    </row>
    <row r="89">
      <c r="A89" s="20">
        <v>75.0</v>
      </c>
      <c r="B89" s="20">
        <v>300.0</v>
      </c>
      <c r="C89" s="20">
        <f t="shared" si="1"/>
        <v>4</v>
      </c>
      <c r="D89" s="20">
        <v>183.0</v>
      </c>
      <c r="E89" s="4" t="s">
        <v>251</v>
      </c>
      <c r="F89" s="10" t="s">
        <v>10</v>
      </c>
      <c r="G89" s="10" t="s">
        <v>17</v>
      </c>
      <c r="H89" s="5">
        <v>0.034166666666666665</v>
      </c>
      <c r="I89" s="32" t="str">
        <f>HYPERLINK("https://www.strava.com/activities/2194326658","Strava")</f>
        <v>Strava</v>
      </c>
      <c r="J89" s="36"/>
      <c r="K89" s="7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A90" s="20">
        <v>75.0</v>
      </c>
      <c r="B90" s="20">
        <v>300.0</v>
      </c>
      <c r="C90" s="20">
        <f t="shared" si="1"/>
        <v>4</v>
      </c>
      <c r="D90" s="20">
        <v>183.0</v>
      </c>
      <c r="E90" s="4" t="s">
        <v>179</v>
      </c>
      <c r="F90" s="10" t="s">
        <v>10</v>
      </c>
      <c r="G90" s="10" t="s">
        <v>17</v>
      </c>
      <c r="H90" s="5">
        <v>0.03417824074074074</v>
      </c>
      <c r="I90" s="32" t="str">
        <f>HYPERLINK("https://www.strava.com/activities/2191955476","Strava")</f>
        <v>Strava</v>
      </c>
      <c r="J90" s="36"/>
      <c r="K90" s="7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A91" s="10">
        <v>75.0</v>
      </c>
      <c r="B91" s="10">
        <v>300.0</v>
      </c>
      <c r="C91" s="10">
        <f t="shared" si="1"/>
        <v>4</v>
      </c>
      <c r="D91" s="10">
        <v>183.0</v>
      </c>
      <c r="E91" s="10" t="s">
        <v>19</v>
      </c>
      <c r="F91" s="10" t="s">
        <v>10</v>
      </c>
      <c r="G91" s="10" t="s">
        <v>145</v>
      </c>
      <c r="H91" s="11">
        <v>0.03417824074074074</v>
      </c>
      <c r="I91" s="12" t="s">
        <v>333</v>
      </c>
      <c r="J91" s="2"/>
      <c r="K91" s="17" t="s">
        <v>298</v>
      </c>
    </row>
    <row r="92">
      <c r="A92" s="20">
        <v>75.0</v>
      </c>
      <c r="B92" s="20">
        <v>300.0</v>
      </c>
      <c r="C92" s="20">
        <f t="shared" si="1"/>
        <v>4</v>
      </c>
      <c r="D92" s="20">
        <v>183.0</v>
      </c>
      <c r="E92" s="10" t="s">
        <v>164</v>
      </c>
      <c r="F92" s="10" t="s">
        <v>10</v>
      </c>
      <c r="G92" s="10" t="s">
        <v>17</v>
      </c>
      <c r="H92" s="5">
        <v>0.03418981481481481</v>
      </c>
      <c r="I92" s="35" t="s">
        <v>357</v>
      </c>
      <c r="J92" s="36"/>
      <c r="K92" s="7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A93" s="20">
        <v>75.0</v>
      </c>
      <c r="B93" s="20">
        <v>300.0</v>
      </c>
      <c r="C93" s="20">
        <f t="shared" si="1"/>
        <v>4</v>
      </c>
      <c r="D93" s="20">
        <v>183.0</v>
      </c>
      <c r="E93" s="4" t="s">
        <v>190</v>
      </c>
      <c r="F93" s="10" t="s">
        <v>10</v>
      </c>
      <c r="G93" s="10" t="s">
        <v>17</v>
      </c>
      <c r="H93" s="5">
        <v>0.03418981481481481</v>
      </c>
      <c r="I93" s="32" t="str">
        <f>HYPERLINK("https://www.strava.com/activities/2194326658","Strava")</f>
        <v>Strava</v>
      </c>
      <c r="J93" s="36"/>
      <c r="K93" s="7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A94" s="10">
        <v>75.0</v>
      </c>
      <c r="B94" s="10">
        <v>300.0</v>
      </c>
      <c r="C94" s="10">
        <f t="shared" si="1"/>
        <v>4</v>
      </c>
      <c r="D94" s="10">
        <v>183.0</v>
      </c>
      <c r="E94" s="10" t="s">
        <v>77</v>
      </c>
      <c r="F94" s="10" t="s">
        <v>10</v>
      </c>
      <c r="G94" s="10" t="s">
        <v>17</v>
      </c>
      <c r="H94" s="11">
        <v>0.03420138888888889</v>
      </c>
      <c r="I94" s="37" t="str">
        <f>HYPERLINK("https://www.strava.com/activities/2191954587","Strava")</f>
        <v>Strava</v>
      </c>
      <c r="J94" s="40"/>
      <c r="K94" s="2"/>
    </row>
    <row r="95">
      <c r="A95" s="10">
        <v>75.0</v>
      </c>
      <c r="B95" s="10">
        <v>300.0</v>
      </c>
      <c r="C95" s="10">
        <f t="shared" si="1"/>
        <v>4</v>
      </c>
      <c r="D95" s="10">
        <v>183.0</v>
      </c>
      <c r="E95" s="10" t="s">
        <v>63</v>
      </c>
      <c r="F95" s="10" t="s">
        <v>10</v>
      </c>
      <c r="G95" s="10" t="s">
        <v>17</v>
      </c>
      <c r="H95" s="11">
        <v>0.03420138888888889</v>
      </c>
      <c r="I95" s="37" t="str">
        <f>HYPERLINK("https://www.strava.com/activities/2191956190","Strava")</f>
        <v>Strava</v>
      </c>
      <c r="J95" s="40"/>
      <c r="K95" s="2"/>
    </row>
    <row r="96">
      <c r="A96" s="10">
        <v>75.0</v>
      </c>
      <c r="B96" s="10">
        <v>300.0</v>
      </c>
      <c r="C96" s="10">
        <f t="shared" si="1"/>
        <v>4</v>
      </c>
      <c r="D96" s="10">
        <v>183.0</v>
      </c>
      <c r="E96" s="10" t="s">
        <v>19</v>
      </c>
      <c r="F96" s="10" t="s">
        <v>10</v>
      </c>
      <c r="G96" s="10" t="s">
        <v>133</v>
      </c>
      <c r="H96" s="11">
        <v>0.03420138888888889</v>
      </c>
      <c r="I96" s="37" t="str">
        <f>HYPERLINK("https://www.strava.com/activities/2189659405","Strava")</f>
        <v>Strava</v>
      </c>
      <c r="J96" s="40"/>
      <c r="K96" s="2"/>
    </row>
    <row r="97">
      <c r="A97" s="20">
        <v>75.0</v>
      </c>
      <c r="B97" s="20">
        <v>300.0</v>
      </c>
      <c r="C97" s="20">
        <f t="shared" si="1"/>
        <v>4</v>
      </c>
      <c r="D97" s="20">
        <v>183.0</v>
      </c>
      <c r="E97" s="4" t="s">
        <v>205</v>
      </c>
      <c r="F97" s="10" t="s">
        <v>10</v>
      </c>
      <c r="G97" s="10" t="s">
        <v>17</v>
      </c>
      <c r="H97" s="5">
        <v>0.034212962962962966</v>
      </c>
      <c r="I97" s="32" t="str">
        <f t="shared" ref="I97:I98" si="2">HYPERLINK("https://www.strava.com/activities/2194326105","Strava")</f>
        <v>Strava</v>
      </c>
      <c r="J97" s="33" t="s">
        <v>364</v>
      </c>
      <c r="K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A98" s="20">
        <v>75.0</v>
      </c>
      <c r="B98" s="20">
        <v>300.0</v>
      </c>
      <c r="C98" s="20">
        <f t="shared" si="1"/>
        <v>4</v>
      </c>
      <c r="D98" s="20">
        <v>183.0</v>
      </c>
      <c r="E98" s="4" t="s">
        <v>241</v>
      </c>
      <c r="F98" s="10" t="s">
        <v>10</v>
      </c>
      <c r="G98" s="10" t="s">
        <v>17</v>
      </c>
      <c r="H98" s="5">
        <v>0.03422453703703704</v>
      </c>
      <c r="I98" s="32" t="str">
        <f t="shared" si="2"/>
        <v>Strava</v>
      </c>
      <c r="J98" s="36"/>
      <c r="K98" s="7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A99" s="10">
        <v>75.0</v>
      </c>
      <c r="B99" s="10">
        <v>300.0</v>
      </c>
      <c r="C99" s="10">
        <f t="shared" si="1"/>
        <v>4</v>
      </c>
      <c r="D99" s="10">
        <v>183.0</v>
      </c>
      <c r="E99" s="10" t="s">
        <v>9</v>
      </c>
      <c r="F99" s="10" t="s">
        <v>10</v>
      </c>
      <c r="G99" s="10" t="s">
        <v>11</v>
      </c>
      <c r="H99" s="11">
        <v>0.03422453703703704</v>
      </c>
      <c r="I99" s="2"/>
      <c r="J99" s="2"/>
      <c r="K99" s="2"/>
    </row>
    <row r="100">
      <c r="A100" s="20">
        <v>75.0</v>
      </c>
      <c r="B100" s="20">
        <v>300.0</v>
      </c>
      <c r="C100" s="20">
        <f t="shared" si="1"/>
        <v>4</v>
      </c>
      <c r="D100" s="20">
        <v>183.0</v>
      </c>
      <c r="E100" s="4" t="s">
        <v>245</v>
      </c>
      <c r="F100" s="10" t="s">
        <v>10</v>
      </c>
      <c r="G100" s="10" t="s">
        <v>17</v>
      </c>
      <c r="H100" s="5">
        <v>0.03423611111111111</v>
      </c>
      <c r="I100" s="32" t="str">
        <f>HYPERLINK("https://www.strava.com/activities/2194325895","Strava")</f>
        <v>Strava</v>
      </c>
      <c r="J100" s="36"/>
      <c r="K100" s="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A101" s="3">
        <v>75.0</v>
      </c>
      <c r="B101" s="3">
        <v>300.0</v>
      </c>
      <c r="C101" s="3">
        <f t="shared" si="1"/>
        <v>4</v>
      </c>
      <c r="D101" s="3">
        <v>183.0</v>
      </c>
      <c r="E101" s="4" t="s">
        <v>197</v>
      </c>
      <c r="F101" s="3" t="s">
        <v>10</v>
      </c>
      <c r="G101" s="10" t="s">
        <v>17</v>
      </c>
      <c r="H101" s="5">
        <v>0.03424768518518519</v>
      </c>
      <c r="I101" s="9" t="s">
        <v>365</v>
      </c>
      <c r="J101" s="7"/>
      <c r="K101" s="42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A102" s="10">
        <v>75.0</v>
      </c>
      <c r="B102" s="10">
        <v>300.0</v>
      </c>
      <c r="C102" s="10">
        <f t="shared" si="1"/>
        <v>4</v>
      </c>
      <c r="D102" s="10">
        <v>183.0</v>
      </c>
      <c r="E102" s="10" t="s">
        <v>19</v>
      </c>
      <c r="F102" s="10" t="s">
        <v>10</v>
      </c>
      <c r="G102" s="10" t="s">
        <v>129</v>
      </c>
      <c r="H102" s="11">
        <v>0.03425925925925926</v>
      </c>
      <c r="I102" s="37" t="str">
        <f>HYPERLINK("https://www.strava.com/activities/2189567973","Strava")</f>
        <v>Strava</v>
      </c>
      <c r="J102" s="40"/>
      <c r="K102" s="2"/>
    </row>
    <row r="103">
      <c r="A103" s="10">
        <v>75.0</v>
      </c>
      <c r="B103" s="10">
        <v>300.0</v>
      </c>
      <c r="C103" s="10">
        <f t="shared" si="1"/>
        <v>4</v>
      </c>
      <c r="D103" s="10">
        <v>183.0</v>
      </c>
      <c r="E103" s="10" t="s">
        <v>19</v>
      </c>
      <c r="F103" s="10" t="s">
        <v>10</v>
      </c>
      <c r="G103" s="10" t="s">
        <v>124</v>
      </c>
      <c r="H103" s="5">
        <v>0.03425925925925926</v>
      </c>
      <c r="I103" s="12" t="s">
        <v>365</v>
      </c>
      <c r="J103" s="2"/>
      <c r="K103" s="17" t="s">
        <v>314</v>
      </c>
    </row>
    <row r="104">
      <c r="A104" s="20">
        <v>75.0</v>
      </c>
      <c r="B104" s="20">
        <v>300.0</v>
      </c>
      <c r="C104" s="20">
        <f t="shared" si="1"/>
        <v>4</v>
      </c>
      <c r="D104" s="20">
        <v>183.0</v>
      </c>
      <c r="E104" s="4" t="s">
        <v>258</v>
      </c>
      <c r="F104" s="10" t="s">
        <v>10</v>
      </c>
      <c r="G104" s="10" t="s">
        <v>17</v>
      </c>
      <c r="H104" s="5">
        <v>0.034270833333333334</v>
      </c>
      <c r="I104" s="32" t="str">
        <f>HYPERLINK("https://www.strava.com/activities/2194326105","Strava")</f>
        <v>Strava</v>
      </c>
      <c r="J104" s="36"/>
      <c r="K104" s="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A105" s="10">
        <v>75.0</v>
      </c>
      <c r="B105" s="10">
        <v>300.0</v>
      </c>
      <c r="C105" s="10">
        <f t="shared" si="1"/>
        <v>4</v>
      </c>
      <c r="D105" s="10">
        <v>183.0</v>
      </c>
      <c r="E105" s="10" t="s">
        <v>19</v>
      </c>
      <c r="F105" s="10" t="s">
        <v>10</v>
      </c>
      <c r="G105" s="10" t="s">
        <v>135</v>
      </c>
      <c r="H105" s="11">
        <v>0.034270833333333334</v>
      </c>
      <c r="I105" s="37" t="str">
        <f>HYPERLINK("https://www.strava.com/activities/2189659122","Strava")</f>
        <v>Strava</v>
      </c>
      <c r="J105" s="40"/>
      <c r="K105" s="2"/>
    </row>
    <row r="106">
      <c r="A106" s="20">
        <v>75.0</v>
      </c>
      <c r="B106" s="20">
        <v>300.0</v>
      </c>
      <c r="C106" s="20">
        <f t="shared" si="1"/>
        <v>4</v>
      </c>
      <c r="D106" s="20">
        <v>183.0</v>
      </c>
      <c r="E106" s="4" t="s">
        <v>199</v>
      </c>
      <c r="F106" s="10" t="s">
        <v>10</v>
      </c>
      <c r="G106" s="10" t="s">
        <v>17</v>
      </c>
      <c r="H106" s="5">
        <v>0.03428240740740741</v>
      </c>
      <c r="I106" s="32" t="str">
        <f>HYPERLINK("https://www.strava.com/activities/2194325895","Strava")</f>
        <v>Strava</v>
      </c>
      <c r="J106" s="36"/>
      <c r="K106" s="7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A107" s="3">
        <v>75.0</v>
      </c>
      <c r="B107" s="3">
        <v>300.0</v>
      </c>
      <c r="C107" s="3">
        <f t="shared" si="1"/>
        <v>4</v>
      </c>
      <c r="D107" s="3">
        <v>183.0</v>
      </c>
      <c r="E107" s="4" t="s">
        <v>183</v>
      </c>
      <c r="F107" s="4" t="s">
        <v>10</v>
      </c>
      <c r="G107" s="3" t="s">
        <v>17</v>
      </c>
      <c r="H107" s="5">
        <v>0.03428240740740741</v>
      </c>
      <c r="I107" s="12" t="s">
        <v>366</v>
      </c>
      <c r="J107" s="7"/>
      <c r="K107" s="7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A108" s="10">
        <v>75.0</v>
      </c>
      <c r="B108" s="10">
        <v>300.0</v>
      </c>
      <c r="C108" s="10">
        <f t="shared" si="1"/>
        <v>4</v>
      </c>
      <c r="D108" s="10">
        <v>183.0</v>
      </c>
      <c r="E108" s="10" t="s">
        <v>19</v>
      </c>
      <c r="F108" s="10" t="s">
        <v>10</v>
      </c>
      <c r="G108" s="10" t="s">
        <v>367</v>
      </c>
      <c r="H108" s="11">
        <v>0.03428240740740741</v>
      </c>
      <c r="I108" s="37" t="str">
        <f>HYPERLINK("https://www.strava.com/activities/2189890063","Strava")</f>
        <v>Strava</v>
      </c>
      <c r="J108" s="40"/>
      <c r="K108" s="2"/>
    </row>
    <row r="109">
      <c r="A109" s="10">
        <v>75.0</v>
      </c>
      <c r="B109" s="10">
        <v>300.0</v>
      </c>
      <c r="C109" s="10">
        <f t="shared" si="1"/>
        <v>4</v>
      </c>
      <c r="D109" s="10">
        <v>183.0</v>
      </c>
      <c r="E109" s="10" t="s">
        <v>19</v>
      </c>
      <c r="F109" s="10" t="s">
        <v>10</v>
      </c>
      <c r="G109" s="10" t="s">
        <v>14</v>
      </c>
      <c r="H109" s="5">
        <v>0.03428240740740741</v>
      </c>
      <c r="I109" s="12" t="s">
        <v>368</v>
      </c>
      <c r="J109" s="2"/>
      <c r="K109" s="2"/>
    </row>
    <row r="110">
      <c r="A110" s="20">
        <v>75.0</v>
      </c>
      <c r="B110" s="20">
        <v>300.0</v>
      </c>
      <c r="C110" s="20">
        <f t="shared" si="1"/>
        <v>4</v>
      </c>
      <c r="D110" s="20">
        <v>183.0</v>
      </c>
      <c r="E110" s="4" t="s">
        <v>75</v>
      </c>
      <c r="F110" s="10" t="s">
        <v>10</v>
      </c>
      <c r="G110" s="4" t="s">
        <v>17</v>
      </c>
      <c r="H110" s="5">
        <v>0.03429398148148148</v>
      </c>
      <c r="I110" s="32" t="str">
        <f>HYPERLINK("https://www.strava.com/activities/2193677713","Strava")</f>
        <v>Strava</v>
      </c>
      <c r="J110" s="33"/>
      <c r="K110" s="7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A111" s="10">
        <v>75.0</v>
      </c>
      <c r="B111" s="10">
        <v>300.0</v>
      </c>
      <c r="C111" s="10">
        <f t="shared" si="1"/>
        <v>4</v>
      </c>
      <c r="D111" s="10">
        <v>183.0</v>
      </c>
      <c r="E111" s="10" t="s">
        <v>19</v>
      </c>
      <c r="F111" s="10" t="s">
        <v>10</v>
      </c>
      <c r="G111" s="10" t="s">
        <v>126</v>
      </c>
      <c r="H111" s="11">
        <v>0.03429398148148148</v>
      </c>
      <c r="I111" s="37" t="str">
        <f>HYPERLINK("https://www.strava.com/activities/2189774505","Strava")</f>
        <v>Strava</v>
      </c>
      <c r="J111" s="40"/>
      <c r="K111" s="2"/>
    </row>
    <row r="112">
      <c r="A112" s="20">
        <v>75.0</v>
      </c>
      <c r="B112" s="20">
        <v>300.0</v>
      </c>
      <c r="C112" s="20">
        <f t="shared" si="1"/>
        <v>4</v>
      </c>
      <c r="D112" s="20">
        <v>183.0</v>
      </c>
      <c r="E112" s="4" t="s">
        <v>19</v>
      </c>
      <c r="F112" s="10" t="s">
        <v>10</v>
      </c>
      <c r="G112" s="4" t="s">
        <v>213</v>
      </c>
      <c r="H112" s="5">
        <v>0.03429398148148148</v>
      </c>
      <c r="I112" s="32" t="str">
        <f>HYPERLINK("https://www.strava.com/activities/2196092149","Strava")</f>
        <v>Strava</v>
      </c>
      <c r="J112" s="36"/>
      <c r="K112" s="7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A113" s="10">
        <v>75.0</v>
      </c>
      <c r="B113" s="10">
        <v>300.0</v>
      </c>
      <c r="C113" s="10">
        <f t="shared" si="1"/>
        <v>4</v>
      </c>
      <c r="D113" s="10">
        <v>183.0</v>
      </c>
      <c r="E113" s="10" t="s">
        <v>19</v>
      </c>
      <c r="F113" s="10" t="s">
        <v>10</v>
      </c>
      <c r="G113" s="10" t="s">
        <v>118</v>
      </c>
      <c r="H113" s="11">
        <v>0.03429398148148148</v>
      </c>
      <c r="I113" s="37" t="str">
        <f>HYPERLINK("https://www.strava.com/activities/2188653592","Strava")</f>
        <v>Strava</v>
      </c>
      <c r="J113" s="40"/>
      <c r="K113" s="2"/>
    </row>
    <row r="114">
      <c r="A114" s="20">
        <v>75.0</v>
      </c>
      <c r="B114" s="20">
        <v>300.0</v>
      </c>
      <c r="C114" s="20">
        <f t="shared" si="1"/>
        <v>4</v>
      </c>
      <c r="D114" s="20">
        <v>183.0</v>
      </c>
      <c r="E114" s="20" t="s">
        <v>19</v>
      </c>
      <c r="F114" s="10" t="s">
        <v>10</v>
      </c>
      <c r="G114" s="4" t="s">
        <v>113</v>
      </c>
      <c r="H114" s="5">
        <v>0.03429398148148148</v>
      </c>
      <c r="I114" s="32" t="str">
        <f>HYPERLINK("https://www.strava.com/activities/2193677713","Strava")</f>
        <v>Strava</v>
      </c>
      <c r="J114" s="36"/>
      <c r="K114" s="7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A115" s="20">
        <v>75.0</v>
      </c>
      <c r="B115" s="20">
        <v>300.0</v>
      </c>
      <c r="C115" s="20">
        <f t="shared" si="1"/>
        <v>4</v>
      </c>
      <c r="D115" s="20">
        <v>183.0</v>
      </c>
      <c r="E115" s="4" t="s">
        <v>19</v>
      </c>
      <c r="F115" s="10" t="s">
        <v>10</v>
      </c>
      <c r="G115" s="10" t="s">
        <v>122</v>
      </c>
      <c r="H115" s="5">
        <v>0.034305555555555554</v>
      </c>
      <c r="I115" s="35" t="s">
        <v>369</v>
      </c>
      <c r="J115" s="33"/>
      <c r="K115" s="7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A116" s="10">
        <v>75.0</v>
      </c>
      <c r="B116" s="10">
        <v>300.0</v>
      </c>
      <c r="C116" s="10">
        <f t="shared" si="1"/>
        <v>4</v>
      </c>
      <c r="D116" s="10">
        <v>183.0</v>
      </c>
      <c r="E116" s="10" t="s">
        <v>19</v>
      </c>
      <c r="F116" s="10" t="s">
        <v>10</v>
      </c>
      <c r="G116" s="10" t="s">
        <v>188</v>
      </c>
      <c r="H116" s="11">
        <v>0.034305555555555554</v>
      </c>
      <c r="I116" s="37" t="str">
        <f>HYPERLINK("https://www.strava.com/activities/2189659656","Strava")</f>
        <v>Strava</v>
      </c>
      <c r="J116" s="40"/>
      <c r="K116" s="2"/>
    </row>
    <row r="117">
      <c r="A117" s="10">
        <v>75.0</v>
      </c>
      <c r="B117" s="10">
        <v>300.0</v>
      </c>
      <c r="C117" s="10">
        <f t="shared" si="1"/>
        <v>4</v>
      </c>
      <c r="D117" s="10">
        <v>183.0</v>
      </c>
      <c r="E117" s="10" t="s">
        <v>186</v>
      </c>
      <c r="F117" s="10" t="s">
        <v>10</v>
      </c>
      <c r="G117" s="10" t="s">
        <v>17</v>
      </c>
      <c r="H117" s="11">
        <v>0.03431712962962963</v>
      </c>
      <c r="I117" s="12" t="s">
        <v>370</v>
      </c>
      <c r="J117" s="2"/>
      <c r="K117" s="2"/>
    </row>
    <row r="118">
      <c r="A118" s="20">
        <v>75.0</v>
      </c>
      <c r="B118" s="20">
        <v>300.0</v>
      </c>
      <c r="C118" s="20">
        <f t="shared" si="1"/>
        <v>4</v>
      </c>
      <c r="D118" s="20">
        <v>183.0</v>
      </c>
      <c r="E118" s="4" t="s">
        <v>71</v>
      </c>
      <c r="F118" s="10" t="s">
        <v>10</v>
      </c>
      <c r="G118" s="4" t="s">
        <v>17</v>
      </c>
      <c r="H118" s="5">
        <v>0.03431712962962963</v>
      </c>
      <c r="I118" s="32" t="str">
        <f>HYPERLINK("https://www.strava.com/activities/2193775502","Strava")</f>
        <v>Strava</v>
      </c>
      <c r="J118" s="36"/>
      <c r="K118" s="7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A119" s="20">
        <v>75.0</v>
      </c>
      <c r="B119" s="20">
        <v>300.0</v>
      </c>
      <c r="C119" s="20">
        <f t="shared" si="1"/>
        <v>4</v>
      </c>
      <c r="D119" s="20">
        <v>183.0</v>
      </c>
      <c r="E119" s="4" t="s">
        <v>67</v>
      </c>
      <c r="F119" s="10" t="s">
        <v>10</v>
      </c>
      <c r="G119" s="4" t="s">
        <v>17</v>
      </c>
      <c r="H119" s="5">
        <v>0.0343287037037037</v>
      </c>
      <c r="I119" s="32" t="str">
        <f>HYPERLINK("https://www.strava.com/activities/2193782940","Strava")</f>
        <v>Strava</v>
      </c>
      <c r="J119" s="36"/>
      <c r="K119" s="7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A120" s="20">
        <v>75.0</v>
      </c>
      <c r="B120" s="20">
        <v>300.0</v>
      </c>
      <c r="C120" s="20">
        <f t="shared" si="1"/>
        <v>4</v>
      </c>
      <c r="D120" s="20">
        <v>183.0</v>
      </c>
      <c r="E120" s="10" t="s">
        <v>177</v>
      </c>
      <c r="F120" s="10" t="s">
        <v>10</v>
      </c>
      <c r="G120" s="10" t="s">
        <v>17</v>
      </c>
      <c r="H120" s="11">
        <v>0.0343287037037037</v>
      </c>
      <c r="I120" s="12" t="s">
        <v>371</v>
      </c>
      <c r="J120" s="2"/>
      <c r="K120" s="2"/>
    </row>
    <row r="121">
      <c r="A121" s="10">
        <v>75.0</v>
      </c>
      <c r="B121" s="10">
        <v>300.0</v>
      </c>
      <c r="C121" s="10">
        <f t="shared" si="1"/>
        <v>4</v>
      </c>
      <c r="D121" s="10">
        <v>183.0</v>
      </c>
      <c r="E121" s="10" t="s">
        <v>19</v>
      </c>
      <c r="F121" s="10" t="s">
        <v>10</v>
      </c>
      <c r="G121" s="10" t="s">
        <v>141</v>
      </c>
      <c r="H121" s="11">
        <v>0.0343287037037037</v>
      </c>
      <c r="I121" s="37" t="str">
        <f>HYPERLINK("https://www.strava.com/activities/2191386608","Strava")</f>
        <v>Strava</v>
      </c>
      <c r="J121" s="40"/>
      <c r="K121" s="2"/>
    </row>
    <row r="122">
      <c r="A122" s="10">
        <v>75.0</v>
      </c>
      <c r="B122" s="10">
        <v>300.0</v>
      </c>
      <c r="C122" s="10">
        <f t="shared" si="1"/>
        <v>4</v>
      </c>
      <c r="D122" s="10">
        <v>183.0</v>
      </c>
      <c r="E122" s="10" t="s">
        <v>19</v>
      </c>
      <c r="F122" s="10" t="s">
        <v>10</v>
      </c>
      <c r="G122" s="10" t="s">
        <v>106</v>
      </c>
      <c r="H122" s="11">
        <v>0.0343287037037037</v>
      </c>
      <c r="I122" s="37" t="str">
        <f>HYPERLINK("https://www.strava.com/activities/2188652384","Strava")</f>
        <v>Strava</v>
      </c>
      <c r="J122" s="40"/>
      <c r="K122" s="2"/>
    </row>
    <row r="123">
      <c r="A123" s="10">
        <v>75.0</v>
      </c>
      <c r="B123" s="10">
        <v>300.0</v>
      </c>
      <c r="C123" s="10">
        <f t="shared" si="1"/>
        <v>4</v>
      </c>
      <c r="D123" s="10">
        <v>183.0</v>
      </c>
      <c r="E123" s="10" t="s">
        <v>96</v>
      </c>
      <c r="F123" s="10" t="s">
        <v>10</v>
      </c>
      <c r="G123" s="10" t="s">
        <v>79</v>
      </c>
      <c r="H123" s="11">
        <v>0.0343287037037037</v>
      </c>
      <c r="I123" s="12" t="s">
        <v>372</v>
      </c>
      <c r="J123" s="2"/>
      <c r="K123" s="2"/>
    </row>
    <row r="124">
      <c r="A124" s="20">
        <v>75.0</v>
      </c>
      <c r="B124" s="20">
        <v>300.0</v>
      </c>
      <c r="C124" s="20">
        <f t="shared" si="1"/>
        <v>4</v>
      </c>
      <c r="D124" s="20">
        <v>183.0</v>
      </c>
      <c r="E124" s="4" t="s">
        <v>174</v>
      </c>
      <c r="F124" s="3" t="s">
        <v>10</v>
      </c>
      <c r="G124" s="3" t="s">
        <v>17</v>
      </c>
      <c r="H124" s="11">
        <v>0.034340277777777775</v>
      </c>
      <c r="I124" s="12" t="s">
        <v>373</v>
      </c>
      <c r="J124" s="7"/>
      <c r="K124" s="7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A125" s="10">
        <v>75.0</v>
      </c>
      <c r="B125" s="10">
        <v>300.0</v>
      </c>
      <c r="C125" s="10">
        <f t="shared" si="1"/>
        <v>4</v>
      </c>
      <c r="D125" s="10">
        <v>183.0</v>
      </c>
      <c r="E125" s="10" t="s">
        <v>96</v>
      </c>
      <c r="F125" s="10" t="s">
        <v>10</v>
      </c>
      <c r="G125" s="10" t="s">
        <v>17</v>
      </c>
      <c r="H125" s="11">
        <v>0.034340277777777775</v>
      </c>
      <c r="I125" s="12" t="s">
        <v>374</v>
      </c>
      <c r="J125" s="2"/>
      <c r="K125" s="2"/>
    </row>
    <row r="126">
      <c r="A126" s="10">
        <v>75.0</v>
      </c>
      <c r="B126" s="10">
        <v>300.0</v>
      </c>
      <c r="C126" s="10">
        <f t="shared" si="1"/>
        <v>4</v>
      </c>
      <c r="D126" s="10">
        <v>183.0</v>
      </c>
      <c r="E126" s="10" t="s">
        <v>19</v>
      </c>
      <c r="F126" s="10" t="s">
        <v>10</v>
      </c>
      <c r="G126" s="10" t="s">
        <v>79</v>
      </c>
      <c r="H126" s="11">
        <v>0.03435185185185185</v>
      </c>
      <c r="I126" s="37" t="str">
        <f>HYPERLINK("https://www.strava.com/activities/2187643000","Strava")</f>
        <v>Strava</v>
      </c>
      <c r="J126" s="40"/>
      <c r="K126" s="2"/>
    </row>
    <row r="127">
      <c r="A127" s="10">
        <v>75.0</v>
      </c>
      <c r="B127" s="10">
        <v>300.0</v>
      </c>
      <c r="C127" s="10">
        <f t="shared" si="1"/>
        <v>4</v>
      </c>
      <c r="D127" s="10">
        <v>183.0</v>
      </c>
      <c r="E127" s="10" t="s">
        <v>19</v>
      </c>
      <c r="F127" s="10" t="s">
        <v>10</v>
      </c>
      <c r="G127" s="10" t="s">
        <v>375</v>
      </c>
      <c r="H127" s="11">
        <v>0.03436342592592593</v>
      </c>
      <c r="I127" s="37" t="str">
        <f>HYPERLINK("https://www.strava.com/activities/2189567221","Strava")</f>
        <v>Strava</v>
      </c>
      <c r="J127" s="40"/>
      <c r="K127" s="2"/>
    </row>
    <row r="128">
      <c r="A128" s="10">
        <v>75.0</v>
      </c>
      <c r="B128" s="10">
        <v>300.0</v>
      </c>
      <c r="C128" s="10">
        <f t="shared" si="1"/>
        <v>4</v>
      </c>
      <c r="D128" s="10">
        <v>183.0</v>
      </c>
      <c r="E128" s="10" t="s">
        <v>19</v>
      </c>
      <c r="F128" s="10" t="s">
        <v>10</v>
      </c>
      <c r="G128" s="10" t="s">
        <v>116</v>
      </c>
      <c r="H128" s="11">
        <v>0.034375</v>
      </c>
      <c r="I128" s="37" t="str">
        <f>HYPERLINK("https://www.strava.com/activities/2189567094","Strava")</f>
        <v>Strava</v>
      </c>
      <c r="J128" s="40"/>
      <c r="K128" s="2"/>
    </row>
    <row r="129">
      <c r="A129" s="20">
        <v>75.0</v>
      </c>
      <c r="B129" s="20">
        <v>300.0</v>
      </c>
      <c r="C129" s="20">
        <f t="shared" si="1"/>
        <v>4</v>
      </c>
      <c r="D129" s="20">
        <v>183.0</v>
      </c>
      <c r="E129" s="20" t="s">
        <v>19</v>
      </c>
      <c r="F129" s="10" t="s">
        <v>10</v>
      </c>
      <c r="G129" s="4" t="s">
        <v>253</v>
      </c>
      <c r="H129" s="5">
        <v>0.034375</v>
      </c>
      <c r="I129" s="32" t="str">
        <f>HYPERLINK("https://www.strava.com/activities/2193775502","Strava")</f>
        <v>Strava</v>
      </c>
      <c r="J129" s="36"/>
      <c r="K129" s="7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A130" s="10">
        <v>75.0</v>
      </c>
      <c r="B130" s="10">
        <v>300.0</v>
      </c>
      <c r="C130" s="10">
        <f t="shared" si="1"/>
        <v>4</v>
      </c>
      <c r="D130" s="10">
        <v>183.0</v>
      </c>
      <c r="E130" s="10" t="s">
        <v>19</v>
      </c>
      <c r="F130" s="10" t="s">
        <v>10</v>
      </c>
      <c r="G130" s="10" t="s">
        <v>17</v>
      </c>
      <c r="H130" s="11">
        <v>0.034386574074074076</v>
      </c>
      <c r="I130" s="37" t="str">
        <f>HYPERLINK("https://www.strava.com/activities/2191954587","Strava")</f>
        <v>Strava</v>
      </c>
      <c r="J130" s="43"/>
      <c r="K130" s="2"/>
    </row>
    <row r="131">
      <c r="A131" s="20">
        <v>75.0</v>
      </c>
      <c r="B131" s="20">
        <v>300.0</v>
      </c>
      <c r="C131" s="20">
        <f t="shared" si="1"/>
        <v>4</v>
      </c>
      <c r="D131" s="20">
        <v>183.0</v>
      </c>
      <c r="E131" s="4" t="s">
        <v>16</v>
      </c>
      <c r="F131" s="10" t="s">
        <v>10</v>
      </c>
      <c r="G131" s="10" t="s">
        <v>17</v>
      </c>
      <c r="H131" s="5">
        <v>0.034386574074074076</v>
      </c>
      <c r="I131" s="32" t="str">
        <f>HYPERLINK("https://www.strava.com/activities/2194326105","Strava")</f>
        <v>Strava</v>
      </c>
      <c r="J131" s="44"/>
      <c r="K131" s="7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A132" s="10">
        <v>75.0</v>
      </c>
      <c r="B132" s="10">
        <v>300.0</v>
      </c>
      <c r="C132" s="10">
        <f t="shared" si="1"/>
        <v>4</v>
      </c>
      <c r="D132" s="10">
        <v>183.0</v>
      </c>
      <c r="E132" s="10" t="s">
        <v>19</v>
      </c>
      <c r="F132" s="10" t="s">
        <v>10</v>
      </c>
      <c r="G132" s="10" t="s">
        <v>172</v>
      </c>
      <c r="H132" s="11">
        <v>0.034386574074074076</v>
      </c>
      <c r="I132" s="37" t="str">
        <f>HYPERLINK("https://www.strava.com/activities/2191574584","Strava")</f>
        <v>Strava</v>
      </c>
      <c r="J132" s="43"/>
      <c r="K132" s="2"/>
    </row>
    <row r="133">
      <c r="A133" s="10">
        <v>75.0</v>
      </c>
      <c r="B133" s="10">
        <v>300.0</v>
      </c>
      <c r="C133" s="10">
        <f t="shared" si="1"/>
        <v>4</v>
      </c>
      <c r="D133" s="10">
        <v>183.0</v>
      </c>
      <c r="E133" s="10" t="s">
        <v>19</v>
      </c>
      <c r="F133" s="10" t="s">
        <v>10</v>
      </c>
      <c r="G133" s="10" t="s">
        <v>91</v>
      </c>
      <c r="H133" s="11">
        <v>0.034386574074074076</v>
      </c>
      <c r="I133" s="37" t="str">
        <f>HYPERLINK("https://www.strava.com/activities/2188676585","Strava")</f>
        <v>Strava</v>
      </c>
      <c r="J133" s="43"/>
      <c r="K133" s="2"/>
    </row>
    <row r="134">
      <c r="A134" s="20">
        <v>75.0</v>
      </c>
      <c r="B134" s="20">
        <v>300.0</v>
      </c>
      <c r="C134" s="20">
        <f t="shared" si="1"/>
        <v>4</v>
      </c>
      <c r="D134" s="20">
        <v>183.0</v>
      </c>
      <c r="E134" s="20" t="s">
        <v>249</v>
      </c>
      <c r="F134" s="10" t="s">
        <v>10</v>
      </c>
      <c r="G134" s="10" t="s">
        <v>17</v>
      </c>
      <c r="H134" s="5">
        <v>0.034409722222222223</v>
      </c>
      <c r="I134" s="32" t="str">
        <f>HYPERLINK("https://www.strava.com/activities/2194325895","Strava")</f>
        <v>Strava</v>
      </c>
      <c r="J134" s="36"/>
      <c r="K134" s="7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A135" s="20">
        <v>75.0</v>
      </c>
      <c r="B135" s="20">
        <v>300.0</v>
      </c>
      <c r="C135" s="20">
        <f t="shared" si="1"/>
        <v>4</v>
      </c>
      <c r="D135" s="20">
        <v>183.0</v>
      </c>
      <c r="E135" s="4" t="s">
        <v>168</v>
      </c>
      <c r="F135" s="10" t="s">
        <v>10</v>
      </c>
      <c r="G135" s="10" t="s">
        <v>17</v>
      </c>
      <c r="H135" s="5">
        <v>0.034409722222222223</v>
      </c>
      <c r="I135" s="32" t="str">
        <f>HYPERLINK("https://www.strava.com/activities/2194326105","Strava")</f>
        <v>Strava</v>
      </c>
      <c r="J135" s="36"/>
      <c r="K135" s="7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A136" s="20">
        <v>75.0</v>
      </c>
      <c r="B136" s="20">
        <v>300.0</v>
      </c>
      <c r="C136" s="20">
        <f t="shared" si="1"/>
        <v>4</v>
      </c>
      <c r="D136" s="20">
        <v>183.0</v>
      </c>
      <c r="E136" s="4" t="s">
        <v>203</v>
      </c>
      <c r="F136" s="10" t="s">
        <v>10</v>
      </c>
      <c r="G136" s="10" t="s">
        <v>17</v>
      </c>
      <c r="H136" s="5">
        <v>0.034409722222222223</v>
      </c>
      <c r="I136" s="32" t="str">
        <f>HYPERLINK("https://www.strava.com/activities/2194326658","Strava")</f>
        <v>Strava</v>
      </c>
      <c r="J136" s="36"/>
      <c r="K136" s="7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A137" s="10">
        <v>75.0</v>
      </c>
      <c r="B137" s="10">
        <v>300.0</v>
      </c>
      <c r="C137" s="10">
        <f t="shared" si="1"/>
        <v>4</v>
      </c>
      <c r="D137" s="10">
        <v>183.0</v>
      </c>
      <c r="E137" s="10" t="s">
        <v>19</v>
      </c>
      <c r="F137" s="10" t="s">
        <v>10</v>
      </c>
      <c r="G137" s="10" t="s">
        <v>170</v>
      </c>
      <c r="H137" s="11">
        <v>0.034409722222222223</v>
      </c>
      <c r="I137" s="12" t="s">
        <v>376</v>
      </c>
      <c r="J137" s="2"/>
      <c r="K137" s="2"/>
    </row>
    <row r="138">
      <c r="A138" s="10">
        <v>75.0</v>
      </c>
      <c r="B138" s="10">
        <v>300.0</v>
      </c>
      <c r="C138" s="10">
        <f t="shared" si="1"/>
        <v>4</v>
      </c>
      <c r="D138" s="10">
        <v>183.0</v>
      </c>
      <c r="E138" s="10" t="s">
        <v>19</v>
      </c>
      <c r="F138" s="10" t="s">
        <v>10</v>
      </c>
      <c r="G138" s="10" t="s">
        <v>108</v>
      </c>
      <c r="H138" s="11">
        <v>0.0344212962962963</v>
      </c>
      <c r="I138" s="37" t="str">
        <f>HYPERLINK("https://www.strava.com/activities/2187643608","Strava")</f>
        <v>Strava</v>
      </c>
      <c r="J138" s="40"/>
      <c r="K138" s="2"/>
    </row>
    <row r="139">
      <c r="A139" s="20">
        <v>75.0</v>
      </c>
      <c r="B139" s="20">
        <v>300.0</v>
      </c>
      <c r="C139" s="20">
        <f t="shared" si="1"/>
        <v>4</v>
      </c>
      <c r="D139" s="20">
        <v>183.0</v>
      </c>
      <c r="E139" s="4" t="s">
        <v>253</v>
      </c>
      <c r="F139" s="10" t="s">
        <v>10</v>
      </c>
      <c r="G139" s="4" t="s">
        <v>133</v>
      </c>
      <c r="H139" s="5">
        <v>0.0344212962962963</v>
      </c>
      <c r="I139" s="32" t="str">
        <f>HYPERLINK("https://www.strava.com/activities/2302626469","Strava")</f>
        <v>Strava</v>
      </c>
      <c r="J139" s="36"/>
      <c r="K139" s="7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A140" s="20">
        <v>75.0</v>
      </c>
      <c r="B140" s="20">
        <v>300.0</v>
      </c>
      <c r="C140" s="20">
        <f t="shared" si="1"/>
        <v>4</v>
      </c>
      <c r="D140" s="20">
        <v>183.0</v>
      </c>
      <c r="E140" s="4" t="s">
        <v>377</v>
      </c>
      <c r="F140" s="10" t="s">
        <v>10</v>
      </c>
      <c r="G140" s="10" t="s">
        <v>17</v>
      </c>
      <c r="H140" s="5">
        <v>0.03443287037037037</v>
      </c>
      <c r="I140" s="32" t="str">
        <f>HYPERLINK("https://www.strava.com/activities/2194326658","Strava")</f>
        <v>Strava</v>
      </c>
      <c r="J140" s="36"/>
      <c r="K140" s="7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A141" s="10">
        <v>75.0</v>
      </c>
      <c r="B141" s="10">
        <v>300.0</v>
      </c>
      <c r="C141" s="10">
        <f t="shared" si="1"/>
        <v>4</v>
      </c>
      <c r="D141" s="10">
        <v>183.0</v>
      </c>
      <c r="E141" s="10" t="s">
        <v>19</v>
      </c>
      <c r="F141" s="10" t="s">
        <v>10</v>
      </c>
      <c r="G141" s="20" t="s">
        <v>143</v>
      </c>
      <c r="H141" s="11">
        <v>0.03443287037037037</v>
      </c>
      <c r="I141" s="37" t="str">
        <f>HYPERLINK("https://www.strava.com/activities/2191396951","Strava")</f>
        <v>Strava</v>
      </c>
      <c r="J141" s="40"/>
      <c r="K141" s="2"/>
    </row>
    <row r="142">
      <c r="A142" s="20">
        <v>75.0</v>
      </c>
      <c r="B142" s="20">
        <v>300.0</v>
      </c>
      <c r="C142" s="20">
        <f t="shared" si="1"/>
        <v>4</v>
      </c>
      <c r="D142" s="20">
        <v>183.0</v>
      </c>
      <c r="E142" s="20" t="s">
        <v>19</v>
      </c>
      <c r="F142" s="10" t="s">
        <v>10</v>
      </c>
      <c r="G142" s="4" t="s">
        <v>201</v>
      </c>
      <c r="H142" s="5">
        <v>0.03445601851851852</v>
      </c>
      <c r="I142" s="32" t="str">
        <f>HYPERLINK("https://www.strava.com/activities/2193677713","Strava")</f>
        <v>Strava</v>
      </c>
      <c r="J142" s="36"/>
      <c r="K142" s="7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A143" s="10">
        <v>75.0</v>
      </c>
      <c r="B143" s="10">
        <v>300.0</v>
      </c>
      <c r="C143" s="10">
        <f t="shared" si="1"/>
        <v>4</v>
      </c>
      <c r="D143" s="10">
        <v>183.0</v>
      </c>
      <c r="E143" s="10" t="s">
        <v>19</v>
      </c>
      <c r="F143" s="10" t="s">
        <v>10</v>
      </c>
      <c r="G143" s="20" t="s">
        <v>139</v>
      </c>
      <c r="H143" s="11">
        <v>0.03446759259259259</v>
      </c>
      <c r="I143" s="37" t="str">
        <f>HYPERLINK("https://www.strava.com/activities/2189920302","Strava")</f>
        <v>Strava</v>
      </c>
      <c r="J143" s="40"/>
      <c r="K143" s="2"/>
    </row>
    <row r="144">
      <c r="A144" s="10">
        <v>60.0</v>
      </c>
      <c r="B144" s="10">
        <v>240.0</v>
      </c>
      <c r="C144" s="10">
        <f t="shared" si="1"/>
        <v>4</v>
      </c>
      <c r="D144" s="10">
        <v>183.0</v>
      </c>
      <c r="E144" s="10" t="s">
        <v>94</v>
      </c>
      <c r="F144" s="10" t="s">
        <v>10</v>
      </c>
      <c r="G144" s="10" t="s">
        <v>133</v>
      </c>
      <c r="H144" s="5">
        <v>0.03454861111111111</v>
      </c>
      <c r="J144" s="28" t="s">
        <v>311</v>
      </c>
    </row>
    <row r="145">
      <c r="A145" s="20">
        <v>75.0</v>
      </c>
      <c r="B145" s="20">
        <v>300.0</v>
      </c>
      <c r="C145" s="20">
        <f t="shared" si="1"/>
        <v>4</v>
      </c>
      <c r="D145" s="20">
        <v>183.0</v>
      </c>
      <c r="E145" s="20" t="s">
        <v>19</v>
      </c>
      <c r="F145" s="10" t="s">
        <v>10</v>
      </c>
      <c r="G145" s="4" t="s">
        <v>302</v>
      </c>
      <c r="H145" s="5">
        <v>0.03446759259259259</v>
      </c>
      <c r="I145" s="32" t="str">
        <f>HYPERLINK("https://www.strava.com/activities/2193775502","Strava")</f>
        <v>Strava</v>
      </c>
      <c r="J145" s="36"/>
      <c r="K145" s="7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A146" s="10">
        <v>75.0</v>
      </c>
      <c r="B146" s="10">
        <v>300.0</v>
      </c>
      <c r="C146" s="10">
        <f t="shared" si="1"/>
        <v>4</v>
      </c>
      <c r="D146" s="10">
        <v>183.0</v>
      </c>
      <c r="E146" s="10" t="s">
        <v>19</v>
      </c>
      <c r="F146" s="10" t="s">
        <v>10</v>
      </c>
      <c r="G146" s="20" t="s">
        <v>131</v>
      </c>
      <c r="H146" s="11">
        <v>0.03449074074074074</v>
      </c>
      <c r="I146" s="37" t="str">
        <f>HYPERLINK("https://www.strava.com/activities/2189889917","Strava")</f>
        <v>Strava</v>
      </c>
      <c r="J146" s="40"/>
      <c r="K146" s="2"/>
    </row>
    <row r="147">
      <c r="A147" s="10">
        <v>75.0</v>
      </c>
      <c r="B147" s="10">
        <v>300.0</v>
      </c>
      <c r="C147" s="10">
        <f t="shared" si="1"/>
        <v>4</v>
      </c>
      <c r="D147" s="10">
        <v>183.0</v>
      </c>
      <c r="E147" s="10" t="s">
        <v>19</v>
      </c>
      <c r="F147" s="10" t="s">
        <v>10</v>
      </c>
      <c r="G147" s="10" t="s">
        <v>65</v>
      </c>
      <c r="H147" s="11">
        <v>0.03449074074074074</v>
      </c>
      <c r="I147" s="37" t="str">
        <f>HYPERLINK("https://www.strava.com/activities/2187642666","Strava")</f>
        <v>Strava</v>
      </c>
      <c r="J147" s="40"/>
      <c r="K147" s="2"/>
    </row>
    <row r="148">
      <c r="A148" s="20">
        <v>75.0</v>
      </c>
      <c r="B148" s="20">
        <v>300.0</v>
      </c>
      <c r="C148" s="20">
        <f t="shared" si="1"/>
        <v>4</v>
      </c>
      <c r="D148" s="20">
        <v>183.0</v>
      </c>
      <c r="E148" s="4" t="s">
        <v>19</v>
      </c>
      <c r="F148" s="10" t="s">
        <v>10</v>
      </c>
      <c r="G148" s="4" t="s">
        <v>11</v>
      </c>
      <c r="H148" s="5">
        <v>0.03449074074074074</v>
      </c>
      <c r="I148" s="32" t="str">
        <f>HYPERLINK("https://www.strava.com/activities/2316447582","Strava")</f>
        <v>Strava</v>
      </c>
      <c r="J148" s="33"/>
      <c r="K148" s="7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A149" s="10">
        <v>75.0</v>
      </c>
      <c r="B149" s="10">
        <v>300.0</v>
      </c>
      <c r="C149" s="10">
        <f t="shared" si="1"/>
        <v>4</v>
      </c>
      <c r="D149" s="10">
        <v>183.0</v>
      </c>
      <c r="E149" s="10" t="s">
        <v>19</v>
      </c>
      <c r="F149" s="10" t="s">
        <v>10</v>
      </c>
      <c r="G149" s="10" t="s">
        <v>137</v>
      </c>
      <c r="H149" s="11">
        <v>0.03450231481481481</v>
      </c>
      <c r="I149" s="12" t="s">
        <v>378</v>
      </c>
      <c r="J149" s="2"/>
      <c r="K149" s="2"/>
    </row>
    <row r="150">
      <c r="A150" s="10">
        <v>75.0</v>
      </c>
      <c r="B150" s="10">
        <v>300.0</v>
      </c>
      <c r="C150" s="10">
        <f t="shared" si="1"/>
        <v>4</v>
      </c>
      <c r="D150" s="10">
        <v>183.0</v>
      </c>
      <c r="E150" s="10" t="s">
        <v>16</v>
      </c>
      <c r="F150" s="10" t="s">
        <v>10</v>
      </c>
      <c r="G150" s="10" t="s">
        <v>122</v>
      </c>
      <c r="H150" s="11">
        <v>0.034513888888888886</v>
      </c>
      <c r="I150" s="12" t="s">
        <v>379</v>
      </c>
      <c r="J150" s="2"/>
      <c r="K150" s="17"/>
    </row>
    <row r="151">
      <c r="A151" s="10">
        <v>75.0</v>
      </c>
      <c r="B151" s="10">
        <v>300.0</v>
      </c>
      <c r="C151" s="10">
        <f t="shared" si="1"/>
        <v>4</v>
      </c>
      <c r="D151" s="10">
        <v>183.0</v>
      </c>
      <c r="E151" s="10" t="s">
        <v>16</v>
      </c>
      <c r="F151" s="10" t="s">
        <v>10</v>
      </c>
      <c r="G151" s="10" t="s">
        <v>17</v>
      </c>
      <c r="H151" s="11">
        <v>0.034583333333333334</v>
      </c>
      <c r="I151" s="12" t="s">
        <v>322</v>
      </c>
      <c r="J151" s="2"/>
      <c r="K151" s="17"/>
    </row>
    <row r="152">
      <c r="A152" s="10">
        <v>75.0</v>
      </c>
      <c r="B152" s="10">
        <v>300.0</v>
      </c>
      <c r="C152" s="10">
        <f t="shared" si="1"/>
        <v>4</v>
      </c>
      <c r="D152" s="10">
        <v>183.0</v>
      </c>
      <c r="E152" s="10" t="s">
        <v>253</v>
      </c>
      <c r="F152" s="10" t="s">
        <v>10</v>
      </c>
      <c r="G152" s="10" t="s">
        <v>17</v>
      </c>
      <c r="H152" s="11">
        <v>0.03459490740740741</v>
      </c>
      <c r="I152" s="12" t="s">
        <v>380</v>
      </c>
      <c r="J152" s="2"/>
      <c r="K152" s="2"/>
    </row>
    <row r="153">
      <c r="A153" s="20">
        <v>75.0</v>
      </c>
      <c r="B153" s="20">
        <v>300.0</v>
      </c>
      <c r="C153" s="20">
        <f t="shared" si="1"/>
        <v>4</v>
      </c>
      <c r="D153" s="20">
        <v>183.0</v>
      </c>
      <c r="E153" s="4" t="s">
        <v>306</v>
      </c>
      <c r="F153" s="10" t="s">
        <v>10</v>
      </c>
      <c r="G153" s="10" t="s">
        <v>17</v>
      </c>
      <c r="H153" s="5">
        <v>0.0346875</v>
      </c>
      <c r="I153" s="32" t="str">
        <f>HYPERLINK("https://www.strava.com/activities/2194325895","Strava")</f>
        <v>Strava</v>
      </c>
      <c r="J153" s="36"/>
      <c r="K153" s="7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A154" s="20">
        <v>75.0</v>
      </c>
      <c r="B154" s="20">
        <v>300.0</v>
      </c>
      <c r="C154" s="20">
        <f t="shared" si="1"/>
        <v>4</v>
      </c>
      <c r="D154" s="20">
        <v>183.0</v>
      </c>
      <c r="E154" s="4" t="s">
        <v>28</v>
      </c>
      <c r="F154" s="4" t="s">
        <v>24</v>
      </c>
      <c r="G154" s="4" t="s">
        <v>133</v>
      </c>
      <c r="H154" s="5">
        <v>0.0346875</v>
      </c>
      <c r="I154" s="32" t="str">
        <f>HYPERLINK("https://www.strava.com/activities/2412885435","Strava")</f>
        <v>Strava</v>
      </c>
      <c r="J154" s="45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A155" s="10">
        <v>75.0</v>
      </c>
      <c r="B155" s="10">
        <v>300.0</v>
      </c>
      <c r="C155" s="10">
        <f t="shared" si="1"/>
        <v>4</v>
      </c>
      <c r="D155" s="10">
        <v>183.0</v>
      </c>
      <c r="E155" s="10" t="s">
        <v>42</v>
      </c>
      <c r="F155" s="10" t="s">
        <v>24</v>
      </c>
      <c r="G155" s="10" t="s">
        <v>17</v>
      </c>
      <c r="H155" s="11">
        <v>0.034756944444444444</v>
      </c>
      <c r="I155" s="37" t="str">
        <f>HYPERLINK("https://www.strava.com/activities/2191386608","Strava")</f>
        <v>Strava</v>
      </c>
      <c r="J155" s="40"/>
      <c r="K155" s="2"/>
    </row>
    <row r="156">
      <c r="A156" s="10">
        <v>75.0</v>
      </c>
      <c r="B156" s="10">
        <v>300.0</v>
      </c>
      <c r="C156" s="10">
        <f t="shared" si="1"/>
        <v>4</v>
      </c>
      <c r="D156" s="10">
        <v>183.0</v>
      </c>
      <c r="E156" s="10" t="s">
        <v>40</v>
      </c>
      <c r="F156" s="10" t="s">
        <v>24</v>
      </c>
      <c r="G156" s="10" t="s">
        <v>17</v>
      </c>
      <c r="H156" s="11">
        <v>0.03476851851851852</v>
      </c>
      <c r="I156" s="12" t="s">
        <v>381</v>
      </c>
      <c r="J156" s="2"/>
      <c r="K156" s="2"/>
    </row>
    <row r="157">
      <c r="A157" s="10">
        <v>75.0</v>
      </c>
      <c r="B157" s="10">
        <v>300.0</v>
      </c>
      <c r="C157" s="10">
        <f t="shared" si="1"/>
        <v>4</v>
      </c>
      <c r="D157" s="10">
        <v>183.0</v>
      </c>
      <c r="E157" s="10" t="s">
        <v>260</v>
      </c>
      <c r="F157" s="10" t="s">
        <v>10</v>
      </c>
      <c r="G157" s="10" t="s">
        <v>260</v>
      </c>
      <c r="H157" s="11">
        <v>0.03476851851851852</v>
      </c>
      <c r="I157" s="12" t="s">
        <v>382</v>
      </c>
      <c r="J157" s="2"/>
      <c r="K157" s="17" t="s">
        <v>314</v>
      </c>
    </row>
    <row r="158">
      <c r="A158" s="10">
        <v>75.0</v>
      </c>
      <c r="B158" s="10">
        <v>300.0</v>
      </c>
      <c r="C158" s="10">
        <f t="shared" si="1"/>
        <v>4</v>
      </c>
      <c r="D158" s="10">
        <v>183.0</v>
      </c>
      <c r="E158" s="10" t="s">
        <v>32</v>
      </c>
      <c r="F158" s="10" t="s">
        <v>24</v>
      </c>
      <c r="G158" s="10" t="s">
        <v>17</v>
      </c>
      <c r="H158" s="11">
        <v>0.03478009259259259</v>
      </c>
      <c r="I158" s="37" t="str">
        <f>HYPERLINK("https://www.strava.com/activities/2191386608","Strava")</f>
        <v>Strava</v>
      </c>
      <c r="J158" s="40"/>
      <c r="K158" s="2"/>
    </row>
    <row r="159">
      <c r="A159" s="10">
        <v>75.0</v>
      </c>
      <c r="B159" s="10">
        <v>300.0</v>
      </c>
      <c r="C159" s="10">
        <f t="shared" si="1"/>
        <v>4</v>
      </c>
      <c r="D159" s="10">
        <v>183.0</v>
      </c>
      <c r="E159" s="10" t="s">
        <v>23</v>
      </c>
      <c r="F159" s="10" t="s">
        <v>24</v>
      </c>
      <c r="G159" s="10" t="s">
        <v>17</v>
      </c>
      <c r="H159" s="11">
        <v>0.03481481481481481</v>
      </c>
      <c r="I159" s="12" t="s">
        <v>383</v>
      </c>
      <c r="J159" s="2"/>
      <c r="K159" s="17"/>
    </row>
    <row r="160">
      <c r="A160" s="10">
        <v>75.0</v>
      </c>
      <c r="B160" s="10">
        <v>300.0</v>
      </c>
      <c r="C160" s="10">
        <f t="shared" si="1"/>
        <v>4</v>
      </c>
      <c r="D160" s="10">
        <v>183.0</v>
      </c>
      <c r="E160" s="10" t="s">
        <v>38</v>
      </c>
      <c r="F160" s="10" t="s">
        <v>24</v>
      </c>
      <c r="G160" s="10" t="s">
        <v>17</v>
      </c>
      <c r="H160" s="11">
        <v>0.034837962962962966</v>
      </c>
      <c r="I160" s="37" t="str">
        <f t="shared" ref="I160:I161" si="3">HYPERLINK("https://www.strava.com/activities/2191396951","Strava")</f>
        <v>Strava</v>
      </c>
      <c r="J160" s="40"/>
      <c r="K160" s="2"/>
    </row>
    <row r="161">
      <c r="A161" s="10">
        <v>75.0</v>
      </c>
      <c r="B161" s="10">
        <v>300.0</v>
      </c>
      <c r="C161" s="10">
        <f t="shared" si="1"/>
        <v>4</v>
      </c>
      <c r="D161" s="10">
        <v>183.0</v>
      </c>
      <c r="E161" s="10" t="s">
        <v>26</v>
      </c>
      <c r="F161" s="10" t="s">
        <v>24</v>
      </c>
      <c r="G161" s="10" t="s">
        <v>17</v>
      </c>
      <c r="H161" s="11">
        <v>0.03484953703703704</v>
      </c>
      <c r="I161" s="37" t="str">
        <f t="shared" si="3"/>
        <v>Strava</v>
      </c>
      <c r="J161" s="40"/>
      <c r="K161" s="2"/>
    </row>
    <row r="162">
      <c r="A162" s="20">
        <v>75.0</v>
      </c>
      <c r="B162" s="20">
        <v>300.0</v>
      </c>
      <c r="C162" s="20">
        <f t="shared" si="1"/>
        <v>4</v>
      </c>
      <c r="D162" s="20">
        <v>183.0</v>
      </c>
      <c r="E162" s="4" t="s">
        <v>28</v>
      </c>
      <c r="F162" s="10" t="s">
        <v>24</v>
      </c>
      <c r="G162" s="10" t="s">
        <v>17</v>
      </c>
      <c r="H162" s="5">
        <v>0.03484953703703704</v>
      </c>
      <c r="I162" s="32" t="str">
        <f>HYPERLINK("https://www.strava.com/activities/2415467636","Strava")</f>
        <v>Strava</v>
      </c>
      <c r="J162" s="7"/>
      <c r="K162" s="7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A163" s="10">
        <v>75.0</v>
      </c>
      <c r="B163" s="10">
        <v>300.0</v>
      </c>
      <c r="C163" s="10">
        <f t="shared" si="1"/>
        <v>4</v>
      </c>
      <c r="D163" s="10">
        <v>183.0</v>
      </c>
      <c r="E163" s="10" t="s">
        <v>36</v>
      </c>
      <c r="F163" s="10" t="s">
        <v>24</v>
      </c>
      <c r="G163" s="10" t="s">
        <v>17</v>
      </c>
      <c r="H163" s="11">
        <v>0.034861111111111114</v>
      </c>
      <c r="I163" s="12" t="s">
        <v>384</v>
      </c>
      <c r="J163" s="2"/>
      <c r="K163" s="2"/>
    </row>
    <row r="164">
      <c r="A164" s="10">
        <v>75.0</v>
      </c>
      <c r="B164" s="10">
        <v>300.0</v>
      </c>
      <c r="C164" s="10">
        <f t="shared" si="1"/>
        <v>4</v>
      </c>
      <c r="D164" s="10">
        <v>183.0</v>
      </c>
      <c r="E164" s="10" t="s">
        <v>52</v>
      </c>
      <c r="F164" s="10" t="s">
        <v>24</v>
      </c>
      <c r="G164" s="10" t="s">
        <v>17</v>
      </c>
      <c r="H164" s="11">
        <v>0.034861111111111114</v>
      </c>
      <c r="I164" s="37" t="str">
        <f>HYPERLINK("https://www.strava.com/activities/2191954587","Strava")</f>
        <v>Strava</v>
      </c>
      <c r="J164" s="40"/>
      <c r="K164" s="2"/>
    </row>
    <row r="165">
      <c r="A165" s="10">
        <v>60.0</v>
      </c>
      <c r="B165" s="10">
        <v>240.0</v>
      </c>
      <c r="C165" s="10">
        <f t="shared" si="1"/>
        <v>4</v>
      </c>
      <c r="D165" s="10">
        <v>183.0</v>
      </c>
      <c r="E165" s="10" t="s">
        <v>9</v>
      </c>
      <c r="F165" s="10" t="s">
        <v>10</v>
      </c>
      <c r="G165" s="10" t="s">
        <v>11</v>
      </c>
      <c r="H165" s="5">
        <v>0.035069444444444445</v>
      </c>
      <c r="I165" s="2"/>
      <c r="J165" s="12" t="s">
        <v>311</v>
      </c>
      <c r="K165" s="2"/>
    </row>
    <row r="166">
      <c r="A166" s="20">
        <v>75.0</v>
      </c>
      <c r="B166" s="20">
        <v>300.0</v>
      </c>
      <c r="C166" s="20">
        <f t="shared" si="1"/>
        <v>4</v>
      </c>
      <c r="D166" s="20">
        <v>183.0</v>
      </c>
      <c r="E166" s="4" t="s">
        <v>46</v>
      </c>
      <c r="F166" s="10" t="s">
        <v>24</v>
      </c>
      <c r="G166" s="10" t="s">
        <v>17</v>
      </c>
      <c r="H166" s="5">
        <v>0.03487268518518519</v>
      </c>
      <c r="I166" s="32" t="str">
        <f>HYPERLINK("https://www.strava.com/activities/2191955476","Strava")</f>
        <v>Strava</v>
      </c>
      <c r="J166" s="36"/>
      <c r="K166" s="7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A167" s="10">
        <v>75.0</v>
      </c>
      <c r="B167" s="10">
        <v>300.0</v>
      </c>
      <c r="C167" s="10">
        <f t="shared" si="1"/>
        <v>4</v>
      </c>
      <c r="D167" s="10">
        <v>183.0</v>
      </c>
      <c r="E167" s="10" t="s">
        <v>30</v>
      </c>
      <c r="F167" s="10" t="s">
        <v>24</v>
      </c>
      <c r="G167" s="10" t="s">
        <v>17</v>
      </c>
      <c r="H167" s="11">
        <v>0.03487268518518519</v>
      </c>
      <c r="I167" s="37" t="str">
        <f>HYPERLINK("https://www.strava.com/activities/2191396951","Strava")</f>
        <v>Strava</v>
      </c>
      <c r="J167" s="40"/>
      <c r="K167" s="2"/>
    </row>
    <row r="168">
      <c r="A168" s="10">
        <v>75.0</v>
      </c>
      <c r="B168" s="10">
        <v>300.0</v>
      </c>
      <c r="C168" s="10">
        <f t="shared" si="1"/>
        <v>4</v>
      </c>
      <c r="D168" s="10">
        <v>183.0</v>
      </c>
      <c r="E168" s="10" t="s">
        <v>385</v>
      </c>
      <c r="F168" s="10" t="s">
        <v>24</v>
      </c>
      <c r="G168" s="10" t="s">
        <v>17</v>
      </c>
      <c r="H168" s="11">
        <v>0.03488425925925926</v>
      </c>
      <c r="I168" s="37" t="str">
        <f>HYPERLINK("https://www.strava.com/activities/2191574584","Strava")</f>
        <v>Strava</v>
      </c>
      <c r="J168" s="40"/>
      <c r="K168" s="2"/>
    </row>
    <row r="169">
      <c r="A169" s="10">
        <v>75.0</v>
      </c>
      <c r="B169" s="10">
        <v>300.0</v>
      </c>
      <c r="C169" s="10">
        <f t="shared" si="1"/>
        <v>4</v>
      </c>
      <c r="D169" s="10">
        <v>183.0</v>
      </c>
      <c r="E169" s="10" t="s">
        <v>48</v>
      </c>
      <c r="F169" s="10" t="s">
        <v>24</v>
      </c>
      <c r="G169" s="10" t="s">
        <v>17</v>
      </c>
      <c r="H169" s="11">
        <v>0.034965277777777776</v>
      </c>
      <c r="I169" s="37" t="str">
        <f t="shared" ref="I169:I170" si="4">HYPERLINK("https://www.strava.com/activities/2191956190","Strava")</f>
        <v>Strava</v>
      </c>
      <c r="J169" s="40"/>
      <c r="K169" s="2"/>
    </row>
    <row r="170">
      <c r="A170" s="10">
        <v>75.0</v>
      </c>
      <c r="B170" s="10">
        <v>300.0</v>
      </c>
      <c r="C170" s="10">
        <f t="shared" si="1"/>
        <v>4</v>
      </c>
      <c r="D170" s="10">
        <v>183.0</v>
      </c>
      <c r="E170" s="10" t="s">
        <v>50</v>
      </c>
      <c r="F170" s="10" t="s">
        <v>24</v>
      </c>
      <c r="G170" s="10" t="s">
        <v>17</v>
      </c>
      <c r="H170" s="11">
        <v>0.035</v>
      </c>
      <c r="I170" s="37" t="str">
        <f t="shared" si="4"/>
        <v>Strava</v>
      </c>
      <c r="J170" s="40"/>
      <c r="K170" s="2"/>
    </row>
    <row r="171">
      <c r="A171" s="10">
        <v>75.0</v>
      </c>
      <c r="B171" s="10">
        <v>300.0</v>
      </c>
      <c r="C171" s="10">
        <f t="shared" si="1"/>
        <v>4</v>
      </c>
      <c r="D171" s="10">
        <v>183.0</v>
      </c>
      <c r="E171" s="10" t="s">
        <v>56</v>
      </c>
      <c r="F171" s="10" t="s">
        <v>24</v>
      </c>
      <c r="G171" s="10" t="s">
        <v>17</v>
      </c>
      <c r="H171" s="11">
        <v>0.03505787037037037</v>
      </c>
      <c r="I171" s="37" t="str">
        <f>HYPERLINK("https://www.strava.com/activities/2191954587","Strava")</f>
        <v>Strava</v>
      </c>
      <c r="J171" s="38"/>
      <c r="K171" s="2"/>
    </row>
    <row r="172">
      <c r="A172" s="20">
        <v>75.0</v>
      </c>
      <c r="B172" s="20">
        <v>300.0</v>
      </c>
      <c r="C172" s="20">
        <f t="shared" si="1"/>
        <v>4</v>
      </c>
      <c r="D172" s="20">
        <v>183.0</v>
      </c>
      <c r="E172" s="4" t="s">
        <v>34</v>
      </c>
      <c r="F172" s="10" t="s">
        <v>24</v>
      </c>
      <c r="G172" s="10" t="s">
        <v>17</v>
      </c>
      <c r="H172" s="5">
        <v>0.03516203703703704</v>
      </c>
      <c r="I172" s="32" t="str">
        <f>HYPERLINK("https://www.strava.com/activities/2191955476","Strava")</f>
        <v>Strava</v>
      </c>
      <c r="J172" s="36"/>
      <c r="K172" s="7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A173" s="10">
        <v>75.0</v>
      </c>
      <c r="B173" s="10">
        <v>300.0</v>
      </c>
      <c r="C173" s="10">
        <f t="shared" si="1"/>
        <v>4</v>
      </c>
      <c r="D173" s="10">
        <v>183.0</v>
      </c>
      <c r="E173" s="10" t="s">
        <v>201</v>
      </c>
      <c r="F173" s="10" t="s">
        <v>10</v>
      </c>
      <c r="G173" s="10" t="s">
        <v>17</v>
      </c>
      <c r="H173" s="11">
        <v>0.035277777777777776</v>
      </c>
      <c r="I173" s="12" t="s">
        <v>386</v>
      </c>
      <c r="J173" s="2"/>
      <c r="K173" s="2"/>
    </row>
    <row r="174">
      <c r="A174" s="10">
        <v>75.0</v>
      </c>
      <c r="B174" s="10">
        <v>300.0</v>
      </c>
      <c r="C174" s="10">
        <f t="shared" si="1"/>
        <v>4</v>
      </c>
      <c r="D174" s="10">
        <v>183.0</v>
      </c>
      <c r="E174" s="10" t="s">
        <v>270</v>
      </c>
      <c r="F174" s="10" t="s">
        <v>267</v>
      </c>
      <c r="G174" s="10" t="s">
        <v>268</v>
      </c>
      <c r="H174" s="11">
        <v>0.03570601851851852</v>
      </c>
      <c r="I174" s="12" t="s">
        <v>387</v>
      </c>
      <c r="J174" s="2"/>
      <c r="K174" s="2"/>
    </row>
    <row r="175">
      <c r="A175" s="10">
        <v>75.0</v>
      </c>
      <c r="B175" s="10">
        <v>300.0</v>
      </c>
      <c r="C175" s="10">
        <f t="shared" si="1"/>
        <v>4</v>
      </c>
      <c r="D175" s="10">
        <v>183.0</v>
      </c>
      <c r="E175" s="10" t="s">
        <v>266</v>
      </c>
      <c r="F175" s="10" t="s">
        <v>267</v>
      </c>
      <c r="G175" s="10" t="s">
        <v>268</v>
      </c>
      <c r="H175" s="11">
        <v>0.035868055555555556</v>
      </c>
      <c r="I175" s="12" t="s">
        <v>388</v>
      </c>
      <c r="J175" s="2"/>
      <c r="K175" s="2"/>
    </row>
    <row r="176">
      <c r="A176" s="10">
        <v>50.0</v>
      </c>
      <c r="B176" s="10">
        <v>200.0</v>
      </c>
      <c r="C176" s="10">
        <f t="shared" si="1"/>
        <v>4</v>
      </c>
      <c r="D176" s="10">
        <v>183.0</v>
      </c>
      <c r="E176" s="10" t="s">
        <v>19</v>
      </c>
      <c r="F176" s="10" t="s">
        <v>10</v>
      </c>
      <c r="G176" s="10" t="s">
        <v>17</v>
      </c>
      <c r="H176" s="11">
        <v>0.03606481481481481</v>
      </c>
      <c r="I176" s="12" t="s">
        <v>389</v>
      </c>
      <c r="J176" s="2"/>
      <c r="K176" s="2"/>
    </row>
    <row r="177">
      <c r="A177" s="10">
        <v>75.0</v>
      </c>
      <c r="B177" s="10">
        <v>225.0</v>
      </c>
      <c r="C177" s="10">
        <f t="shared" si="1"/>
        <v>3</v>
      </c>
      <c r="D177" s="10">
        <v>183.0</v>
      </c>
      <c r="E177" s="10" t="s">
        <v>13</v>
      </c>
      <c r="F177" s="10" t="s">
        <v>10</v>
      </c>
      <c r="G177" s="10" t="s">
        <v>14</v>
      </c>
      <c r="H177" s="11">
        <v>0.04443287037037037</v>
      </c>
      <c r="I177" s="12" t="s">
        <v>313</v>
      </c>
      <c r="J177" s="2"/>
      <c r="K177" s="17" t="s">
        <v>314</v>
      </c>
    </row>
    <row r="178">
      <c r="A178" s="10">
        <v>75.0</v>
      </c>
      <c r="B178" s="10">
        <v>300.0</v>
      </c>
      <c r="C178" s="10">
        <f t="shared" si="1"/>
        <v>4</v>
      </c>
      <c r="D178" s="10">
        <v>183.0</v>
      </c>
      <c r="E178" s="10" t="s">
        <v>272</v>
      </c>
      <c r="F178" s="10" t="s">
        <v>267</v>
      </c>
      <c r="G178" s="10" t="s">
        <v>268</v>
      </c>
      <c r="H178" s="11">
        <v>0.03605324074074074</v>
      </c>
      <c r="I178" s="12" t="s">
        <v>390</v>
      </c>
      <c r="J178" s="2"/>
      <c r="K178" s="2"/>
    </row>
    <row r="179">
      <c r="A179" s="10">
        <v>75.0</v>
      </c>
      <c r="B179" s="10">
        <v>225.0</v>
      </c>
      <c r="C179" s="10">
        <f t="shared" si="1"/>
        <v>3</v>
      </c>
      <c r="D179" s="10">
        <v>183.0</v>
      </c>
      <c r="E179" s="10" t="s">
        <v>19</v>
      </c>
      <c r="F179" s="10" t="s">
        <v>10</v>
      </c>
      <c r="G179" s="10" t="s">
        <v>17</v>
      </c>
      <c r="H179" s="11">
        <v>0.044953703703703704</v>
      </c>
      <c r="I179" s="12" t="s">
        <v>391</v>
      </c>
      <c r="J179" s="2"/>
      <c r="K179" s="2"/>
    </row>
    <row r="180">
      <c r="A180" s="10">
        <v>75.0</v>
      </c>
      <c r="B180" s="10">
        <v>225.0</v>
      </c>
      <c r="C180" s="10">
        <f t="shared" si="1"/>
        <v>3</v>
      </c>
      <c r="D180" s="10">
        <v>183.0</v>
      </c>
      <c r="E180" s="10" t="s">
        <v>16</v>
      </c>
      <c r="F180" s="10" t="s">
        <v>10</v>
      </c>
      <c r="G180" s="10" t="s">
        <v>17</v>
      </c>
      <c r="H180" s="11">
        <v>0.04525462962962963</v>
      </c>
      <c r="I180" s="12" t="s">
        <v>322</v>
      </c>
      <c r="J180" s="2"/>
      <c r="K180" s="17" t="s">
        <v>314</v>
      </c>
    </row>
    <row r="181">
      <c r="A181" s="10">
        <v>50.0</v>
      </c>
      <c r="B181" s="10">
        <v>150.0</v>
      </c>
      <c r="C181" s="10">
        <f t="shared" si="1"/>
        <v>3</v>
      </c>
      <c r="D181" s="10">
        <v>183.0</v>
      </c>
      <c r="E181" s="10" t="s">
        <v>19</v>
      </c>
      <c r="F181" s="10" t="s">
        <v>10</v>
      </c>
      <c r="G181" s="10" t="s">
        <v>17</v>
      </c>
      <c r="H181" s="11">
        <v>0.04710648148148148</v>
      </c>
      <c r="I181" s="12" t="s">
        <v>392</v>
      </c>
      <c r="J181" s="2"/>
      <c r="K181" s="2"/>
    </row>
    <row r="182">
      <c r="A182" s="10">
        <v>75.0</v>
      </c>
      <c r="B182" s="10">
        <v>150.0</v>
      </c>
      <c r="C182" s="10">
        <f t="shared" si="1"/>
        <v>2</v>
      </c>
      <c r="D182" s="10">
        <v>183.0</v>
      </c>
      <c r="E182" s="10" t="s">
        <v>94</v>
      </c>
      <c r="F182" s="10" t="s">
        <v>10</v>
      </c>
      <c r="G182" s="10" t="s">
        <v>133</v>
      </c>
      <c r="H182" s="11">
        <v>0.06523148148148149</v>
      </c>
      <c r="I182" s="15" t="s">
        <v>393</v>
      </c>
      <c r="J182" s="2"/>
      <c r="K182" s="17" t="s">
        <v>314</v>
      </c>
    </row>
    <row r="183">
      <c r="A183" s="10">
        <v>75.0</v>
      </c>
      <c r="B183" s="10">
        <v>225.0</v>
      </c>
      <c r="C183" s="10">
        <f t="shared" si="1"/>
        <v>3</v>
      </c>
      <c r="D183" s="10">
        <v>183.0</v>
      </c>
      <c r="E183" s="10" t="s">
        <v>94</v>
      </c>
      <c r="F183" s="10" t="s">
        <v>10</v>
      </c>
      <c r="G183" s="10" t="s">
        <v>133</v>
      </c>
      <c r="H183" s="11">
        <v>0.044189814814814814</v>
      </c>
      <c r="I183" s="12" t="s">
        <v>394</v>
      </c>
      <c r="J183" s="2"/>
      <c r="K183" s="17" t="s">
        <v>314</v>
      </c>
    </row>
    <row r="184">
      <c r="A184" s="10">
        <v>75.0</v>
      </c>
      <c r="B184" s="10">
        <v>300.0</v>
      </c>
      <c r="C184" s="10">
        <f t="shared" si="1"/>
        <v>4</v>
      </c>
      <c r="D184" s="10">
        <v>183.0</v>
      </c>
      <c r="E184" s="10" t="s">
        <v>268</v>
      </c>
      <c r="F184" s="10" t="s">
        <v>267</v>
      </c>
      <c r="G184" s="10" t="s">
        <v>268</v>
      </c>
      <c r="H184" s="11">
        <v>0.03606481481481481</v>
      </c>
      <c r="I184" s="12" t="s">
        <v>395</v>
      </c>
      <c r="J184" s="2"/>
      <c r="K184" s="2"/>
    </row>
    <row r="185">
      <c r="A185" s="10">
        <v>75.0</v>
      </c>
      <c r="B185" s="10">
        <v>375.0</v>
      </c>
      <c r="C185" s="10">
        <f t="shared" si="1"/>
        <v>5</v>
      </c>
      <c r="D185" s="10">
        <v>183.0</v>
      </c>
      <c r="E185" s="10" t="s">
        <v>94</v>
      </c>
      <c r="F185" s="10" t="s">
        <v>10</v>
      </c>
      <c r="G185" s="10" t="s">
        <v>133</v>
      </c>
      <c r="H185" s="11">
        <v>0.027662037037037037</v>
      </c>
      <c r="I185" s="12" t="s">
        <v>394</v>
      </c>
      <c r="J185" s="2"/>
      <c r="K185" s="17" t="s">
        <v>314</v>
      </c>
    </row>
    <row r="186">
      <c r="A186" s="10">
        <v>75.0</v>
      </c>
      <c r="B186" s="10">
        <v>150.0</v>
      </c>
      <c r="C186" s="10">
        <f t="shared" si="1"/>
        <v>2</v>
      </c>
      <c r="D186" s="10">
        <v>183.0</v>
      </c>
      <c r="E186" s="10" t="s">
        <v>13</v>
      </c>
      <c r="F186" s="10" t="s">
        <v>10</v>
      </c>
      <c r="G186" s="10" t="s">
        <v>14</v>
      </c>
      <c r="H186" s="11">
        <v>0.06564814814814815</v>
      </c>
      <c r="I186" s="15" t="s">
        <v>313</v>
      </c>
      <c r="J186" s="2"/>
      <c r="K186" s="17" t="s">
        <v>314</v>
      </c>
    </row>
    <row r="187">
      <c r="A187" s="10">
        <v>100.0</v>
      </c>
      <c r="B187" s="10">
        <v>200.0</v>
      </c>
      <c r="C187" s="10">
        <f t="shared" si="1"/>
        <v>2</v>
      </c>
      <c r="D187" s="10">
        <v>183.0</v>
      </c>
      <c r="E187" s="10" t="s">
        <v>19</v>
      </c>
      <c r="F187" s="10" t="s">
        <v>10</v>
      </c>
      <c r="G187" s="10" t="s">
        <v>17</v>
      </c>
      <c r="H187" s="11">
        <v>0.06483796296296296</v>
      </c>
      <c r="I187" s="12" t="s">
        <v>396</v>
      </c>
      <c r="J187" s="2"/>
      <c r="K187" s="2"/>
    </row>
    <row r="188">
      <c r="A188" s="10">
        <v>75.0</v>
      </c>
      <c r="B188" s="10">
        <v>150.0</v>
      </c>
      <c r="C188" s="10">
        <f t="shared" si="1"/>
        <v>2</v>
      </c>
      <c r="D188" s="10">
        <v>183.0</v>
      </c>
      <c r="E188" s="10" t="s">
        <v>19</v>
      </c>
      <c r="F188" s="10" t="s">
        <v>10</v>
      </c>
      <c r="G188" s="10" t="s">
        <v>17</v>
      </c>
      <c r="H188" s="11">
        <v>0.06641203703703703</v>
      </c>
      <c r="I188" s="12" t="s">
        <v>397</v>
      </c>
      <c r="J188" s="2"/>
      <c r="K188" s="2"/>
    </row>
    <row r="189">
      <c r="A189" s="10">
        <v>75.0</v>
      </c>
      <c r="B189" s="10">
        <v>150.0</v>
      </c>
      <c r="C189" s="10">
        <f t="shared" si="1"/>
        <v>2</v>
      </c>
      <c r="D189" s="10">
        <v>183.0</v>
      </c>
      <c r="E189" s="10" t="s">
        <v>16</v>
      </c>
      <c r="F189" s="10" t="s">
        <v>10</v>
      </c>
      <c r="G189" s="10" t="s">
        <v>17</v>
      </c>
      <c r="H189" s="11">
        <v>0.06685185185185186</v>
      </c>
      <c r="I189" s="15" t="s">
        <v>322</v>
      </c>
      <c r="J189" s="2"/>
      <c r="K189" s="17" t="s">
        <v>314</v>
      </c>
    </row>
    <row r="190">
      <c r="A190" s="10">
        <v>75.0</v>
      </c>
      <c r="B190" s="10">
        <v>300.0</v>
      </c>
      <c r="C190" s="10">
        <f t="shared" si="1"/>
        <v>4</v>
      </c>
      <c r="D190" s="10">
        <v>183.0</v>
      </c>
      <c r="E190" s="10" t="s">
        <v>274</v>
      </c>
      <c r="F190" s="10" t="s">
        <v>267</v>
      </c>
      <c r="G190" s="10" t="s">
        <v>268</v>
      </c>
      <c r="H190" s="11">
        <v>0.03608796296296296</v>
      </c>
      <c r="I190" s="12" t="s">
        <v>398</v>
      </c>
      <c r="J190" s="2"/>
      <c r="K190" s="2"/>
    </row>
    <row r="191">
      <c r="A191" s="10">
        <v>75.0</v>
      </c>
      <c r="B191" s="10">
        <v>300.0</v>
      </c>
      <c r="C191" s="10">
        <f t="shared" si="1"/>
        <v>4</v>
      </c>
      <c r="D191" s="10">
        <v>183.0</v>
      </c>
      <c r="E191" s="10" t="s">
        <v>284</v>
      </c>
      <c r="F191" s="10" t="s">
        <v>285</v>
      </c>
      <c r="G191" s="10" t="s">
        <v>286</v>
      </c>
      <c r="H191" s="11">
        <v>0.037835648148148146</v>
      </c>
      <c r="I191" s="12" t="s">
        <v>399</v>
      </c>
      <c r="J191" s="2"/>
      <c r="K191" s="17" t="s">
        <v>400</v>
      </c>
    </row>
    <row r="192">
      <c r="A192" s="10">
        <v>50.0</v>
      </c>
      <c r="B192" s="10">
        <v>100.0</v>
      </c>
      <c r="C192" s="10">
        <f t="shared" si="1"/>
        <v>2</v>
      </c>
      <c r="D192" s="10">
        <v>183.0</v>
      </c>
      <c r="E192" s="10" t="s">
        <v>19</v>
      </c>
      <c r="F192" s="10" t="s">
        <v>10</v>
      </c>
      <c r="G192" s="10" t="s">
        <v>17</v>
      </c>
      <c r="H192" s="11">
        <v>0.0694675925925926</v>
      </c>
      <c r="I192" s="23" t="s">
        <v>401</v>
      </c>
      <c r="J192" s="2"/>
      <c r="K192" s="24"/>
    </row>
    <row r="193">
      <c r="A193" s="10">
        <v>75.0</v>
      </c>
      <c r="B193" s="10">
        <v>300.0</v>
      </c>
      <c r="C193" s="10">
        <f t="shared" si="1"/>
        <v>4</v>
      </c>
      <c r="D193" s="10">
        <v>183.0</v>
      </c>
      <c r="E193" s="10" t="s">
        <v>289</v>
      </c>
      <c r="F193" s="10" t="s">
        <v>285</v>
      </c>
      <c r="G193" s="10" t="s">
        <v>286</v>
      </c>
      <c r="H193" s="11">
        <v>0.03784722222222222</v>
      </c>
      <c r="I193" s="12" t="s">
        <v>402</v>
      </c>
      <c r="J193" s="2"/>
      <c r="K193" s="17" t="s">
        <v>400</v>
      </c>
    </row>
    <row r="194">
      <c r="A194" s="10">
        <v>75.0</v>
      </c>
      <c r="B194" s="10">
        <v>300.0</v>
      </c>
      <c r="C194" s="10">
        <f t="shared" si="1"/>
        <v>4</v>
      </c>
      <c r="D194" s="10">
        <v>183.0</v>
      </c>
      <c r="E194" s="10" t="s">
        <v>291</v>
      </c>
      <c r="F194" s="10" t="s">
        <v>285</v>
      </c>
      <c r="G194" s="10" t="s">
        <v>286</v>
      </c>
      <c r="H194" s="11">
        <v>0.03796296296296296</v>
      </c>
      <c r="I194" s="12" t="s">
        <v>403</v>
      </c>
      <c r="J194" s="2"/>
      <c r="K194" s="17" t="s">
        <v>400</v>
      </c>
    </row>
    <row r="195">
      <c r="A195" s="10">
        <v>75.0</v>
      </c>
      <c r="B195" s="10">
        <v>300.0</v>
      </c>
      <c r="C195" s="10">
        <f t="shared" si="1"/>
        <v>4</v>
      </c>
      <c r="D195" s="10">
        <v>183.0</v>
      </c>
      <c r="E195" s="10" t="s">
        <v>286</v>
      </c>
      <c r="F195" s="10" t="s">
        <v>285</v>
      </c>
      <c r="G195" s="10" t="s">
        <v>286</v>
      </c>
      <c r="H195" s="11">
        <v>0.038078703703703705</v>
      </c>
      <c r="I195" s="12" t="s">
        <v>404</v>
      </c>
      <c r="J195" s="2"/>
      <c r="K195" s="17" t="s">
        <v>400</v>
      </c>
    </row>
    <row r="196">
      <c r="A196" s="10">
        <v>100.0</v>
      </c>
      <c r="B196" s="10">
        <v>300.0</v>
      </c>
      <c r="C196" s="10">
        <f t="shared" si="1"/>
        <v>3</v>
      </c>
      <c r="D196" s="10">
        <v>183.0</v>
      </c>
      <c r="E196" s="10" t="s">
        <v>19</v>
      </c>
      <c r="F196" s="10" t="s">
        <v>10</v>
      </c>
      <c r="G196" s="10" t="s">
        <v>17</v>
      </c>
      <c r="H196" s="11">
        <v>0.04384259259259259</v>
      </c>
      <c r="I196" s="12" t="s">
        <v>405</v>
      </c>
      <c r="J196" s="2"/>
      <c r="K196" s="2"/>
    </row>
    <row r="197">
      <c r="A197" s="10">
        <v>75.0</v>
      </c>
      <c r="B197" s="10">
        <v>300.0</v>
      </c>
      <c r="C197" s="10">
        <f t="shared" si="1"/>
        <v>4</v>
      </c>
      <c r="D197" s="10">
        <v>183.0</v>
      </c>
      <c r="E197" s="10" t="s">
        <v>406</v>
      </c>
      <c r="F197" s="10" t="s">
        <v>285</v>
      </c>
      <c r="G197" s="10" t="s">
        <v>286</v>
      </c>
      <c r="H197" s="11">
        <v>0.038483796296296294</v>
      </c>
      <c r="I197" s="12" t="s">
        <v>407</v>
      </c>
      <c r="J197" s="2"/>
      <c r="K197" s="2"/>
    </row>
    <row r="198">
      <c r="A198" s="10">
        <v>75.0</v>
      </c>
      <c r="B198" s="10">
        <v>300.0</v>
      </c>
      <c r="C198" s="10">
        <f t="shared" si="1"/>
        <v>4</v>
      </c>
      <c r="D198" s="10">
        <v>183.0</v>
      </c>
      <c r="E198" s="10" t="s">
        <v>284</v>
      </c>
      <c r="F198" s="10" t="s">
        <v>285</v>
      </c>
      <c r="G198" s="10" t="s">
        <v>286</v>
      </c>
      <c r="H198" s="11">
        <v>0.03855324074074074</v>
      </c>
      <c r="I198" s="12" t="s">
        <v>408</v>
      </c>
      <c r="J198" s="2"/>
      <c r="K198" s="17" t="s">
        <v>298</v>
      </c>
    </row>
    <row r="199">
      <c r="A199" s="10">
        <v>75.0</v>
      </c>
      <c r="B199" s="10">
        <v>300.0</v>
      </c>
      <c r="C199" s="10">
        <f t="shared" si="1"/>
        <v>4</v>
      </c>
      <c r="D199" s="10">
        <v>183.0</v>
      </c>
      <c r="E199" s="10" t="s">
        <v>289</v>
      </c>
      <c r="F199" s="10" t="s">
        <v>285</v>
      </c>
      <c r="G199" s="10" t="s">
        <v>286</v>
      </c>
      <c r="H199" s="11">
        <v>0.03861111111111111</v>
      </c>
      <c r="I199" s="12" t="s">
        <v>409</v>
      </c>
      <c r="J199" s="2"/>
      <c r="K199" s="17" t="s">
        <v>298</v>
      </c>
    </row>
    <row r="200">
      <c r="A200" s="10">
        <v>75.0</v>
      </c>
      <c r="B200" s="10">
        <v>300.0</v>
      </c>
      <c r="C200" s="10">
        <f t="shared" si="1"/>
        <v>4</v>
      </c>
      <c r="D200" s="10">
        <v>183.0</v>
      </c>
      <c r="E200" s="10" t="s">
        <v>289</v>
      </c>
      <c r="F200" s="10" t="s">
        <v>285</v>
      </c>
      <c r="G200" s="10" t="s">
        <v>286</v>
      </c>
      <c r="H200" s="11">
        <v>0.03861111111111111</v>
      </c>
      <c r="I200" s="12" t="s">
        <v>409</v>
      </c>
      <c r="J200" s="2"/>
      <c r="K200" s="17" t="s">
        <v>298</v>
      </c>
    </row>
    <row r="201">
      <c r="A201" s="10">
        <v>75.0</v>
      </c>
      <c r="B201" s="10">
        <v>300.0</v>
      </c>
      <c r="C201" s="10">
        <f t="shared" si="1"/>
        <v>4</v>
      </c>
      <c r="D201" s="10">
        <v>183.0</v>
      </c>
      <c r="E201" s="10" t="s">
        <v>291</v>
      </c>
      <c r="F201" s="10" t="s">
        <v>285</v>
      </c>
      <c r="G201" s="10" t="s">
        <v>286</v>
      </c>
      <c r="H201" s="11">
        <v>0.03868055555555556</v>
      </c>
      <c r="I201" s="12" t="s">
        <v>410</v>
      </c>
      <c r="J201" s="2"/>
      <c r="K201" s="17" t="s">
        <v>298</v>
      </c>
    </row>
    <row r="202">
      <c r="A202" s="10">
        <v>75.0</v>
      </c>
      <c r="B202" s="10">
        <v>300.0</v>
      </c>
      <c r="C202" s="10">
        <f t="shared" si="1"/>
        <v>4</v>
      </c>
      <c r="D202" s="10">
        <v>183.0</v>
      </c>
      <c r="E202" s="10" t="s">
        <v>286</v>
      </c>
      <c r="F202" s="10" t="s">
        <v>285</v>
      </c>
      <c r="G202" s="10" t="s">
        <v>286</v>
      </c>
      <c r="H202" s="11">
        <v>0.03880787037037037</v>
      </c>
      <c r="I202" s="12" t="s">
        <v>411</v>
      </c>
      <c r="J202" s="2"/>
      <c r="K202" s="17" t="s">
        <v>298</v>
      </c>
    </row>
    <row r="999">
      <c r="A999" s="10">
        <v>75.0</v>
      </c>
      <c r="B999" s="10">
        <v>300.0</v>
      </c>
      <c r="C999" s="10">
        <f>B999/A999</f>
        <v>4</v>
      </c>
      <c r="D999" s="10">
        <v>183.0</v>
      </c>
      <c r="E999" s="10" t="s">
        <v>9</v>
      </c>
      <c r="F999" s="10" t="s">
        <v>10</v>
      </c>
      <c r="G999" s="10" t="s">
        <v>79</v>
      </c>
      <c r="H999" s="5">
        <v>0.034074074074074076</v>
      </c>
      <c r="I999" s="12" t="s">
        <v>412</v>
      </c>
      <c r="J999" s="17"/>
      <c r="K999" s="2"/>
    </row>
    <row r="1000">
      <c r="I1000" s="46"/>
      <c r="J1000" s="46"/>
    </row>
  </sheetData>
  <autoFilter ref="$A$1:$I$999"/>
  <customSheetViews>
    <customSheetView guid="{131ED934-56A5-4A4B-9246-8993FA1F050E}" filter="1" showAutoFilter="1">
      <autoFilter ref="$A$1:$I$1000">
        <filterColumn colId="4">
          <filters blank="1">
            <filter val="Specialized Tarmac"/>
            <filter val="Giant Propel Advanced SL Disc"/>
            <filter val="BMC Timemachine01"/>
            <filter val="Canyon Inflite"/>
            <filter val="Ribble Endurance"/>
            <filter val="Specialized Ruby S-Works"/>
            <filter val="Focus Izalco Max 2020"/>
            <filter val="Zwift Steel"/>
            <filter val="Specialized Tarmac Pro"/>
            <filter val="Cube Aerium"/>
            <filter val="Canyon Speedmax CF SLX Disc"/>
            <filter val="Specialized Allez"/>
            <filter val="Specialized Shiv Disc"/>
            <filter val="Cannondale Synapse"/>
            <filter val="Zwift Big Wheel"/>
            <filter val="Zwift Gravel"/>
            <filter val="Scott Foil"/>
            <filter val="Specialized Amira S-Works"/>
            <filter val="Zwift Carbon"/>
            <filter val="Specialized Tarmac SL7"/>
            <filter val="Pinarello Bolide TT"/>
            <filter val="Ventum One"/>
            <filter val="Specialized Roubaix"/>
            <filter val="Specialized Ruby"/>
            <filter val="Specialized Venge"/>
            <filter val="Pinarello Dogma 65.1"/>
            <filter val="Giant TCR Advanced SL"/>
            <filter val="Colnago V3RS"/>
            <filter val="Specialized Allez Sprint"/>
            <filter val="Scott Plasma"/>
            <filter val="Zwift Mountain"/>
            <filter val="Trek Emonda SL"/>
            <filter val="Specialized Roubaix S-Works"/>
            <filter val="Chapter2 Rere"/>
            <filter val="Diamondback Andean"/>
            <filter val="Specialized Aethos"/>
            <filter val="Felt AR"/>
            <filter val="Factor One"/>
            <filter val="Cervelo P5"/>
            <filter val="Giant TCR Advanced SL Disc"/>
            <filter val="Bridgestone SR9s"/>
            <filter val="Specialized Shiv"/>
            <filter val="Lauf True Grit"/>
            <filter val="Chapter2 Tere"/>
            <filter val="Felt IA"/>
            <filter val="Canyon Speedmax"/>
            <filter val="Zwift Safety"/>
            <filter val="OLD Canyon Aeroad 2021"/>
            <filter val="Zwift TT"/>
            <filter val="Pinarello Dogma F10"/>
            <filter val="Cervelo P5x"/>
            <filter val="Pinarello Dogma F12"/>
            <filter val="Cannondale Evo"/>
            <filter val="Trek Emonda"/>
            <filter val="Cannondale EVO"/>
            <filter val="OLD Specialized Tarmac Pro"/>
            <filter val="Zwift Buffalo Fahrrad"/>
            <filter val="Pinarello F8"/>
            <filter val="Cannondale SuperSix EVO"/>
            <filter val="Specialized Shiv S-Works"/>
            <filter val="Ridley Noah Fast Disc"/>
            <filter val="Liv Langma Advanced SL 0"/>
            <filter val="BMC SLR01"/>
            <filter val="Cervelo S3D"/>
            <filter val="Pinarello Dogma F"/>
            <filter val="Ridley Helium"/>
            <filter val="Cube Litening"/>
            <filter val="Tron (Concept Z1)"/>
            <filter val="Cannondale CAAD12"/>
            <filter val="Specialized Amira"/>
            <filter val="Specialized Epic S-Works"/>
            <filter val="Pinarello Bolide"/>
            <filter val="Canyon Grail"/>
            <filter val="Canyon Lux"/>
            <filter val="Canyon Ultimate"/>
            <filter val="Cannondale SystemSix"/>
            <filter val="Parlee RZ7"/>
            <filter val="Cervelo Aspero"/>
            <filter val="Trek Supercaliber"/>
            <filter val="Scott Spark RC"/>
            <filter val="Canyon Aeroad 2021"/>
            <filter val="Specialized Venge S-Works"/>
            <filter val="Cervelo R5"/>
          </filters>
        </filterColumn>
        <filterColumn colId="3">
          <filters blank="1">
            <filter val="183"/>
          </filters>
        </filterColumn>
        <filterColumn colId="0">
          <filters blank="1">
            <filter val="90"/>
            <filter val="60"/>
            <filter val="75"/>
          </filters>
        </filterColumn>
        <filterColumn colId="1">
          <filters blank="1">
            <filter val="100"/>
            <filter val="225"/>
            <filter val="360"/>
            <filter val="240"/>
          </filters>
        </filterColumn>
        <filterColumn colId="6">
          <filters blank="1">
            <filter val="ENVE SES 6.7"/>
            <filter val="ENVE 3.4"/>
            <filter val="ENVE SES 7.8"/>
            <filter val="Shimano C40"/>
            <filter val="ENVE SES 8.9"/>
            <filter val="DT Swiss ARC 62"/>
            <filter val="Zwift Safety"/>
            <filter val="ENVE 7.8"/>
            <filter val="ENVE SES 3.4"/>
            <filter val="Lightweight Meilenstein"/>
            <filter val="Shimano C60"/>
            <filter val="Roval Alpinist CLX"/>
            <filter val="ENVE SES 2.2"/>
            <filter val="Tron"/>
            <filter val="Roval Rapide CLX"/>
            <filter val="Zwift Buffalo Fahrrad"/>
            <filter val="50mm Carbon"/>
            <filter val="Bontrager Aeolus5"/>
            <filter val="32mm Carbon"/>
            <filter val="Zwift Big Wheel"/>
            <filter val="Zwift Gravel"/>
            <filter val="Roval CLX 64"/>
            <filter val="Campagnolo Bora Ultra 50"/>
            <filter val="Mavic Comete Pro Carbon SL UST"/>
            <filter val="Zipp 858/Super9"/>
            <filter val="Zipp 808/Super9"/>
            <filter val="Giant SLR 0"/>
            <filter val="Zipp 454"/>
            <filter val="Zipp 353 NSW"/>
            <filter val="Campagnolo Boral Ultra 35"/>
            <filter val="Mavic Cosmic Ultimate UST"/>
            <filter val="Zwift Mountain"/>
            <filter val="Zipp 858"/>
            <filter val="Zwift Classic"/>
          </filters>
        </filterColumn>
      </autoFilter>
    </customSheetView>
  </customSheetViews>
  <hyperlinks>
    <hyperlink r:id="rId1" ref="J2"/>
    <hyperlink r:id="rId2" ref="I4"/>
    <hyperlink r:id="rId3" ref="J5"/>
    <hyperlink r:id="rId4" ref="I6"/>
    <hyperlink r:id="rId5" ref="I8"/>
    <hyperlink r:id="rId6" ref="I9"/>
    <hyperlink r:id="rId7" ref="I10"/>
    <hyperlink r:id="rId8" ref="I11"/>
    <hyperlink r:id="rId9" ref="I12"/>
    <hyperlink r:id="rId10" ref="I14"/>
    <hyperlink r:id="rId11" ref="I15"/>
    <hyperlink r:id="rId12" ref="I16"/>
    <hyperlink r:id="rId13" ref="I18"/>
    <hyperlink r:id="rId14" ref="I22"/>
    <hyperlink r:id="rId15" ref="I25"/>
    <hyperlink r:id="rId16" ref="I26"/>
    <hyperlink r:id="rId17" ref="I27"/>
    <hyperlink r:id="rId18" ref="I28"/>
    <hyperlink r:id="rId19" ref="I29"/>
    <hyperlink r:id="rId20" ref="I30"/>
    <hyperlink r:id="rId21" ref="I37"/>
    <hyperlink r:id="rId22" ref="I40"/>
    <hyperlink r:id="rId23" ref="I41"/>
    <hyperlink r:id="rId24" ref="I42"/>
    <hyperlink r:id="rId25" ref="I44"/>
    <hyperlink r:id="rId26" ref="I48"/>
    <hyperlink r:id="rId27" ref="I49"/>
    <hyperlink r:id="rId28" ref="I50"/>
    <hyperlink r:id="rId29" ref="I52"/>
    <hyperlink r:id="rId30" ref="I53"/>
    <hyperlink r:id="rId31" ref="I61"/>
    <hyperlink r:id="rId32" ref="I62"/>
    <hyperlink r:id="rId33" ref="I68"/>
    <hyperlink r:id="rId34" ref="I69"/>
    <hyperlink r:id="rId35" ref="I71"/>
    <hyperlink r:id="rId36" ref="I73"/>
    <hyperlink r:id="rId37" ref="I75"/>
    <hyperlink r:id="rId38" ref="I83"/>
    <hyperlink r:id="rId39" ref="I85"/>
    <hyperlink r:id="rId40" ref="I87"/>
    <hyperlink r:id="rId41" ref="I91"/>
    <hyperlink r:id="rId42" ref="I92"/>
    <hyperlink r:id="rId43" ref="I101"/>
    <hyperlink r:id="rId44" ref="I103"/>
    <hyperlink r:id="rId45" ref="I107"/>
    <hyperlink r:id="rId46" ref="I109"/>
    <hyperlink r:id="rId47" ref="I115"/>
    <hyperlink r:id="rId48" ref="I117"/>
    <hyperlink r:id="rId49" ref="I120"/>
    <hyperlink r:id="rId50" ref="I123"/>
    <hyperlink r:id="rId51" ref="I124"/>
    <hyperlink r:id="rId52" ref="I125"/>
    <hyperlink r:id="rId53" ref="I137"/>
    <hyperlink r:id="rId54" ref="J144"/>
    <hyperlink r:id="rId55" ref="I149"/>
    <hyperlink r:id="rId56" ref="I150"/>
    <hyperlink r:id="rId57" ref="I151"/>
    <hyperlink r:id="rId58" ref="I152"/>
    <hyperlink r:id="rId59" ref="I156"/>
    <hyperlink r:id="rId60" ref="I157"/>
    <hyperlink r:id="rId61" ref="I159"/>
    <hyperlink r:id="rId62" ref="I163"/>
    <hyperlink r:id="rId63" ref="J165"/>
    <hyperlink r:id="rId64" ref="I173"/>
    <hyperlink r:id="rId65" ref="I174"/>
    <hyperlink r:id="rId66" ref="I175"/>
    <hyperlink r:id="rId67" ref="I176"/>
    <hyperlink r:id="rId68" ref="I177"/>
    <hyperlink r:id="rId69" ref="I178"/>
    <hyperlink r:id="rId70" ref="I179"/>
    <hyperlink r:id="rId71" ref="I180"/>
    <hyperlink r:id="rId72" ref="I181"/>
    <hyperlink r:id="rId73" ref="I182"/>
    <hyperlink r:id="rId74" ref="I183"/>
    <hyperlink r:id="rId75" ref="I184"/>
    <hyperlink r:id="rId76" ref="I185"/>
    <hyperlink r:id="rId77" ref="I186"/>
    <hyperlink r:id="rId78" ref="I187"/>
    <hyperlink r:id="rId79" ref="I188"/>
    <hyperlink r:id="rId80" ref="I189"/>
    <hyperlink r:id="rId81" ref="I190"/>
    <hyperlink r:id="rId82" ref="I191"/>
    <hyperlink r:id="rId83" ref="I192"/>
    <hyperlink r:id="rId84" ref="I193"/>
    <hyperlink r:id="rId85" ref="I194"/>
    <hyperlink r:id="rId86" ref="I195"/>
    <hyperlink r:id="rId87" ref="I196"/>
    <hyperlink r:id="rId88" ref="I197"/>
    <hyperlink r:id="rId89" ref="I198"/>
    <hyperlink r:id="rId90" ref="I199"/>
    <hyperlink r:id="rId91" ref="I200"/>
    <hyperlink r:id="rId92" ref="I201"/>
    <hyperlink r:id="rId93" ref="I202"/>
    <hyperlink r:id="rId94" ref="I999"/>
  </hyperlinks>
  <drawing r:id="rId95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  <col customWidth="1" min="6" max="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454</v>
      </c>
      <c r="H1" s="1" t="s">
        <v>472</v>
      </c>
      <c r="I1" s="1" t="s">
        <v>632</v>
      </c>
      <c r="J1" s="1" t="s">
        <v>554</v>
      </c>
      <c r="K1" s="1" t="s">
        <v>632</v>
      </c>
      <c r="L1" s="1" t="s">
        <v>555</v>
      </c>
      <c r="M1" s="30"/>
      <c r="N1" s="1" t="s">
        <v>8</v>
      </c>
    </row>
    <row r="2">
      <c r="A2" s="10"/>
      <c r="B2" s="10"/>
      <c r="C2" s="10"/>
      <c r="D2" s="10"/>
      <c r="E2" s="74" t="s">
        <v>633</v>
      </c>
      <c r="F2" s="10"/>
      <c r="G2" s="11"/>
      <c r="H2" s="11"/>
      <c r="I2" s="48"/>
      <c r="J2" s="11"/>
      <c r="K2" s="75"/>
      <c r="L2" s="62"/>
      <c r="M2" s="62"/>
    </row>
    <row r="3">
      <c r="A3" s="10">
        <v>75.0</v>
      </c>
      <c r="B3" s="10">
        <v>375.0</v>
      </c>
      <c r="C3" s="10">
        <f>B3/A3</f>
        <v>5</v>
      </c>
      <c r="D3" s="10">
        <v>183.0</v>
      </c>
      <c r="E3" s="63" t="s">
        <v>32</v>
      </c>
      <c r="F3" s="10" t="s">
        <v>634</v>
      </c>
      <c r="G3" s="11">
        <v>0.010868055555555556</v>
      </c>
      <c r="H3" s="11">
        <f t="shared" ref="H3:H18" si="1">G3-J3</f>
        <v>0.005439814815</v>
      </c>
      <c r="I3" s="48">
        <f t="shared" ref="I3:I18" si="2">H3/(H3+J3)</f>
        <v>0.5005324814</v>
      </c>
      <c r="J3" s="11">
        <v>0.00542824074074074</v>
      </c>
      <c r="K3" s="75">
        <f t="shared" ref="K3:K18" si="3">J3/(H3+J3)</f>
        <v>0.4994675186</v>
      </c>
      <c r="L3" s="62"/>
      <c r="M3" s="37" t="str">
        <f>HYPERLINK("https://www.strava.com/activities/2365413947","Strava")</f>
        <v>Strava</v>
      </c>
    </row>
    <row r="4">
      <c r="A4" s="10">
        <v>75.0</v>
      </c>
      <c r="B4" s="10" t="s">
        <v>635</v>
      </c>
      <c r="C4" s="10"/>
      <c r="D4" s="10">
        <v>183.0</v>
      </c>
      <c r="E4" s="63" t="s">
        <v>26</v>
      </c>
      <c r="F4" s="10" t="s">
        <v>634</v>
      </c>
      <c r="G4" s="11">
        <v>0.012337962962962964</v>
      </c>
      <c r="H4" s="11">
        <f t="shared" si="1"/>
        <v>0.00619212963</v>
      </c>
      <c r="I4" s="48">
        <f t="shared" si="2"/>
        <v>0.5018761726</v>
      </c>
      <c r="J4" s="11">
        <v>0.006145833333333333</v>
      </c>
      <c r="K4" s="75">
        <f t="shared" si="3"/>
        <v>0.4981238274</v>
      </c>
      <c r="L4" s="62"/>
      <c r="M4" s="37" t="str">
        <f>HYPERLINK("https://www.strava.com/activities/2365048721","Strava")</f>
        <v>Strava</v>
      </c>
      <c r="N4" s="13" t="s">
        <v>636</v>
      </c>
    </row>
    <row r="5">
      <c r="A5" s="10">
        <v>75.0</v>
      </c>
      <c r="B5" s="10" t="s">
        <v>635</v>
      </c>
      <c r="C5" s="10"/>
      <c r="D5" s="10">
        <v>183.0</v>
      </c>
      <c r="E5" s="10" t="s">
        <v>73</v>
      </c>
      <c r="F5" s="10" t="s">
        <v>351</v>
      </c>
      <c r="G5" s="11">
        <v>0.012361111111111111</v>
      </c>
      <c r="H5" s="11">
        <f t="shared" si="1"/>
        <v>0.006388888889</v>
      </c>
      <c r="I5" s="48">
        <f t="shared" si="2"/>
        <v>0.5168539326</v>
      </c>
      <c r="J5" s="11">
        <v>0.0059722222222222225</v>
      </c>
      <c r="K5" s="75">
        <f t="shared" si="3"/>
        <v>0.4831460674</v>
      </c>
      <c r="L5" s="62"/>
      <c r="M5" s="37" t="str">
        <f>HYPERLINK("https://www.strava.com/activities/2365248411","Strava")</f>
        <v>Strava</v>
      </c>
    </row>
    <row r="6">
      <c r="A6" s="10">
        <v>75.0</v>
      </c>
      <c r="B6" s="10" t="s">
        <v>635</v>
      </c>
      <c r="C6" s="10"/>
      <c r="D6" s="10">
        <v>183.0</v>
      </c>
      <c r="E6" s="4" t="s">
        <v>94</v>
      </c>
      <c r="F6" s="4" t="s">
        <v>133</v>
      </c>
      <c r="G6" s="11">
        <v>0.012418981481481482</v>
      </c>
      <c r="H6" s="11">
        <f t="shared" si="1"/>
        <v>0.006493055556</v>
      </c>
      <c r="I6" s="48">
        <f t="shared" si="2"/>
        <v>0.522833178</v>
      </c>
      <c r="J6" s="11">
        <v>0.005925925925925926</v>
      </c>
      <c r="K6" s="75">
        <f t="shared" si="3"/>
        <v>0.477166822</v>
      </c>
      <c r="L6" s="62"/>
      <c r="M6" s="37" t="str">
        <f>HYPERLINK("https://www.strava.com/activities/2365123415","Strava")</f>
        <v>Strava</v>
      </c>
      <c r="N6" s="13" t="s">
        <v>636</v>
      </c>
    </row>
    <row r="7">
      <c r="A7" s="10">
        <v>75.0</v>
      </c>
      <c r="B7" s="10">
        <v>300.0</v>
      </c>
      <c r="C7" s="10">
        <f t="shared" ref="C7:C23" si="4">B7/A7</f>
        <v>4</v>
      </c>
      <c r="D7" s="10">
        <v>183.0</v>
      </c>
      <c r="E7" s="63" t="s">
        <v>32</v>
      </c>
      <c r="F7" s="10" t="s">
        <v>79</v>
      </c>
      <c r="G7" s="11">
        <v>0.012615740740740742</v>
      </c>
      <c r="H7" s="11">
        <f t="shared" si="1"/>
        <v>0.005960648148</v>
      </c>
      <c r="I7" s="48">
        <f t="shared" si="2"/>
        <v>0.4724770642</v>
      </c>
      <c r="J7" s="11">
        <v>0.006655092592592593</v>
      </c>
      <c r="K7" s="75">
        <f t="shared" si="3"/>
        <v>0.5275229358</v>
      </c>
      <c r="L7" s="62"/>
      <c r="M7" s="37" t="str">
        <f t="shared" ref="M7:M8" si="5">HYPERLINK("https://www.strava.com/activities/2364921231","Strava")</f>
        <v>Strava</v>
      </c>
    </row>
    <row r="8">
      <c r="A8" s="10">
        <v>75.0</v>
      </c>
      <c r="B8" s="10">
        <v>300.0</v>
      </c>
      <c r="C8" s="10">
        <f t="shared" si="4"/>
        <v>4</v>
      </c>
      <c r="D8" s="10">
        <v>183.0</v>
      </c>
      <c r="E8" s="63" t="s">
        <v>26</v>
      </c>
      <c r="F8" s="10" t="s">
        <v>634</v>
      </c>
      <c r="G8" s="11">
        <v>0.012615740740740742</v>
      </c>
      <c r="H8" s="11">
        <f t="shared" si="1"/>
        <v>0.005914351852</v>
      </c>
      <c r="I8" s="48">
        <f t="shared" si="2"/>
        <v>0.4688073394</v>
      </c>
      <c r="J8" s="11">
        <v>0.006701388888888889</v>
      </c>
      <c r="K8" s="75">
        <f t="shared" si="3"/>
        <v>0.5311926606</v>
      </c>
      <c r="L8" s="62"/>
      <c r="M8" s="37" t="str">
        <f t="shared" si="5"/>
        <v>Strava</v>
      </c>
    </row>
    <row r="9">
      <c r="A9" s="10">
        <v>75.0</v>
      </c>
      <c r="B9" s="10">
        <v>300.0</v>
      </c>
      <c r="C9" s="10">
        <f t="shared" si="4"/>
        <v>4</v>
      </c>
      <c r="D9" s="10">
        <v>183.0</v>
      </c>
      <c r="E9" s="63" t="s">
        <v>28</v>
      </c>
      <c r="F9" s="10" t="s">
        <v>634</v>
      </c>
      <c r="G9" s="11">
        <v>0.012627314814814815</v>
      </c>
      <c r="H9" s="11">
        <f t="shared" si="1"/>
        <v>0.005925925926</v>
      </c>
      <c r="I9" s="48">
        <f t="shared" si="2"/>
        <v>0.4692942255</v>
      </c>
      <c r="J9" s="11">
        <v>0.006701388888888889</v>
      </c>
      <c r="K9" s="75">
        <f t="shared" si="3"/>
        <v>0.5307057745</v>
      </c>
      <c r="L9" s="62"/>
      <c r="M9" s="37" t="str">
        <f>HYPERLINK("https://www.strava.com/activities/2431760506","Strava")</f>
        <v>Strava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0">
        <v>75.0</v>
      </c>
      <c r="B10" s="10">
        <v>300.0</v>
      </c>
      <c r="C10" s="10">
        <f t="shared" si="4"/>
        <v>4</v>
      </c>
      <c r="D10" s="10">
        <v>183.0</v>
      </c>
      <c r="E10" s="63" t="s">
        <v>32</v>
      </c>
      <c r="F10" s="10" t="s">
        <v>634</v>
      </c>
      <c r="G10" s="11">
        <v>0.012627314814814815</v>
      </c>
      <c r="H10" s="11">
        <f t="shared" si="1"/>
        <v>0.005949074074</v>
      </c>
      <c r="I10" s="48">
        <f t="shared" si="2"/>
        <v>0.471127406</v>
      </c>
      <c r="J10" s="11">
        <v>0.006678240740740741</v>
      </c>
      <c r="K10" s="75">
        <f t="shared" si="3"/>
        <v>0.528872594</v>
      </c>
      <c r="L10" s="62"/>
      <c r="M10" s="37" t="str">
        <f>HYPERLINK("https://www.strava.com/activities/2361845770","Strava")</f>
        <v>Strava</v>
      </c>
    </row>
    <row r="11">
      <c r="A11" s="10">
        <v>75.0</v>
      </c>
      <c r="B11" s="10">
        <v>300.0</v>
      </c>
      <c r="C11" s="10">
        <f t="shared" si="4"/>
        <v>4</v>
      </c>
      <c r="D11" s="10">
        <v>183.0</v>
      </c>
      <c r="E11" s="63" t="s">
        <v>42</v>
      </c>
      <c r="F11" s="10" t="s">
        <v>634</v>
      </c>
      <c r="G11" s="11">
        <v>0.012638888888888889</v>
      </c>
      <c r="H11" s="11">
        <f t="shared" si="1"/>
        <v>0.005972222222</v>
      </c>
      <c r="I11" s="48">
        <f t="shared" si="2"/>
        <v>0.4725274725</v>
      </c>
      <c r="J11" s="11">
        <v>0.006666666666666667</v>
      </c>
      <c r="K11" s="75">
        <f t="shared" si="3"/>
        <v>0.5274725275</v>
      </c>
      <c r="L11" s="62"/>
      <c r="M11" s="37" t="str">
        <f>HYPERLINK("https://www.strava.com/activities/2365413947","Strava")</f>
        <v>Strava</v>
      </c>
    </row>
    <row r="12">
      <c r="A12" s="10">
        <v>75.0</v>
      </c>
      <c r="B12" s="10">
        <v>300.0</v>
      </c>
      <c r="C12" s="10">
        <f t="shared" si="4"/>
        <v>4</v>
      </c>
      <c r="D12" s="10">
        <v>183.0</v>
      </c>
      <c r="E12" s="10" t="s">
        <v>73</v>
      </c>
      <c r="F12" s="10" t="s">
        <v>351</v>
      </c>
      <c r="G12" s="11">
        <v>0.012638888888888889</v>
      </c>
      <c r="H12" s="11">
        <f t="shared" si="1"/>
        <v>0.006122685185</v>
      </c>
      <c r="I12" s="48">
        <f t="shared" si="2"/>
        <v>0.4844322344</v>
      </c>
      <c r="J12" s="11">
        <v>0.006516203703703704</v>
      </c>
      <c r="K12" s="75">
        <f t="shared" si="3"/>
        <v>0.5155677656</v>
      </c>
      <c r="L12" s="62"/>
      <c r="M12" s="37" t="str">
        <f>HYPERLINK("https://www.strava.com/activities/2361845770","Strava")</f>
        <v>Strava</v>
      </c>
    </row>
    <row r="13">
      <c r="A13" s="10">
        <v>75.0</v>
      </c>
      <c r="B13" s="10">
        <v>300.0</v>
      </c>
      <c r="C13" s="10">
        <f t="shared" si="4"/>
        <v>4</v>
      </c>
      <c r="D13" s="10">
        <v>183.0</v>
      </c>
      <c r="E13" s="63" t="s">
        <v>32</v>
      </c>
      <c r="F13" s="4" t="s">
        <v>133</v>
      </c>
      <c r="G13" s="11">
        <v>0.012662037037037038</v>
      </c>
      <c r="H13" s="11">
        <f t="shared" si="1"/>
        <v>0.006030092593</v>
      </c>
      <c r="I13" s="48">
        <f t="shared" si="2"/>
        <v>0.4762340037</v>
      </c>
      <c r="J13" s="11">
        <v>0.006631944444444445</v>
      </c>
      <c r="K13" s="75">
        <f t="shared" si="3"/>
        <v>0.5237659963</v>
      </c>
      <c r="L13" s="62"/>
      <c r="M13" s="37" t="str">
        <f>HYPERLINK("https://www.strava.com/activities/2359227555","Strava")</f>
        <v>Strava</v>
      </c>
    </row>
    <row r="14">
      <c r="A14" s="10">
        <v>75.0</v>
      </c>
      <c r="B14" s="10">
        <v>300.0</v>
      </c>
      <c r="C14" s="10">
        <f t="shared" si="4"/>
        <v>4</v>
      </c>
      <c r="D14" s="10">
        <v>183.0</v>
      </c>
      <c r="E14" s="10" t="s">
        <v>9</v>
      </c>
      <c r="F14" s="10" t="s">
        <v>79</v>
      </c>
      <c r="G14" s="11">
        <v>0.012662037037037038</v>
      </c>
      <c r="H14" s="11">
        <f t="shared" si="1"/>
        <v>0.006134259259</v>
      </c>
      <c r="I14" s="48">
        <f t="shared" si="2"/>
        <v>0.4844606947</v>
      </c>
      <c r="J14" s="11">
        <v>0.006527777777777778</v>
      </c>
      <c r="K14" s="75">
        <f t="shared" si="3"/>
        <v>0.5155393053</v>
      </c>
      <c r="L14" s="62"/>
      <c r="M14" s="37" t="str">
        <f>HYPERLINK("https://www.strava.com/activities/2361887261","Strava")</f>
        <v>Strava</v>
      </c>
    </row>
    <row r="15">
      <c r="A15" s="10">
        <v>75.0</v>
      </c>
      <c r="B15" s="10">
        <v>300.0</v>
      </c>
      <c r="C15" s="10">
        <f t="shared" si="4"/>
        <v>4</v>
      </c>
      <c r="D15" s="10">
        <v>183.0</v>
      </c>
      <c r="E15" s="4" t="s">
        <v>94</v>
      </c>
      <c r="F15" s="10" t="s">
        <v>634</v>
      </c>
      <c r="G15" s="11">
        <v>0.012673611111111111</v>
      </c>
      <c r="H15" s="11">
        <f t="shared" si="1"/>
        <v>0.006157407407</v>
      </c>
      <c r="I15" s="48">
        <f t="shared" si="2"/>
        <v>0.4858447489</v>
      </c>
      <c r="J15" s="11">
        <v>0.006516203703703704</v>
      </c>
      <c r="K15" s="75">
        <f t="shared" si="3"/>
        <v>0.5141552511</v>
      </c>
      <c r="L15" s="62"/>
      <c r="M15" s="37" t="str">
        <f>HYPERLINK("https://www.strava.com/activities/2364921231","Strava")</f>
        <v>Strava</v>
      </c>
    </row>
    <row r="16">
      <c r="A16" s="10">
        <v>75.0</v>
      </c>
      <c r="B16" s="10">
        <v>300.0</v>
      </c>
      <c r="C16" s="10">
        <f t="shared" si="4"/>
        <v>4</v>
      </c>
      <c r="D16" s="10">
        <v>183.0</v>
      </c>
      <c r="E16" s="4" t="s">
        <v>94</v>
      </c>
      <c r="F16" s="4" t="s">
        <v>133</v>
      </c>
      <c r="G16" s="11">
        <v>0.012685185185185185</v>
      </c>
      <c r="H16" s="11">
        <f t="shared" si="1"/>
        <v>0.006226851852</v>
      </c>
      <c r="I16" s="48">
        <f t="shared" si="2"/>
        <v>0.4908759124</v>
      </c>
      <c r="J16" s="11">
        <v>0.006458333333333333</v>
      </c>
      <c r="K16" s="75">
        <f t="shared" si="3"/>
        <v>0.5091240876</v>
      </c>
      <c r="L16" s="62"/>
      <c r="M16" s="37" t="str">
        <f>HYPERLINK("https://www.strava.com/activities/2359226828","Strava")</f>
        <v>Strava</v>
      </c>
    </row>
    <row r="17">
      <c r="A17" s="10">
        <v>75.0</v>
      </c>
      <c r="B17" s="10">
        <v>225.0</v>
      </c>
      <c r="C17" s="10">
        <f t="shared" si="4"/>
        <v>3</v>
      </c>
      <c r="D17" s="10">
        <v>183.0</v>
      </c>
      <c r="E17" s="63" t="s">
        <v>32</v>
      </c>
      <c r="F17" s="10" t="s">
        <v>634</v>
      </c>
      <c r="G17" s="11">
        <v>0.015462962962962963</v>
      </c>
      <c r="H17" s="11">
        <f t="shared" si="1"/>
        <v>0.006666666667</v>
      </c>
      <c r="I17" s="48">
        <f t="shared" si="2"/>
        <v>0.4311377246</v>
      </c>
      <c r="J17" s="11">
        <v>0.008796296296296297</v>
      </c>
      <c r="K17" s="75">
        <f t="shared" si="3"/>
        <v>0.5688622754</v>
      </c>
      <c r="L17" s="62"/>
      <c r="M17" s="37" t="str">
        <f>HYPERLINK("https://www.strava.com/activities/2365413947","Strava")</f>
        <v>Strava</v>
      </c>
    </row>
    <row r="18">
      <c r="A18" s="10">
        <v>75.0</v>
      </c>
      <c r="B18" s="10">
        <v>150.0</v>
      </c>
      <c r="C18" s="10">
        <f t="shared" si="4"/>
        <v>2</v>
      </c>
      <c r="D18" s="10">
        <v>183.0</v>
      </c>
      <c r="E18" s="63" t="s">
        <v>28</v>
      </c>
      <c r="F18" s="10" t="s">
        <v>634</v>
      </c>
      <c r="G18" s="11">
        <v>0.021030092592592593</v>
      </c>
      <c r="H18" s="11">
        <f t="shared" si="1"/>
        <v>0.007928240741</v>
      </c>
      <c r="I18" s="48">
        <f t="shared" si="2"/>
        <v>0.3769950468</v>
      </c>
      <c r="J18" s="11">
        <v>0.013101851851851852</v>
      </c>
      <c r="K18" s="75">
        <f t="shared" si="3"/>
        <v>0.6230049532</v>
      </c>
      <c r="L18" s="62"/>
      <c r="M18" s="37" t="str">
        <f>HYPERLINK("https://www.strava.com/activities/2431826150","Strava")</f>
        <v>Strava</v>
      </c>
    </row>
    <row r="19">
      <c r="A19" s="10">
        <v>75.0</v>
      </c>
      <c r="B19" s="10">
        <v>150.0</v>
      </c>
      <c r="C19" s="10">
        <f t="shared" si="4"/>
        <v>2</v>
      </c>
      <c r="D19" s="10">
        <v>183.0</v>
      </c>
      <c r="E19" s="63" t="s">
        <v>42</v>
      </c>
      <c r="F19" s="10" t="s">
        <v>634</v>
      </c>
      <c r="G19" s="11"/>
      <c r="H19" s="11"/>
      <c r="I19" s="48"/>
      <c r="J19" s="11"/>
      <c r="K19" s="75"/>
      <c r="L19" s="62"/>
      <c r="M19" s="37" t="str">
        <f t="shared" ref="M19:M20" si="6">HYPERLINK("https://www.strava.com/activities/2365413947","Strava")</f>
        <v>Strava</v>
      </c>
    </row>
    <row r="20">
      <c r="A20" s="10">
        <v>75.0</v>
      </c>
      <c r="B20" s="10">
        <v>150.0</v>
      </c>
      <c r="C20" s="10">
        <f t="shared" si="4"/>
        <v>2</v>
      </c>
      <c r="D20" s="10">
        <v>183.0</v>
      </c>
      <c r="E20" s="63" t="s">
        <v>32</v>
      </c>
      <c r="F20" s="10" t="s">
        <v>634</v>
      </c>
      <c r="G20" s="11"/>
      <c r="H20" s="11"/>
      <c r="I20" s="48"/>
      <c r="J20" s="11"/>
      <c r="K20" s="75"/>
      <c r="L20" s="62"/>
      <c r="M20" s="37" t="str">
        <f t="shared" si="6"/>
        <v>Strava</v>
      </c>
    </row>
    <row r="21">
      <c r="A21" s="10">
        <v>75.0</v>
      </c>
      <c r="B21" s="10">
        <v>300.0</v>
      </c>
      <c r="C21" s="10">
        <f t="shared" si="4"/>
        <v>4</v>
      </c>
      <c r="D21" s="10">
        <v>183.0</v>
      </c>
      <c r="E21" s="10" t="s">
        <v>9</v>
      </c>
      <c r="F21" s="10" t="s">
        <v>634</v>
      </c>
      <c r="G21" s="11">
        <v>0.012592592592592593</v>
      </c>
      <c r="H21" s="11">
        <f t="shared" ref="H21:H23" si="7">G21-J21</f>
        <v>0.006099537037</v>
      </c>
      <c r="I21" s="48">
        <f t="shared" ref="I21:I23" si="8">H21/(H21+J21)</f>
        <v>0.484375</v>
      </c>
      <c r="J21" s="11">
        <v>0.006493055555555556</v>
      </c>
      <c r="K21" s="75">
        <f t="shared" ref="K21:K23" si="9">J21/(H21+J21)</f>
        <v>0.515625</v>
      </c>
      <c r="L21" s="11">
        <v>0.007199074074074074</v>
      </c>
      <c r="M21" s="28" t="s">
        <v>637</v>
      </c>
    </row>
    <row r="22">
      <c r="A22" s="10">
        <v>75.0</v>
      </c>
      <c r="B22" s="10">
        <v>300.0</v>
      </c>
      <c r="C22" s="10">
        <f t="shared" si="4"/>
        <v>4</v>
      </c>
      <c r="D22" s="10">
        <v>183.0</v>
      </c>
      <c r="E22" s="10" t="s">
        <v>73</v>
      </c>
      <c r="F22" s="10" t="s">
        <v>351</v>
      </c>
      <c r="G22" s="11">
        <v>0.012569444444444444</v>
      </c>
      <c r="H22" s="11">
        <f t="shared" si="7"/>
        <v>0.006111111111</v>
      </c>
      <c r="I22" s="48">
        <f t="shared" si="8"/>
        <v>0.4861878453</v>
      </c>
      <c r="J22" s="11">
        <v>0.006458333333333333</v>
      </c>
      <c r="K22" s="75">
        <f t="shared" si="9"/>
        <v>0.5138121547</v>
      </c>
      <c r="L22" s="11">
        <v>0.007210648148148148</v>
      </c>
      <c r="M22" s="28" t="s">
        <v>637</v>
      </c>
    </row>
    <row r="23">
      <c r="A23" s="10">
        <v>75.0</v>
      </c>
      <c r="B23" s="10">
        <v>300.0</v>
      </c>
      <c r="C23" s="10">
        <f t="shared" si="4"/>
        <v>4</v>
      </c>
      <c r="D23" s="10">
        <v>183.0</v>
      </c>
      <c r="E23" s="63" t="s">
        <v>26</v>
      </c>
      <c r="F23" s="10" t="s">
        <v>634</v>
      </c>
      <c r="G23" s="11">
        <v>0.01255787037037037</v>
      </c>
      <c r="H23" s="11">
        <f t="shared" si="7"/>
        <v>0.006099537037</v>
      </c>
      <c r="I23" s="48">
        <f t="shared" si="8"/>
        <v>0.4857142857</v>
      </c>
      <c r="J23" s="11">
        <v>0.006458333333333333</v>
      </c>
      <c r="K23" s="75">
        <f t="shared" si="9"/>
        <v>0.5142857143</v>
      </c>
      <c r="L23" s="11">
        <v>0.007210648148148148</v>
      </c>
      <c r="M23" s="28" t="s">
        <v>637</v>
      </c>
    </row>
    <row r="24">
      <c r="A24" s="10"/>
      <c r="B24" s="10"/>
      <c r="C24" s="10"/>
      <c r="D24" s="10"/>
      <c r="E24" s="10"/>
      <c r="F24" s="10"/>
      <c r="G24" s="11"/>
      <c r="H24" s="11"/>
      <c r="I24" s="11"/>
      <c r="J24" s="11"/>
      <c r="K24" s="62"/>
      <c r="L24" s="62"/>
      <c r="M24" s="62"/>
    </row>
    <row r="25">
      <c r="A25" s="10"/>
      <c r="B25" s="10"/>
      <c r="C25" s="10"/>
      <c r="D25" s="10"/>
      <c r="E25" s="10"/>
      <c r="F25" s="10"/>
      <c r="G25" s="11"/>
      <c r="H25" s="11"/>
      <c r="I25" s="11"/>
      <c r="J25" s="11"/>
      <c r="K25" s="62"/>
      <c r="L25" s="62"/>
      <c r="M25" s="62"/>
    </row>
    <row r="26">
      <c r="A26" s="10"/>
      <c r="B26" s="10"/>
      <c r="C26" s="10"/>
      <c r="D26" s="10"/>
      <c r="E26" s="10"/>
      <c r="F26" s="10"/>
      <c r="G26" s="11"/>
      <c r="H26" s="11"/>
      <c r="I26" s="11"/>
      <c r="J26" s="11"/>
      <c r="K26" s="62"/>
      <c r="L26" s="62"/>
      <c r="M26" s="62"/>
    </row>
    <row r="27">
      <c r="A27" s="10"/>
      <c r="B27" s="10"/>
      <c r="C27" s="10"/>
      <c r="D27" s="10"/>
      <c r="E27" s="10"/>
      <c r="F27" s="10"/>
      <c r="G27" s="11"/>
      <c r="H27" s="11"/>
      <c r="I27" s="11"/>
      <c r="J27" s="11"/>
      <c r="K27" s="62"/>
      <c r="L27" s="62"/>
      <c r="M27" s="62"/>
    </row>
    <row r="28">
      <c r="A28" s="10"/>
      <c r="B28" s="10"/>
      <c r="C28" s="10"/>
      <c r="D28" s="10"/>
      <c r="E28" s="10"/>
      <c r="F28" s="10"/>
      <c r="G28" s="11"/>
      <c r="H28" s="11"/>
      <c r="I28" s="11"/>
      <c r="J28" s="11"/>
      <c r="K28" s="62"/>
      <c r="L28" s="62"/>
      <c r="M28" s="62"/>
    </row>
    <row r="29">
      <c r="A29" s="10"/>
      <c r="B29" s="10"/>
      <c r="C29" s="10"/>
      <c r="D29" s="10"/>
      <c r="E29" s="10"/>
      <c r="F29" s="10"/>
      <c r="G29" s="11"/>
      <c r="H29" s="11"/>
      <c r="I29" s="11"/>
      <c r="J29" s="11"/>
      <c r="K29" s="62"/>
      <c r="L29" s="62"/>
      <c r="M29" s="62"/>
    </row>
    <row r="30">
      <c r="A30" s="10"/>
      <c r="B30" s="10"/>
      <c r="C30" s="10"/>
      <c r="D30" s="10"/>
      <c r="E30" s="10"/>
      <c r="F30" s="10"/>
      <c r="G30" s="11"/>
      <c r="H30" s="11"/>
      <c r="I30" s="11"/>
      <c r="J30" s="11"/>
      <c r="K30" s="62"/>
      <c r="L30" s="62"/>
      <c r="M30" s="62"/>
    </row>
    <row r="31">
      <c r="A31" s="10"/>
      <c r="B31" s="10"/>
      <c r="C31" s="10"/>
      <c r="D31" s="10"/>
      <c r="E31" s="10"/>
      <c r="F31" s="10"/>
      <c r="G31" s="11"/>
      <c r="H31" s="11"/>
      <c r="I31" s="11"/>
      <c r="J31" s="11"/>
      <c r="K31" s="62"/>
      <c r="L31" s="62"/>
      <c r="M31" s="62"/>
    </row>
    <row r="32">
      <c r="A32" s="10"/>
      <c r="B32" s="10"/>
      <c r="C32" s="10"/>
      <c r="D32" s="10"/>
      <c r="E32" s="10"/>
      <c r="F32" s="10"/>
      <c r="G32" s="68"/>
      <c r="H32" s="68"/>
      <c r="I32" s="68"/>
      <c r="J32" s="68"/>
      <c r="K32" s="62"/>
      <c r="L32" s="62"/>
      <c r="M32" s="62"/>
    </row>
    <row r="33">
      <c r="A33" s="10"/>
      <c r="B33" s="10"/>
      <c r="C33" s="10"/>
      <c r="D33" s="10"/>
      <c r="E33" s="10"/>
      <c r="F33" s="10"/>
      <c r="G33" s="68"/>
      <c r="H33" s="68"/>
      <c r="I33" s="68"/>
      <c r="J33" s="68"/>
      <c r="K33" s="62"/>
      <c r="L33" s="62"/>
      <c r="M33" s="62"/>
    </row>
    <row r="34">
      <c r="A34" s="10"/>
      <c r="B34" s="10"/>
      <c r="C34" s="10"/>
      <c r="D34" s="10"/>
      <c r="E34" s="10"/>
      <c r="F34" s="10"/>
      <c r="G34" s="68"/>
      <c r="H34" s="68"/>
      <c r="I34" s="68"/>
      <c r="J34" s="68"/>
      <c r="K34" s="62"/>
      <c r="L34" s="62"/>
      <c r="M34" s="62"/>
    </row>
    <row r="35">
      <c r="A35" s="10"/>
      <c r="B35" s="10"/>
      <c r="C35" s="10"/>
      <c r="D35" s="10"/>
      <c r="E35" s="10"/>
      <c r="F35" s="10"/>
      <c r="G35" s="68"/>
      <c r="H35" s="68"/>
      <c r="I35" s="68"/>
      <c r="J35" s="68"/>
      <c r="K35" s="62"/>
      <c r="L35" s="62"/>
      <c r="M35" s="62"/>
    </row>
    <row r="36">
      <c r="A36" s="10"/>
      <c r="B36" s="10"/>
      <c r="C36" s="10"/>
      <c r="D36" s="10"/>
      <c r="E36" s="10"/>
      <c r="F36" s="10"/>
      <c r="G36" s="68"/>
      <c r="H36" s="68"/>
      <c r="I36" s="68"/>
      <c r="J36" s="68"/>
      <c r="K36" s="62"/>
      <c r="L36" s="62"/>
      <c r="M36" s="62"/>
    </row>
    <row r="37">
      <c r="A37" s="10"/>
      <c r="B37" s="10"/>
      <c r="C37" s="10"/>
      <c r="D37" s="10"/>
      <c r="E37" s="10"/>
      <c r="F37" s="10"/>
      <c r="G37" s="11"/>
      <c r="H37" s="68"/>
      <c r="I37" s="68"/>
      <c r="J37" s="68"/>
      <c r="K37" s="62"/>
      <c r="L37" s="62"/>
      <c r="M37" s="62"/>
    </row>
    <row r="38">
      <c r="A38" s="10"/>
      <c r="B38" s="10"/>
      <c r="C38" s="10"/>
      <c r="D38" s="10"/>
      <c r="E38" s="10"/>
      <c r="F38" s="10"/>
      <c r="G38" s="11"/>
      <c r="H38" s="68"/>
      <c r="I38" s="68"/>
      <c r="J38" s="68"/>
      <c r="K38" s="62"/>
      <c r="L38" s="62"/>
      <c r="M38" s="62"/>
    </row>
    <row r="39">
      <c r="A39" s="10"/>
      <c r="B39" s="10"/>
      <c r="C39" s="10"/>
      <c r="D39" s="10"/>
      <c r="E39" s="10"/>
      <c r="F39" s="10"/>
      <c r="G39" s="11"/>
      <c r="H39" s="68"/>
      <c r="I39" s="68"/>
      <c r="J39" s="68"/>
      <c r="K39" s="62"/>
      <c r="L39" s="62"/>
      <c r="M39" s="62"/>
    </row>
    <row r="40">
      <c r="A40" s="10"/>
      <c r="B40" s="10"/>
      <c r="C40" s="10"/>
      <c r="D40" s="10"/>
      <c r="E40" s="10"/>
      <c r="F40" s="10"/>
      <c r="G40" s="11"/>
      <c r="H40" s="11"/>
      <c r="I40" s="11"/>
      <c r="J40" s="11"/>
      <c r="K40" s="62"/>
      <c r="L40" s="62"/>
      <c r="M40" s="62"/>
    </row>
    <row r="41">
      <c r="A41" s="10"/>
      <c r="B41" s="10"/>
      <c r="C41" s="10"/>
      <c r="D41" s="10"/>
      <c r="E41" s="10"/>
      <c r="F41" s="10"/>
      <c r="G41" s="11"/>
      <c r="H41" s="11"/>
      <c r="I41" s="11"/>
      <c r="J41" s="11"/>
      <c r="K41" s="62"/>
      <c r="L41" s="62"/>
      <c r="M41" s="62"/>
    </row>
    <row r="42">
      <c r="A42" s="10"/>
      <c r="B42" s="10"/>
      <c r="C42" s="10"/>
      <c r="D42" s="10"/>
      <c r="E42" s="10"/>
      <c r="F42" s="10"/>
      <c r="G42" s="11"/>
      <c r="H42" s="68"/>
      <c r="I42" s="68"/>
      <c r="J42" s="68"/>
      <c r="K42" s="62"/>
      <c r="L42" s="62"/>
      <c r="M42" s="62"/>
    </row>
    <row r="43">
      <c r="A43" s="10"/>
      <c r="B43" s="10"/>
      <c r="C43" s="10"/>
      <c r="D43" s="10"/>
      <c r="E43" s="10"/>
      <c r="F43" s="10"/>
      <c r="G43" s="11"/>
      <c r="H43" s="11"/>
      <c r="I43" s="11"/>
      <c r="J43" s="11"/>
      <c r="K43" s="62"/>
      <c r="L43" s="62"/>
      <c r="M43" s="62"/>
    </row>
    <row r="44">
      <c r="A44" s="10"/>
      <c r="B44" s="10"/>
      <c r="C44" s="10"/>
      <c r="D44" s="10"/>
      <c r="E44" s="10"/>
      <c r="F44" s="10"/>
      <c r="G44" s="11"/>
      <c r="H44" s="68"/>
      <c r="I44" s="68"/>
      <c r="J44" s="68"/>
      <c r="K44" s="62"/>
      <c r="L44" s="62"/>
      <c r="M44" s="62"/>
      <c r="N44" s="65"/>
    </row>
    <row r="45">
      <c r="A45" s="10"/>
      <c r="B45" s="10"/>
      <c r="C45" s="10"/>
      <c r="D45" s="10"/>
      <c r="E45" s="10"/>
      <c r="F45" s="10"/>
      <c r="G45" s="11"/>
      <c r="H45" s="11"/>
      <c r="I45" s="11"/>
      <c r="J45" s="11"/>
      <c r="K45" s="62"/>
      <c r="L45" s="62"/>
      <c r="M45" s="62"/>
    </row>
    <row r="46">
      <c r="A46" s="10"/>
      <c r="B46" s="10"/>
      <c r="C46" s="10"/>
      <c r="D46" s="10"/>
      <c r="E46" s="10"/>
      <c r="F46" s="10"/>
      <c r="G46" s="11"/>
      <c r="H46" s="11"/>
      <c r="I46" s="11"/>
      <c r="J46" s="11"/>
      <c r="K46" s="62"/>
      <c r="L46" s="62"/>
      <c r="M46" s="62"/>
    </row>
    <row r="47">
      <c r="A47" s="10"/>
      <c r="B47" s="10"/>
      <c r="C47" s="10"/>
      <c r="D47" s="10"/>
      <c r="E47" s="10"/>
      <c r="F47" s="10"/>
      <c r="G47" s="11"/>
      <c r="H47" s="11"/>
      <c r="I47" s="11"/>
      <c r="J47" s="11"/>
      <c r="K47" s="62"/>
      <c r="L47" s="62"/>
      <c r="M47" s="62"/>
    </row>
    <row r="48">
      <c r="A48" s="10"/>
      <c r="B48" s="10"/>
      <c r="C48" s="10"/>
      <c r="D48" s="10"/>
      <c r="E48" s="10"/>
      <c r="F48" s="10"/>
      <c r="G48" s="11"/>
      <c r="H48" s="11"/>
      <c r="I48" s="11"/>
      <c r="J48" s="11"/>
      <c r="K48" s="62"/>
      <c r="L48" s="62"/>
      <c r="M48" s="62"/>
    </row>
    <row r="49">
      <c r="A49" s="10"/>
      <c r="B49" s="10"/>
      <c r="C49" s="10"/>
      <c r="D49" s="10"/>
      <c r="E49" s="10"/>
      <c r="F49" s="10"/>
      <c r="G49" s="11"/>
      <c r="H49" s="11"/>
      <c r="I49" s="11"/>
      <c r="J49" s="11"/>
      <c r="K49" s="62"/>
      <c r="L49" s="62"/>
      <c r="M49" s="62"/>
    </row>
    <row r="50">
      <c r="A50" s="10"/>
      <c r="B50" s="10"/>
      <c r="C50" s="10"/>
      <c r="D50" s="10"/>
      <c r="E50" s="10"/>
      <c r="F50" s="10"/>
      <c r="G50" s="11"/>
      <c r="H50" s="11"/>
      <c r="I50" s="11"/>
      <c r="J50" s="11"/>
      <c r="K50" s="62"/>
      <c r="L50" s="62"/>
      <c r="M50" s="62"/>
    </row>
    <row r="51">
      <c r="A51" s="10"/>
      <c r="B51" s="10"/>
      <c r="C51" s="10"/>
      <c r="D51" s="10"/>
      <c r="E51" s="10"/>
      <c r="F51" s="10"/>
      <c r="G51" s="11"/>
      <c r="H51" s="11"/>
      <c r="I51" s="11"/>
      <c r="J51" s="11"/>
      <c r="K51" s="62"/>
      <c r="L51" s="62"/>
      <c r="M51" s="62"/>
    </row>
    <row r="52">
      <c r="A52" s="10"/>
      <c r="B52" s="10"/>
      <c r="C52" s="10"/>
      <c r="D52" s="10"/>
      <c r="E52" s="10"/>
      <c r="F52" s="10"/>
      <c r="G52" s="68"/>
      <c r="H52" s="68"/>
      <c r="I52" s="68"/>
      <c r="J52" s="68"/>
      <c r="K52" s="62"/>
      <c r="L52" s="62"/>
      <c r="M52" s="62"/>
    </row>
    <row r="53">
      <c r="A53" s="10"/>
      <c r="B53" s="10"/>
      <c r="C53" s="10"/>
      <c r="D53" s="10"/>
      <c r="E53" s="10"/>
      <c r="F53" s="10"/>
      <c r="G53" s="68"/>
      <c r="H53" s="68"/>
      <c r="I53" s="68"/>
      <c r="J53" s="68"/>
      <c r="K53" s="62"/>
      <c r="L53" s="62"/>
      <c r="M53" s="62"/>
    </row>
    <row r="54">
      <c r="A54" s="10"/>
      <c r="B54" s="10"/>
      <c r="C54" s="10"/>
      <c r="D54" s="10"/>
      <c r="E54" s="10"/>
      <c r="F54" s="10"/>
      <c r="G54" s="68"/>
      <c r="H54" s="68"/>
      <c r="I54" s="68"/>
      <c r="J54" s="68"/>
      <c r="K54" s="62"/>
      <c r="L54" s="62"/>
      <c r="M54" s="62"/>
    </row>
    <row r="55">
      <c r="A55" s="10"/>
      <c r="B55" s="10"/>
      <c r="C55" s="10"/>
      <c r="D55" s="10"/>
      <c r="E55" s="10"/>
      <c r="F55" s="10"/>
      <c r="G55" s="68"/>
      <c r="H55" s="68"/>
      <c r="I55" s="68"/>
      <c r="J55" s="68"/>
      <c r="K55" s="62"/>
      <c r="L55" s="62"/>
      <c r="M55" s="62"/>
    </row>
    <row r="56">
      <c r="A56" s="10"/>
      <c r="B56" s="10"/>
      <c r="C56" s="10"/>
      <c r="D56" s="10"/>
      <c r="E56" s="10"/>
      <c r="F56" s="10"/>
      <c r="G56" s="68"/>
      <c r="H56" s="68"/>
      <c r="I56" s="68"/>
      <c r="J56" s="68"/>
      <c r="K56" s="62"/>
      <c r="L56" s="62"/>
      <c r="M56" s="62"/>
    </row>
    <row r="57">
      <c r="A57" s="10"/>
      <c r="B57" s="10"/>
      <c r="C57" s="10"/>
      <c r="D57" s="10"/>
      <c r="E57" s="10"/>
      <c r="F57" s="10"/>
      <c r="G57" s="11"/>
      <c r="H57" s="11"/>
      <c r="I57" s="11"/>
      <c r="J57" s="11"/>
      <c r="K57" s="62"/>
      <c r="L57" s="62"/>
      <c r="M57" s="62"/>
    </row>
    <row r="58">
      <c r="A58" s="10"/>
      <c r="B58" s="10"/>
      <c r="C58" s="10"/>
      <c r="D58" s="10"/>
      <c r="E58" s="10"/>
      <c r="F58" s="10"/>
      <c r="G58" s="68"/>
      <c r="H58" s="68"/>
      <c r="I58" s="68"/>
      <c r="J58" s="68"/>
      <c r="K58" s="62"/>
      <c r="L58" s="62"/>
      <c r="M58" s="62"/>
    </row>
    <row r="59">
      <c r="A59" s="10"/>
      <c r="B59" s="10"/>
      <c r="C59" s="10"/>
      <c r="D59" s="10"/>
      <c r="E59" s="10"/>
      <c r="F59" s="10"/>
      <c r="G59" s="68"/>
      <c r="H59" s="11"/>
      <c r="I59" s="11"/>
      <c r="J59" s="11"/>
      <c r="K59" s="62"/>
      <c r="L59" s="62"/>
      <c r="M59" s="62"/>
    </row>
    <row r="60">
      <c r="A60" s="10"/>
      <c r="B60" s="10"/>
      <c r="C60" s="10"/>
      <c r="D60" s="10"/>
      <c r="E60" s="10"/>
      <c r="F60" s="10"/>
      <c r="G60" s="68"/>
      <c r="H60" s="68"/>
      <c r="I60" s="68"/>
      <c r="J60" s="68"/>
      <c r="K60" s="62"/>
      <c r="L60" s="62"/>
      <c r="M60" s="62"/>
    </row>
    <row r="61">
      <c r="A61" s="10"/>
      <c r="B61" s="10"/>
      <c r="C61" s="10"/>
      <c r="D61" s="10"/>
      <c r="E61" s="10"/>
      <c r="F61" s="10"/>
      <c r="G61" s="11"/>
      <c r="H61" s="11"/>
      <c r="I61" s="11"/>
      <c r="J61" s="11"/>
      <c r="K61" s="62"/>
      <c r="L61" s="62"/>
      <c r="M61" s="62"/>
    </row>
    <row r="62">
      <c r="A62" s="10"/>
      <c r="B62" s="10"/>
      <c r="C62" s="10"/>
      <c r="D62" s="10"/>
      <c r="E62" s="10"/>
      <c r="F62" s="10"/>
      <c r="G62" s="11"/>
      <c r="H62" s="11"/>
      <c r="I62" s="11"/>
      <c r="J62" s="11"/>
      <c r="K62" s="62"/>
      <c r="L62" s="62"/>
      <c r="M62" s="62"/>
    </row>
    <row r="63">
      <c r="A63" s="10"/>
      <c r="B63" s="10"/>
      <c r="C63" s="10"/>
      <c r="D63" s="10"/>
      <c r="E63" s="10"/>
      <c r="F63" s="10"/>
      <c r="G63" s="11"/>
      <c r="H63" s="68"/>
      <c r="I63" s="68"/>
      <c r="J63" s="68"/>
      <c r="K63" s="62"/>
      <c r="L63" s="62"/>
      <c r="M63" s="62"/>
    </row>
    <row r="64">
      <c r="A64" s="10"/>
      <c r="B64" s="10"/>
      <c r="C64" s="10"/>
      <c r="D64" s="10"/>
      <c r="E64" s="10"/>
      <c r="F64" s="10"/>
      <c r="G64" s="11"/>
      <c r="H64" s="68"/>
      <c r="I64" s="68"/>
      <c r="J64" s="68"/>
      <c r="K64" s="62"/>
      <c r="L64" s="62"/>
      <c r="M64" s="62"/>
    </row>
    <row r="65">
      <c r="A65" s="10"/>
      <c r="B65" s="10"/>
      <c r="C65" s="10"/>
      <c r="D65" s="10"/>
      <c r="E65" s="10"/>
      <c r="F65" s="10"/>
      <c r="G65" s="11"/>
      <c r="H65" s="11"/>
      <c r="I65" s="11"/>
      <c r="J65" s="11"/>
      <c r="K65" s="62"/>
      <c r="L65" s="62"/>
      <c r="M65" s="62"/>
    </row>
    <row r="66">
      <c r="A66" s="10"/>
      <c r="B66" s="10"/>
      <c r="C66" s="10"/>
      <c r="D66" s="10"/>
      <c r="E66" s="10"/>
      <c r="F66" s="10"/>
      <c r="G66" s="11"/>
      <c r="H66" s="68"/>
      <c r="I66" s="68"/>
      <c r="J66" s="68"/>
      <c r="K66" s="62"/>
      <c r="L66" s="62"/>
      <c r="M66" s="62"/>
    </row>
    <row r="67">
      <c r="A67" s="10"/>
      <c r="B67" s="10"/>
      <c r="C67" s="10"/>
      <c r="D67" s="10"/>
      <c r="E67" s="10"/>
      <c r="F67" s="10"/>
      <c r="G67" s="11"/>
      <c r="H67" s="11"/>
      <c r="I67" s="11"/>
      <c r="J67" s="11"/>
      <c r="K67" s="62"/>
      <c r="L67" s="62"/>
      <c r="M67" s="62"/>
    </row>
    <row r="68">
      <c r="A68" s="10"/>
      <c r="B68" s="10"/>
      <c r="C68" s="10"/>
      <c r="D68" s="10"/>
      <c r="E68" s="10"/>
      <c r="F68" s="10"/>
      <c r="G68" s="11"/>
      <c r="H68" s="11"/>
      <c r="I68" s="11"/>
      <c r="J68" s="11"/>
      <c r="K68" s="62"/>
      <c r="L68" s="62"/>
      <c r="M68" s="62"/>
    </row>
    <row r="69">
      <c r="A69" s="10"/>
      <c r="B69" s="10"/>
      <c r="C69" s="10"/>
      <c r="D69" s="10"/>
      <c r="E69" s="10"/>
      <c r="F69" s="10"/>
      <c r="G69" s="11"/>
      <c r="H69" s="11"/>
      <c r="I69" s="11"/>
      <c r="J69" s="11"/>
      <c r="K69" s="62"/>
      <c r="L69" s="62"/>
      <c r="M69" s="62"/>
    </row>
    <row r="70">
      <c r="A70" s="10"/>
      <c r="B70" s="10"/>
      <c r="C70" s="10"/>
      <c r="D70" s="10"/>
      <c r="E70" s="10"/>
      <c r="F70" s="10"/>
      <c r="G70" s="11"/>
      <c r="H70" s="11"/>
      <c r="I70" s="11"/>
      <c r="J70" s="11"/>
      <c r="K70" s="62"/>
      <c r="L70" s="62"/>
      <c r="M70" s="62"/>
    </row>
    <row r="71">
      <c r="A71" s="10"/>
      <c r="B71" s="10"/>
      <c r="C71" s="10"/>
      <c r="D71" s="10"/>
      <c r="E71" s="10"/>
      <c r="F71" s="10"/>
      <c r="G71" s="11"/>
      <c r="H71" s="11"/>
      <c r="I71" s="11"/>
      <c r="J71" s="11"/>
      <c r="K71" s="62"/>
      <c r="L71" s="62"/>
      <c r="M71" s="62"/>
    </row>
    <row r="72">
      <c r="A72" s="10"/>
      <c r="B72" s="10"/>
      <c r="C72" s="10"/>
      <c r="D72" s="10"/>
      <c r="E72" s="10"/>
      <c r="F72" s="10"/>
      <c r="G72" s="11"/>
      <c r="H72" s="11"/>
      <c r="I72" s="11"/>
      <c r="J72" s="11"/>
      <c r="K72" s="62"/>
      <c r="L72" s="62"/>
      <c r="M72" s="62"/>
    </row>
    <row r="73">
      <c r="A73" s="10"/>
      <c r="B73" s="10"/>
      <c r="C73" s="10"/>
      <c r="D73" s="10"/>
      <c r="E73" s="10"/>
      <c r="F73" s="10"/>
      <c r="G73" s="11"/>
      <c r="H73" s="11"/>
      <c r="I73" s="11"/>
      <c r="J73" s="11"/>
      <c r="K73" s="62"/>
      <c r="L73" s="62"/>
      <c r="M73" s="62"/>
    </row>
    <row r="74">
      <c r="A74" s="10"/>
      <c r="B74" s="10"/>
      <c r="C74" s="10"/>
      <c r="D74" s="10"/>
      <c r="E74" s="10"/>
      <c r="F74" s="10"/>
      <c r="G74" s="11"/>
      <c r="H74" s="11"/>
      <c r="I74" s="11"/>
      <c r="J74" s="11"/>
      <c r="K74" s="62"/>
      <c r="L74" s="62"/>
      <c r="M74" s="62"/>
    </row>
    <row r="75">
      <c r="A75" s="10"/>
      <c r="B75" s="10"/>
      <c r="C75" s="10"/>
      <c r="D75" s="10"/>
      <c r="E75" s="10"/>
      <c r="F75" s="10"/>
      <c r="G75" s="11"/>
      <c r="H75" s="11"/>
      <c r="I75" s="11"/>
      <c r="J75" s="11"/>
      <c r="K75" s="62"/>
      <c r="L75" s="62"/>
      <c r="M75" s="62"/>
    </row>
    <row r="76">
      <c r="A76" s="10"/>
      <c r="B76" s="10"/>
      <c r="C76" s="10"/>
      <c r="D76" s="10"/>
      <c r="E76" s="10"/>
      <c r="F76" s="10"/>
      <c r="G76" s="11"/>
      <c r="H76" s="11"/>
      <c r="I76" s="11"/>
      <c r="J76" s="11"/>
      <c r="K76" s="62"/>
      <c r="L76" s="62"/>
      <c r="M76" s="62"/>
    </row>
    <row r="77">
      <c r="A77" s="10"/>
      <c r="B77" s="10"/>
      <c r="C77" s="10"/>
      <c r="D77" s="10"/>
      <c r="E77" s="10"/>
      <c r="F77" s="10"/>
      <c r="G77" s="11"/>
      <c r="H77" s="11"/>
      <c r="I77" s="11"/>
      <c r="J77" s="11"/>
      <c r="K77" s="62"/>
      <c r="L77" s="62"/>
      <c r="M77" s="62"/>
    </row>
    <row r="78">
      <c r="A78" s="10"/>
      <c r="B78" s="10"/>
      <c r="C78" s="10"/>
      <c r="D78" s="10"/>
      <c r="E78" s="10"/>
      <c r="F78" s="10"/>
      <c r="G78" s="11"/>
      <c r="H78" s="11"/>
      <c r="I78" s="11"/>
      <c r="J78" s="11"/>
      <c r="K78" s="62"/>
      <c r="L78" s="62"/>
      <c r="M78" s="62"/>
    </row>
    <row r="79">
      <c r="A79" s="10"/>
      <c r="B79" s="10"/>
      <c r="C79" s="10"/>
      <c r="D79" s="10"/>
      <c r="E79" s="10"/>
      <c r="F79" s="10"/>
      <c r="G79" s="11"/>
      <c r="H79" s="11"/>
      <c r="I79" s="11"/>
      <c r="J79" s="11"/>
      <c r="K79" s="62"/>
      <c r="L79" s="62"/>
      <c r="M79" s="62"/>
    </row>
    <row r="80">
      <c r="A80" s="10"/>
      <c r="B80" s="10"/>
      <c r="C80" s="10"/>
      <c r="D80" s="10"/>
      <c r="E80" s="10"/>
      <c r="F80" s="10"/>
      <c r="G80" s="11"/>
      <c r="H80" s="11"/>
      <c r="I80" s="11"/>
      <c r="J80" s="11"/>
      <c r="K80" s="62"/>
      <c r="L80" s="62"/>
      <c r="M80" s="62"/>
    </row>
    <row r="81">
      <c r="A81" s="10"/>
      <c r="B81" s="10"/>
      <c r="C81" s="10"/>
      <c r="D81" s="10"/>
      <c r="E81" s="10"/>
      <c r="F81" s="10"/>
      <c r="G81" s="11"/>
      <c r="H81" s="11"/>
      <c r="I81" s="11"/>
      <c r="J81" s="11"/>
      <c r="K81" s="62"/>
      <c r="L81" s="62"/>
      <c r="M81" s="62"/>
    </row>
    <row r="82">
      <c r="A82" s="10"/>
      <c r="B82" s="10"/>
      <c r="C82" s="10"/>
      <c r="D82" s="10"/>
      <c r="E82" s="10"/>
      <c r="F82" s="10"/>
      <c r="G82" s="11"/>
      <c r="H82" s="11"/>
      <c r="I82" s="11"/>
      <c r="J82" s="11"/>
      <c r="K82" s="62"/>
      <c r="L82" s="62"/>
      <c r="M82" s="62"/>
    </row>
    <row r="83">
      <c r="A83" s="10"/>
      <c r="B83" s="10"/>
      <c r="C83" s="10"/>
      <c r="D83" s="10"/>
      <c r="E83" s="10"/>
      <c r="F83" s="10"/>
      <c r="G83" s="11"/>
      <c r="H83" s="11"/>
      <c r="I83" s="11"/>
      <c r="J83" s="11"/>
      <c r="K83" s="62"/>
      <c r="L83" s="62"/>
      <c r="M83" s="62"/>
    </row>
    <row r="84">
      <c r="A84" s="10"/>
      <c r="B84" s="10"/>
      <c r="C84" s="10"/>
      <c r="D84" s="10"/>
      <c r="E84" s="10"/>
      <c r="F84" s="10"/>
      <c r="G84" s="11"/>
      <c r="H84" s="11"/>
      <c r="I84" s="11"/>
      <c r="J84" s="11"/>
      <c r="K84" s="62"/>
      <c r="L84" s="62"/>
      <c r="M84" s="62"/>
    </row>
    <row r="85">
      <c r="A85" s="10"/>
      <c r="B85" s="10"/>
      <c r="C85" s="10"/>
      <c r="D85" s="10"/>
      <c r="E85" s="10"/>
      <c r="F85" s="10"/>
      <c r="G85" s="11"/>
      <c r="H85" s="11"/>
      <c r="I85" s="11"/>
      <c r="J85" s="11"/>
      <c r="K85" s="62"/>
      <c r="L85" s="62"/>
      <c r="M85" s="62"/>
    </row>
    <row r="86">
      <c r="A86" s="10"/>
      <c r="B86" s="10"/>
      <c r="C86" s="10"/>
      <c r="D86" s="10"/>
      <c r="E86" s="10"/>
      <c r="F86" s="10"/>
      <c r="G86" s="11"/>
      <c r="H86" s="11"/>
      <c r="I86" s="11"/>
      <c r="J86" s="11"/>
      <c r="K86" s="62"/>
      <c r="L86" s="62"/>
      <c r="M86" s="62"/>
    </row>
    <row r="87">
      <c r="A87" s="10"/>
      <c r="B87" s="10"/>
      <c r="C87" s="10"/>
      <c r="D87" s="10"/>
      <c r="E87" s="10"/>
      <c r="F87" s="10"/>
      <c r="G87" s="11"/>
      <c r="H87" s="11"/>
      <c r="I87" s="11"/>
      <c r="J87" s="11"/>
      <c r="K87" s="62"/>
      <c r="L87" s="62"/>
      <c r="M87" s="62"/>
    </row>
    <row r="88">
      <c r="A88" s="10"/>
      <c r="B88" s="10"/>
      <c r="C88" s="10"/>
      <c r="D88" s="10"/>
      <c r="E88" s="10"/>
      <c r="F88" s="10"/>
      <c r="G88" s="11"/>
      <c r="H88" s="11"/>
      <c r="I88" s="11"/>
      <c r="J88" s="11"/>
      <c r="K88" s="62"/>
      <c r="L88" s="62"/>
      <c r="M88" s="62"/>
    </row>
    <row r="89">
      <c r="A89" s="10"/>
      <c r="B89" s="10"/>
      <c r="C89" s="10"/>
      <c r="D89" s="10"/>
      <c r="E89" s="10"/>
      <c r="F89" s="10"/>
      <c r="G89" s="11"/>
      <c r="H89" s="11"/>
      <c r="I89" s="11"/>
      <c r="J89" s="11"/>
      <c r="K89" s="62"/>
      <c r="L89" s="62"/>
      <c r="M89" s="62"/>
    </row>
    <row r="90">
      <c r="A90" s="10"/>
      <c r="B90" s="10"/>
      <c r="C90" s="10"/>
      <c r="D90" s="10"/>
      <c r="E90" s="10"/>
      <c r="F90" s="10"/>
      <c r="G90" s="11"/>
      <c r="H90" s="11"/>
      <c r="I90" s="11"/>
      <c r="J90" s="11"/>
      <c r="K90" s="62"/>
      <c r="L90" s="62"/>
      <c r="M90" s="62"/>
    </row>
    <row r="91">
      <c r="A91" s="10"/>
      <c r="B91" s="10"/>
      <c r="C91" s="10"/>
      <c r="D91" s="10"/>
      <c r="E91" s="10"/>
      <c r="F91" s="10"/>
      <c r="G91" s="11"/>
      <c r="H91" s="11"/>
      <c r="I91" s="11"/>
      <c r="J91" s="11"/>
      <c r="K91" s="62"/>
      <c r="L91" s="62"/>
      <c r="M91" s="62"/>
    </row>
    <row r="92">
      <c r="A92" s="10"/>
      <c r="B92" s="10"/>
      <c r="C92" s="10"/>
      <c r="D92" s="10"/>
      <c r="E92" s="10"/>
      <c r="F92" s="10"/>
      <c r="G92" s="11"/>
      <c r="H92" s="11"/>
      <c r="I92" s="11"/>
      <c r="J92" s="11"/>
      <c r="K92" s="62"/>
      <c r="L92" s="62"/>
      <c r="M92" s="62"/>
    </row>
    <row r="93">
      <c r="A93" s="10"/>
      <c r="B93" s="10"/>
      <c r="C93" s="10"/>
      <c r="D93" s="10"/>
      <c r="E93" s="10"/>
      <c r="F93" s="10"/>
      <c r="G93" s="11"/>
      <c r="H93" s="11"/>
      <c r="I93" s="11"/>
      <c r="J93" s="11"/>
      <c r="K93" s="62"/>
      <c r="L93" s="62"/>
      <c r="M93" s="62"/>
    </row>
    <row r="94">
      <c r="A94" s="10"/>
      <c r="B94" s="10"/>
      <c r="C94" s="10"/>
      <c r="D94" s="10"/>
      <c r="E94" s="10"/>
      <c r="F94" s="10"/>
      <c r="G94" s="11"/>
      <c r="H94" s="11"/>
      <c r="I94" s="11"/>
      <c r="J94" s="11"/>
      <c r="K94" s="62"/>
      <c r="L94" s="62"/>
      <c r="M94" s="62"/>
    </row>
    <row r="95">
      <c r="A95" s="10"/>
      <c r="B95" s="10"/>
      <c r="C95" s="10"/>
      <c r="D95" s="10"/>
      <c r="E95" s="10"/>
      <c r="F95" s="10"/>
      <c r="G95" s="11"/>
      <c r="H95" s="11"/>
      <c r="I95" s="11"/>
      <c r="J95" s="11"/>
      <c r="K95" s="62"/>
      <c r="L95" s="62"/>
      <c r="M95" s="62"/>
    </row>
    <row r="96">
      <c r="A96" s="10"/>
      <c r="B96" s="10"/>
      <c r="C96" s="10"/>
      <c r="D96" s="10"/>
      <c r="E96" s="10"/>
      <c r="F96" s="10"/>
      <c r="G96" s="11"/>
      <c r="H96" s="11"/>
      <c r="I96" s="11"/>
      <c r="J96" s="11"/>
      <c r="K96" s="62"/>
      <c r="L96" s="62"/>
      <c r="M96" s="62"/>
    </row>
    <row r="97">
      <c r="A97" s="10"/>
      <c r="B97" s="10"/>
      <c r="C97" s="10"/>
      <c r="D97" s="10"/>
      <c r="E97" s="10"/>
      <c r="F97" s="10"/>
      <c r="G97" s="11"/>
      <c r="H97" s="11"/>
      <c r="I97" s="11"/>
      <c r="J97" s="11"/>
      <c r="K97" s="62"/>
      <c r="L97" s="62"/>
      <c r="M97" s="62"/>
    </row>
    <row r="98">
      <c r="E98" s="10"/>
    </row>
    <row r="99">
      <c r="E99" s="10"/>
    </row>
    <row r="100">
      <c r="E100" s="10"/>
    </row>
    <row r="102">
      <c r="E102" s="10"/>
    </row>
    <row r="103">
      <c r="E103" s="10"/>
    </row>
    <row r="104">
      <c r="E104" s="10"/>
    </row>
  </sheetData>
  <autoFilter ref="$A$1:$M$104"/>
  <customSheetViews>
    <customSheetView guid="{131ED934-56A5-4A4B-9246-8993FA1F050E}" filter="1" showAutoFilter="1">
      <autoFilter ref="$A$1:$M$104">
        <filterColumn colId="4">
          <filters blank="1">
            <filter val="Cervelo P5x"/>
            <filter val="Specialized Tarmac Pro"/>
            <filter val="Felt IA"/>
            <filter val="Tron (Concept Z1)"/>
            <filter val="Specialized Shiv S-Works"/>
            <filter val="Specialized Venge S-Works"/>
            <filter val="Note: these results aren't current anymore, since Zwift adjusted Crr values for brick, which makes up a portion of the route"/>
            <filter val="Cervelo P5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>
            <filter val="270/330"/>
            <filter val="225"/>
          </filters>
        </filterColumn>
        <filterColumn colId="5">
          <filters blank="1">
            <filter val="Zipp 858/Super 9"/>
            <filter val="Tron"/>
            <filter val="Zipp 858"/>
            <filter val="Lightweight Meilenstein"/>
          </filters>
        </filterColumn>
      </autoFilter>
    </customSheetView>
  </customSheetViews>
  <hyperlinks>
    <hyperlink r:id="rId1" ref="M21"/>
    <hyperlink r:id="rId2" ref="M22"/>
    <hyperlink r:id="rId3" ref="M23"/>
  </hyperlin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  <col customWidth="1" min="6" max="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454</v>
      </c>
      <c r="H1" s="30"/>
      <c r="I1" s="1" t="s">
        <v>8</v>
      </c>
    </row>
    <row r="2">
      <c r="A2" s="10">
        <v>75.0</v>
      </c>
      <c r="B2" s="10">
        <v>300.0</v>
      </c>
      <c r="C2" s="10">
        <f t="shared" ref="C2:C21" si="1">B2/A2</f>
        <v>4</v>
      </c>
      <c r="D2" s="10">
        <v>183.0</v>
      </c>
      <c r="E2" s="10" t="s">
        <v>19</v>
      </c>
      <c r="F2" s="10" t="s">
        <v>141</v>
      </c>
      <c r="G2" s="11">
        <v>0.010891203703703703</v>
      </c>
      <c r="H2" s="37" t="str">
        <f t="shared" ref="H2:H6" si="2">HYPERLINK("https://www.strava.com/activities/2760037725","Strava")</f>
        <v>Strava</v>
      </c>
      <c r="I2" s="13" t="s">
        <v>638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19</v>
      </c>
      <c r="F3" s="10" t="s">
        <v>461</v>
      </c>
      <c r="G3" s="11">
        <v>0.010925925925925926</v>
      </c>
      <c r="H3" s="37" t="str">
        <f t="shared" si="2"/>
        <v>Strava</v>
      </c>
      <c r="I3" s="13" t="s">
        <v>638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19</v>
      </c>
      <c r="F4" s="10" t="s">
        <v>458</v>
      </c>
      <c r="G4" s="11">
        <v>0.010868055555555556</v>
      </c>
      <c r="H4" s="37" t="str">
        <f t="shared" si="2"/>
        <v>Strava</v>
      </c>
      <c r="I4" s="13" t="s">
        <v>638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19</v>
      </c>
      <c r="F5" s="10" t="s">
        <v>213</v>
      </c>
      <c r="G5" s="11">
        <v>0.0109375</v>
      </c>
      <c r="H5" s="37" t="str">
        <f t="shared" si="2"/>
        <v>Strava</v>
      </c>
      <c r="I5" s="13" t="s">
        <v>638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19</v>
      </c>
      <c r="F6" s="10" t="s">
        <v>129</v>
      </c>
      <c r="G6" s="11">
        <v>0.010868055555555556</v>
      </c>
      <c r="H6" s="37" t="str">
        <f t="shared" si="2"/>
        <v>Strava</v>
      </c>
      <c r="I6" s="13" t="s">
        <v>638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19</v>
      </c>
      <c r="F7" s="10" t="s">
        <v>116</v>
      </c>
      <c r="G7" s="11">
        <v>0.010868055555555556</v>
      </c>
      <c r="H7" s="37" t="str">
        <f>HYPERLINK("https://www.strava.com/activities/2359226828","Strava")</f>
        <v>Strava</v>
      </c>
      <c r="I7" s="13" t="s">
        <v>638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 t="s">
        <v>286</v>
      </c>
      <c r="F8" s="10" t="s">
        <v>286</v>
      </c>
      <c r="G8" s="11">
        <v>0.011111111111111112</v>
      </c>
      <c r="H8" s="37" t="str">
        <f>HYPERLINK("https://www.strava.com/activities/2758024656","Strava")</f>
        <v>Strava</v>
      </c>
      <c r="I8" s="13" t="s">
        <v>638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 t="s">
        <v>73</v>
      </c>
      <c r="F9" s="10" t="s">
        <v>351</v>
      </c>
      <c r="G9" s="11">
        <v>0.010775462962962962</v>
      </c>
      <c r="H9" s="37" t="str">
        <f>HYPERLINK("https://www.strava.com/activities/2364921231","Strava")</f>
        <v>Strava</v>
      </c>
      <c r="I9" s="13" t="s">
        <v>638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 t="s">
        <v>19</v>
      </c>
      <c r="F10" s="10" t="s">
        <v>106</v>
      </c>
      <c r="G10" s="11">
        <v>0.010833333333333334</v>
      </c>
      <c r="H10" s="37" t="str">
        <f>HYPERLINK("https://www.strava.com/activities/2365413947","Strava")</f>
        <v>Strava</v>
      </c>
      <c r="I10" s="13" t="s">
        <v>638</v>
      </c>
    </row>
    <row r="11">
      <c r="A11" s="10">
        <v>75.0</v>
      </c>
      <c r="B11" s="10">
        <v>300.0</v>
      </c>
      <c r="C11" s="10">
        <f t="shared" si="1"/>
        <v>4</v>
      </c>
      <c r="D11" s="10">
        <v>183.0</v>
      </c>
      <c r="E11" s="10" t="s">
        <v>19</v>
      </c>
      <c r="F11" s="10" t="s">
        <v>108</v>
      </c>
      <c r="G11" s="11">
        <v>0.010868055555555556</v>
      </c>
      <c r="H11" s="37" t="str">
        <f>HYPERLINK("https://www.strava.com/activities/2760719071","Strava")</f>
        <v>Strava</v>
      </c>
      <c r="I11" s="13" t="s">
        <v>638</v>
      </c>
    </row>
    <row r="12">
      <c r="A12" s="10">
        <v>75.0</v>
      </c>
      <c r="B12" s="10">
        <v>300.0</v>
      </c>
      <c r="C12" s="10">
        <f t="shared" si="1"/>
        <v>4</v>
      </c>
      <c r="D12" s="10">
        <v>183.0</v>
      </c>
      <c r="E12" s="10" t="s">
        <v>19</v>
      </c>
      <c r="F12" s="10" t="s">
        <v>135</v>
      </c>
      <c r="G12" s="11">
        <v>0.01087962962962963</v>
      </c>
      <c r="H12" s="37" t="str">
        <f t="shared" ref="H12:H18" si="3">HYPERLINK("https://www.strava.com/activities/2761325938","Strava")</f>
        <v>Strava</v>
      </c>
      <c r="I12" s="13" t="s">
        <v>638</v>
      </c>
    </row>
    <row r="13">
      <c r="A13" s="10">
        <v>75.0</v>
      </c>
      <c r="B13" s="10">
        <v>300.0</v>
      </c>
      <c r="C13" s="10">
        <f t="shared" si="1"/>
        <v>4</v>
      </c>
      <c r="D13" s="10">
        <v>183.0</v>
      </c>
      <c r="E13" s="10" t="s">
        <v>19</v>
      </c>
      <c r="F13" s="10" t="s">
        <v>133</v>
      </c>
      <c r="G13" s="11">
        <v>0.010902777777777779</v>
      </c>
      <c r="H13" s="37" t="str">
        <f t="shared" si="3"/>
        <v>Strava</v>
      </c>
      <c r="I13" s="13" t="s">
        <v>638</v>
      </c>
    </row>
    <row r="14">
      <c r="A14" s="10">
        <v>75.0</v>
      </c>
      <c r="B14" s="10">
        <v>300.0</v>
      </c>
      <c r="C14" s="10">
        <f t="shared" si="1"/>
        <v>4</v>
      </c>
      <c r="D14" s="10">
        <v>183.0</v>
      </c>
      <c r="E14" s="10" t="s">
        <v>19</v>
      </c>
      <c r="F14" s="10" t="s">
        <v>131</v>
      </c>
      <c r="G14" s="11">
        <v>0.010902777777777779</v>
      </c>
      <c r="H14" s="37" t="str">
        <f t="shared" si="3"/>
        <v>Strava</v>
      </c>
      <c r="I14" s="13" t="s">
        <v>638</v>
      </c>
    </row>
    <row r="15">
      <c r="A15" s="10">
        <v>75.0</v>
      </c>
      <c r="B15" s="10">
        <v>300.0</v>
      </c>
      <c r="C15" s="10">
        <f t="shared" si="1"/>
        <v>4</v>
      </c>
      <c r="D15" s="10">
        <v>183.0</v>
      </c>
      <c r="E15" s="10" t="s">
        <v>19</v>
      </c>
      <c r="F15" s="10" t="s">
        <v>139</v>
      </c>
      <c r="G15" s="11">
        <v>0.010902777777777779</v>
      </c>
      <c r="H15" s="37" t="str">
        <f t="shared" si="3"/>
        <v>Strava</v>
      </c>
      <c r="I15" s="13" t="s">
        <v>638</v>
      </c>
    </row>
    <row r="16">
      <c r="A16" s="10">
        <v>75.0</v>
      </c>
      <c r="B16" s="10">
        <v>300.0</v>
      </c>
      <c r="C16" s="10">
        <f t="shared" si="1"/>
        <v>4</v>
      </c>
      <c r="D16" s="10">
        <v>183.0</v>
      </c>
      <c r="E16" s="10" t="s">
        <v>19</v>
      </c>
      <c r="F16" s="10" t="s">
        <v>143</v>
      </c>
      <c r="G16" s="11">
        <v>0.010868055555555556</v>
      </c>
      <c r="H16" s="37" t="str">
        <f t="shared" si="3"/>
        <v>Strava</v>
      </c>
      <c r="I16" s="13" t="s">
        <v>638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>
      <c r="A17" s="10">
        <v>75.0</v>
      </c>
      <c r="B17" s="10">
        <v>300.0</v>
      </c>
      <c r="C17" s="10">
        <f t="shared" si="1"/>
        <v>4</v>
      </c>
      <c r="D17" s="10">
        <v>183.0</v>
      </c>
      <c r="E17" s="10" t="s">
        <v>19</v>
      </c>
      <c r="F17" s="10" t="s">
        <v>120</v>
      </c>
      <c r="G17" s="11">
        <v>0.010914351851851852</v>
      </c>
      <c r="H17" s="37" t="str">
        <f t="shared" si="3"/>
        <v>Strava</v>
      </c>
      <c r="I17" s="13" t="s">
        <v>638</v>
      </c>
    </row>
    <row r="18">
      <c r="A18" s="10">
        <v>75.0</v>
      </c>
      <c r="B18" s="10">
        <v>300.0</v>
      </c>
      <c r="C18" s="10">
        <f t="shared" si="1"/>
        <v>4</v>
      </c>
      <c r="D18" s="10">
        <v>183.0</v>
      </c>
      <c r="E18" s="10" t="s">
        <v>19</v>
      </c>
      <c r="F18" s="10" t="s">
        <v>170</v>
      </c>
      <c r="G18" s="11">
        <v>0.010914351851851852</v>
      </c>
      <c r="H18" s="37" t="str">
        <f t="shared" si="3"/>
        <v>Strava</v>
      </c>
      <c r="I18" s="13" t="s">
        <v>638</v>
      </c>
    </row>
    <row r="19">
      <c r="A19" s="10">
        <v>75.0</v>
      </c>
      <c r="B19" s="10">
        <v>300.0</v>
      </c>
      <c r="C19" s="10">
        <f t="shared" si="1"/>
        <v>4</v>
      </c>
      <c r="D19" s="10">
        <v>183.0</v>
      </c>
      <c r="E19" s="10" t="s">
        <v>19</v>
      </c>
      <c r="F19" s="10" t="s">
        <v>65</v>
      </c>
      <c r="G19" s="11">
        <v>0.010833333333333334</v>
      </c>
      <c r="H19" s="37" t="str">
        <f>HYPERLINK("https://www.strava.com/activities/2758170242","Strava")</f>
        <v>Strava</v>
      </c>
      <c r="I19" s="13" t="s">
        <v>638</v>
      </c>
    </row>
    <row r="20">
      <c r="A20" s="10">
        <v>75.0</v>
      </c>
      <c r="B20" s="10">
        <v>300.0</v>
      </c>
      <c r="C20" s="10">
        <f t="shared" si="1"/>
        <v>4</v>
      </c>
      <c r="D20" s="10">
        <v>183.0</v>
      </c>
      <c r="E20" s="10" t="s">
        <v>286</v>
      </c>
      <c r="F20" s="10" t="s">
        <v>286</v>
      </c>
      <c r="G20" s="11">
        <v>0.009189814814814816</v>
      </c>
      <c r="H20" s="37" t="str">
        <f t="shared" ref="H20:H21" si="4">HYPERLINK("https://www.strava.com/activities/2780664896","Strava")</f>
        <v>Strava</v>
      </c>
      <c r="I20" s="13" t="s">
        <v>639</v>
      </c>
    </row>
    <row r="21">
      <c r="A21" s="10">
        <v>75.0</v>
      </c>
      <c r="B21" s="10">
        <v>300.0</v>
      </c>
      <c r="C21" s="10">
        <f t="shared" si="1"/>
        <v>4</v>
      </c>
      <c r="D21" s="10">
        <v>183.0</v>
      </c>
      <c r="E21" s="10" t="s">
        <v>73</v>
      </c>
      <c r="F21" s="10" t="s">
        <v>351</v>
      </c>
      <c r="G21" s="11">
        <v>0.008414351851851852</v>
      </c>
      <c r="H21" s="37" t="str">
        <f t="shared" si="4"/>
        <v>Strava</v>
      </c>
      <c r="I21" s="13" t="s">
        <v>639</v>
      </c>
    </row>
    <row r="22">
      <c r="A22" s="10"/>
      <c r="B22" s="10"/>
      <c r="C22" s="10"/>
      <c r="D22" s="10"/>
      <c r="E22" s="10"/>
      <c r="F22" s="10"/>
      <c r="G22" s="11"/>
      <c r="H22" s="62"/>
    </row>
    <row r="23">
      <c r="A23" s="10"/>
      <c r="B23" s="10"/>
      <c r="C23" s="10"/>
      <c r="D23" s="10"/>
      <c r="E23" s="10"/>
      <c r="F23" s="10"/>
      <c r="G23" s="11"/>
      <c r="H23" s="62"/>
    </row>
    <row r="24">
      <c r="A24" s="10"/>
      <c r="B24" s="10"/>
      <c r="C24" s="10"/>
      <c r="D24" s="10"/>
      <c r="E24" s="10"/>
      <c r="F24" s="10"/>
      <c r="G24" s="68"/>
      <c r="H24" s="62"/>
    </row>
    <row r="25">
      <c r="A25" s="10"/>
      <c r="B25" s="10"/>
      <c r="C25" s="10"/>
      <c r="D25" s="10"/>
      <c r="E25" s="10"/>
      <c r="F25" s="10"/>
      <c r="G25" s="68"/>
      <c r="H25" s="62"/>
    </row>
    <row r="26">
      <c r="A26" s="10"/>
      <c r="B26" s="10"/>
      <c r="C26" s="10"/>
      <c r="D26" s="10"/>
      <c r="E26" s="10"/>
      <c r="F26" s="10"/>
      <c r="G26" s="68"/>
      <c r="H26" s="62"/>
    </row>
    <row r="27">
      <c r="A27" s="10"/>
      <c r="B27" s="10"/>
      <c r="C27" s="10"/>
      <c r="D27" s="10"/>
      <c r="E27" s="10"/>
      <c r="F27" s="10"/>
      <c r="G27" s="68"/>
      <c r="H27" s="62"/>
    </row>
    <row r="28">
      <c r="A28" s="10"/>
      <c r="B28" s="10"/>
      <c r="C28" s="10"/>
      <c r="D28" s="10"/>
      <c r="E28" s="10"/>
      <c r="F28" s="10"/>
      <c r="G28" s="68"/>
      <c r="H28" s="62"/>
    </row>
    <row r="29">
      <c r="A29" s="10"/>
      <c r="B29" s="10"/>
      <c r="C29" s="10"/>
      <c r="D29" s="10"/>
      <c r="E29" s="10"/>
      <c r="F29" s="10"/>
      <c r="G29" s="11"/>
      <c r="H29" s="62"/>
    </row>
    <row r="30">
      <c r="A30" s="10"/>
      <c r="B30" s="10"/>
      <c r="C30" s="10"/>
      <c r="D30" s="10"/>
      <c r="E30" s="10"/>
      <c r="F30" s="10"/>
      <c r="G30" s="11"/>
      <c r="H30" s="62"/>
    </row>
    <row r="31">
      <c r="A31" s="10"/>
      <c r="B31" s="10"/>
      <c r="C31" s="10"/>
      <c r="D31" s="10"/>
      <c r="E31" s="10"/>
      <c r="F31" s="10"/>
      <c r="G31" s="11"/>
      <c r="H31" s="62"/>
    </row>
    <row r="32">
      <c r="A32" s="10"/>
      <c r="B32" s="10"/>
      <c r="C32" s="10"/>
      <c r="D32" s="10"/>
      <c r="E32" s="10"/>
      <c r="F32" s="10"/>
      <c r="G32" s="11"/>
      <c r="H32" s="62"/>
    </row>
    <row r="33">
      <c r="A33" s="10"/>
      <c r="B33" s="10"/>
      <c r="C33" s="10"/>
      <c r="D33" s="10"/>
      <c r="E33" s="10"/>
      <c r="F33" s="10"/>
      <c r="G33" s="11"/>
      <c r="H33" s="62"/>
    </row>
    <row r="34">
      <c r="A34" s="10"/>
      <c r="B34" s="10"/>
      <c r="C34" s="10"/>
      <c r="D34" s="10"/>
      <c r="E34" s="10"/>
      <c r="F34" s="10"/>
      <c r="G34" s="11"/>
      <c r="H34" s="62"/>
    </row>
    <row r="35">
      <c r="A35" s="10"/>
      <c r="B35" s="10"/>
      <c r="C35" s="10"/>
      <c r="D35" s="10"/>
      <c r="E35" s="10"/>
      <c r="F35" s="10"/>
      <c r="G35" s="11"/>
      <c r="H35" s="62"/>
    </row>
    <row r="36">
      <c r="A36" s="10"/>
      <c r="B36" s="10"/>
      <c r="C36" s="10"/>
      <c r="D36" s="10"/>
      <c r="E36" s="10"/>
      <c r="F36" s="10"/>
      <c r="G36" s="11"/>
      <c r="H36" s="62"/>
      <c r="I36" s="65"/>
    </row>
    <row r="37">
      <c r="A37" s="10"/>
      <c r="B37" s="10"/>
      <c r="C37" s="10"/>
      <c r="D37" s="10"/>
      <c r="E37" s="10"/>
      <c r="F37" s="10"/>
      <c r="G37" s="11"/>
      <c r="H37" s="62"/>
    </row>
    <row r="38">
      <c r="A38" s="10"/>
      <c r="B38" s="10"/>
      <c r="C38" s="10"/>
      <c r="D38" s="10"/>
      <c r="E38" s="10"/>
      <c r="F38" s="10"/>
      <c r="G38" s="11"/>
      <c r="H38" s="62"/>
    </row>
    <row r="39">
      <c r="A39" s="10"/>
      <c r="B39" s="10"/>
      <c r="C39" s="10"/>
      <c r="D39" s="10"/>
      <c r="E39" s="10"/>
      <c r="F39" s="10"/>
      <c r="G39" s="11"/>
      <c r="H39" s="62"/>
    </row>
    <row r="40">
      <c r="A40" s="10"/>
      <c r="B40" s="10"/>
      <c r="C40" s="10"/>
      <c r="D40" s="10"/>
      <c r="E40" s="10"/>
      <c r="F40" s="10"/>
      <c r="G40" s="11"/>
      <c r="H40" s="62"/>
    </row>
    <row r="41">
      <c r="A41" s="10"/>
      <c r="B41" s="10"/>
      <c r="C41" s="10"/>
      <c r="D41" s="10"/>
      <c r="E41" s="10"/>
      <c r="F41" s="10"/>
      <c r="G41" s="11"/>
      <c r="H41" s="62"/>
    </row>
    <row r="42">
      <c r="A42" s="10"/>
      <c r="B42" s="10"/>
      <c r="C42" s="10"/>
      <c r="D42" s="10"/>
      <c r="E42" s="10"/>
      <c r="F42" s="10"/>
      <c r="G42" s="11"/>
      <c r="H42" s="62"/>
    </row>
    <row r="43">
      <c r="A43" s="10"/>
      <c r="B43" s="10"/>
      <c r="C43" s="10"/>
      <c r="D43" s="10"/>
      <c r="E43" s="10"/>
      <c r="F43" s="10"/>
      <c r="G43" s="11"/>
      <c r="H43" s="62"/>
    </row>
    <row r="44">
      <c r="A44" s="10"/>
      <c r="B44" s="10"/>
      <c r="C44" s="10"/>
      <c r="D44" s="10"/>
      <c r="E44" s="10"/>
      <c r="F44" s="10"/>
      <c r="G44" s="68"/>
      <c r="H44" s="62"/>
    </row>
    <row r="45">
      <c r="A45" s="10"/>
      <c r="B45" s="10"/>
      <c r="C45" s="10"/>
      <c r="D45" s="10"/>
      <c r="E45" s="10"/>
      <c r="F45" s="10"/>
      <c r="G45" s="68"/>
      <c r="H45" s="62"/>
    </row>
    <row r="46">
      <c r="A46" s="10"/>
      <c r="B46" s="10"/>
      <c r="C46" s="10"/>
      <c r="D46" s="10"/>
      <c r="E46" s="10"/>
      <c r="F46" s="10"/>
      <c r="G46" s="68"/>
      <c r="H46" s="62"/>
    </row>
    <row r="47">
      <c r="A47" s="10"/>
      <c r="B47" s="10"/>
      <c r="C47" s="10"/>
      <c r="D47" s="10"/>
      <c r="E47" s="10"/>
      <c r="F47" s="10"/>
      <c r="G47" s="68"/>
      <c r="H47" s="62"/>
    </row>
    <row r="48">
      <c r="A48" s="10"/>
      <c r="B48" s="10"/>
      <c r="C48" s="10"/>
      <c r="D48" s="10"/>
      <c r="E48" s="10"/>
      <c r="F48" s="10"/>
      <c r="G48" s="68"/>
      <c r="H48" s="62"/>
    </row>
    <row r="49">
      <c r="A49" s="10"/>
      <c r="B49" s="10"/>
      <c r="C49" s="10"/>
      <c r="D49" s="10"/>
      <c r="E49" s="10"/>
      <c r="F49" s="10"/>
      <c r="G49" s="11"/>
      <c r="H49" s="62"/>
    </row>
    <row r="50">
      <c r="A50" s="10"/>
      <c r="B50" s="10"/>
      <c r="C50" s="10"/>
      <c r="D50" s="10"/>
      <c r="E50" s="10"/>
      <c r="F50" s="10"/>
      <c r="G50" s="68"/>
      <c r="H50" s="62"/>
    </row>
    <row r="51">
      <c r="A51" s="10"/>
      <c r="B51" s="10"/>
      <c r="C51" s="10"/>
      <c r="D51" s="10"/>
      <c r="E51" s="10"/>
      <c r="F51" s="10"/>
      <c r="G51" s="68"/>
      <c r="H51" s="62"/>
    </row>
    <row r="52">
      <c r="A52" s="10"/>
      <c r="B52" s="10"/>
      <c r="C52" s="10"/>
      <c r="D52" s="10"/>
      <c r="E52" s="10"/>
      <c r="F52" s="10"/>
      <c r="G52" s="68"/>
      <c r="H52" s="62"/>
    </row>
    <row r="53">
      <c r="A53" s="10"/>
      <c r="B53" s="10"/>
      <c r="C53" s="10"/>
      <c r="D53" s="10"/>
      <c r="E53" s="10"/>
      <c r="F53" s="10"/>
      <c r="G53" s="11"/>
      <c r="H53" s="62"/>
    </row>
    <row r="54">
      <c r="A54" s="10"/>
      <c r="B54" s="10"/>
      <c r="C54" s="10"/>
      <c r="D54" s="10"/>
      <c r="E54" s="10"/>
      <c r="F54" s="10"/>
      <c r="G54" s="11"/>
      <c r="H54" s="62"/>
    </row>
    <row r="55">
      <c r="A55" s="10"/>
      <c r="B55" s="10"/>
      <c r="C55" s="10"/>
      <c r="D55" s="10"/>
      <c r="E55" s="10"/>
      <c r="F55" s="10"/>
      <c r="G55" s="11"/>
      <c r="H55" s="62"/>
    </row>
    <row r="56">
      <c r="A56" s="10"/>
      <c r="B56" s="10"/>
      <c r="C56" s="10"/>
      <c r="D56" s="10"/>
      <c r="E56" s="10"/>
      <c r="F56" s="10"/>
      <c r="G56" s="11"/>
      <c r="H56" s="62"/>
    </row>
    <row r="57">
      <c r="A57" s="10"/>
      <c r="B57" s="10"/>
      <c r="C57" s="10"/>
      <c r="D57" s="10"/>
      <c r="E57" s="10"/>
      <c r="F57" s="10"/>
      <c r="G57" s="11"/>
      <c r="H57" s="62"/>
    </row>
    <row r="58">
      <c r="A58" s="10"/>
      <c r="B58" s="10"/>
      <c r="C58" s="10"/>
      <c r="D58" s="10"/>
      <c r="E58" s="10"/>
      <c r="F58" s="10"/>
      <c r="G58" s="11"/>
      <c r="H58" s="62"/>
    </row>
    <row r="59">
      <c r="A59" s="10"/>
      <c r="B59" s="10"/>
      <c r="C59" s="10"/>
      <c r="D59" s="10"/>
      <c r="E59" s="10"/>
      <c r="F59" s="10"/>
      <c r="G59" s="11"/>
      <c r="H59" s="62"/>
    </row>
    <row r="60">
      <c r="A60" s="10"/>
      <c r="B60" s="10"/>
      <c r="C60" s="10"/>
      <c r="D60" s="10"/>
      <c r="E60" s="10"/>
      <c r="F60" s="10"/>
      <c r="G60" s="11"/>
      <c r="H60" s="62"/>
    </row>
    <row r="61">
      <c r="A61" s="10"/>
      <c r="B61" s="10"/>
      <c r="C61" s="10"/>
      <c r="D61" s="10"/>
      <c r="E61" s="10"/>
      <c r="F61" s="10"/>
      <c r="G61" s="11"/>
      <c r="H61" s="62"/>
    </row>
    <row r="62">
      <c r="A62" s="10"/>
      <c r="B62" s="10"/>
      <c r="C62" s="10"/>
      <c r="D62" s="10"/>
      <c r="E62" s="10"/>
      <c r="F62" s="10"/>
      <c r="G62" s="11"/>
      <c r="H62" s="62"/>
    </row>
    <row r="63">
      <c r="A63" s="10"/>
      <c r="B63" s="10"/>
      <c r="C63" s="10"/>
      <c r="D63" s="10"/>
      <c r="E63" s="10"/>
      <c r="F63" s="10"/>
      <c r="G63" s="11"/>
      <c r="H63" s="62"/>
    </row>
    <row r="64">
      <c r="A64" s="10"/>
      <c r="B64" s="10"/>
      <c r="C64" s="10"/>
      <c r="D64" s="10"/>
      <c r="E64" s="10"/>
      <c r="F64" s="10"/>
      <c r="G64" s="11"/>
      <c r="H64" s="62"/>
    </row>
    <row r="65">
      <c r="A65" s="10"/>
      <c r="B65" s="10"/>
      <c r="C65" s="10"/>
      <c r="D65" s="10"/>
      <c r="E65" s="10"/>
      <c r="F65" s="10"/>
      <c r="G65" s="11"/>
      <c r="H65" s="62"/>
    </row>
    <row r="66">
      <c r="A66" s="10"/>
      <c r="B66" s="10"/>
      <c r="C66" s="10"/>
      <c r="D66" s="10"/>
      <c r="E66" s="10"/>
      <c r="F66" s="10"/>
      <c r="G66" s="11"/>
      <c r="H66" s="62"/>
    </row>
    <row r="67">
      <c r="A67" s="10"/>
      <c r="B67" s="10"/>
      <c r="C67" s="10"/>
      <c r="D67" s="10"/>
      <c r="E67" s="10"/>
      <c r="F67" s="10"/>
      <c r="G67" s="11"/>
      <c r="H67" s="62"/>
    </row>
    <row r="68">
      <c r="A68" s="10"/>
      <c r="B68" s="10"/>
      <c r="C68" s="10"/>
      <c r="D68" s="10"/>
      <c r="E68" s="10"/>
      <c r="F68" s="10"/>
      <c r="G68" s="11"/>
      <c r="H68" s="62"/>
    </row>
    <row r="69">
      <c r="A69" s="10"/>
      <c r="B69" s="10"/>
      <c r="C69" s="10"/>
      <c r="D69" s="10"/>
      <c r="E69" s="10"/>
      <c r="F69" s="10"/>
      <c r="G69" s="11"/>
      <c r="H69" s="62"/>
    </row>
    <row r="70">
      <c r="A70" s="10"/>
      <c r="B70" s="10"/>
      <c r="C70" s="10"/>
      <c r="D70" s="10"/>
      <c r="E70" s="10"/>
      <c r="F70" s="10"/>
      <c r="G70" s="11"/>
      <c r="H70" s="62"/>
    </row>
    <row r="71">
      <c r="A71" s="10"/>
      <c r="B71" s="10"/>
      <c r="C71" s="10"/>
      <c r="D71" s="10"/>
      <c r="E71" s="10"/>
      <c r="F71" s="10"/>
      <c r="G71" s="11"/>
      <c r="H71" s="62"/>
    </row>
    <row r="72">
      <c r="A72" s="10"/>
      <c r="B72" s="10"/>
      <c r="C72" s="10"/>
      <c r="D72" s="10"/>
      <c r="E72" s="10"/>
      <c r="F72" s="10"/>
      <c r="G72" s="11"/>
      <c r="H72" s="62"/>
    </row>
    <row r="73">
      <c r="A73" s="10"/>
      <c r="B73" s="10"/>
      <c r="C73" s="10"/>
      <c r="D73" s="10"/>
      <c r="E73" s="10"/>
      <c r="F73" s="10"/>
      <c r="G73" s="11"/>
      <c r="H73" s="62"/>
    </row>
    <row r="74">
      <c r="A74" s="10"/>
      <c r="B74" s="10"/>
      <c r="C74" s="10"/>
      <c r="D74" s="10"/>
      <c r="E74" s="10"/>
      <c r="F74" s="10"/>
      <c r="G74" s="11"/>
      <c r="H74" s="62"/>
    </row>
    <row r="75">
      <c r="A75" s="10"/>
      <c r="B75" s="10"/>
      <c r="C75" s="10"/>
      <c r="D75" s="10"/>
      <c r="E75" s="10"/>
      <c r="F75" s="10"/>
      <c r="G75" s="11"/>
      <c r="H75" s="62"/>
    </row>
    <row r="76">
      <c r="A76" s="10"/>
      <c r="B76" s="10"/>
      <c r="C76" s="10"/>
      <c r="D76" s="10"/>
      <c r="E76" s="10"/>
      <c r="F76" s="10"/>
      <c r="G76" s="11"/>
      <c r="H76" s="62"/>
    </row>
    <row r="77">
      <c r="A77" s="10"/>
      <c r="B77" s="10"/>
      <c r="C77" s="10"/>
      <c r="D77" s="10"/>
      <c r="E77" s="10"/>
      <c r="F77" s="10"/>
      <c r="G77" s="11"/>
      <c r="H77" s="62"/>
    </row>
    <row r="78">
      <c r="A78" s="10"/>
      <c r="B78" s="10"/>
      <c r="C78" s="10"/>
      <c r="D78" s="10"/>
      <c r="E78" s="10"/>
      <c r="F78" s="10"/>
      <c r="G78" s="11"/>
      <c r="H78" s="62"/>
    </row>
    <row r="79">
      <c r="A79" s="10"/>
      <c r="B79" s="10"/>
      <c r="C79" s="10"/>
      <c r="D79" s="10"/>
      <c r="E79" s="10"/>
      <c r="F79" s="10"/>
      <c r="G79" s="11"/>
      <c r="H79" s="62"/>
    </row>
    <row r="80">
      <c r="A80" s="10"/>
      <c r="B80" s="10"/>
      <c r="C80" s="10"/>
      <c r="D80" s="10"/>
      <c r="E80" s="10"/>
      <c r="F80" s="10"/>
      <c r="G80" s="11"/>
      <c r="H80" s="62"/>
    </row>
    <row r="81">
      <c r="A81" s="10"/>
      <c r="B81" s="10"/>
      <c r="C81" s="10"/>
      <c r="D81" s="10"/>
      <c r="E81" s="10"/>
      <c r="F81" s="10"/>
      <c r="G81" s="11"/>
      <c r="H81" s="62"/>
    </row>
    <row r="82">
      <c r="A82" s="10"/>
      <c r="B82" s="10"/>
      <c r="C82" s="10"/>
      <c r="D82" s="10"/>
      <c r="E82" s="10"/>
      <c r="F82" s="10"/>
      <c r="G82" s="11"/>
      <c r="H82" s="62"/>
    </row>
    <row r="83">
      <c r="A83" s="10"/>
      <c r="B83" s="10"/>
      <c r="C83" s="10"/>
      <c r="D83" s="10"/>
      <c r="E83" s="10"/>
      <c r="F83" s="10"/>
      <c r="G83" s="11"/>
      <c r="H83" s="62"/>
    </row>
    <row r="84">
      <c r="A84" s="10"/>
      <c r="B84" s="10"/>
      <c r="C84" s="10"/>
      <c r="D84" s="10"/>
      <c r="E84" s="10"/>
      <c r="F84" s="10"/>
      <c r="G84" s="11"/>
      <c r="H84" s="62"/>
    </row>
    <row r="85">
      <c r="A85" s="10"/>
      <c r="B85" s="10"/>
      <c r="C85" s="10"/>
      <c r="D85" s="10"/>
      <c r="E85" s="10"/>
      <c r="F85" s="10"/>
      <c r="G85" s="11"/>
      <c r="H85" s="62"/>
    </row>
    <row r="86">
      <c r="A86" s="10"/>
      <c r="B86" s="10"/>
      <c r="C86" s="10"/>
      <c r="D86" s="10"/>
      <c r="E86" s="10"/>
      <c r="F86" s="10"/>
      <c r="G86" s="11"/>
      <c r="H86" s="62"/>
    </row>
    <row r="87">
      <c r="A87" s="10"/>
      <c r="B87" s="10"/>
      <c r="C87" s="10"/>
      <c r="D87" s="10"/>
      <c r="E87" s="10"/>
      <c r="F87" s="10"/>
      <c r="G87" s="11"/>
      <c r="H87" s="62"/>
    </row>
    <row r="88">
      <c r="A88" s="10"/>
      <c r="B88" s="10"/>
      <c r="C88" s="10"/>
      <c r="D88" s="10"/>
      <c r="E88" s="10"/>
      <c r="F88" s="10"/>
      <c r="G88" s="11"/>
      <c r="H88" s="62"/>
    </row>
    <row r="89">
      <c r="A89" s="10"/>
      <c r="B89" s="10"/>
      <c r="C89" s="10"/>
      <c r="D89" s="10"/>
      <c r="E89" s="10"/>
      <c r="F89" s="10"/>
      <c r="G89" s="11"/>
      <c r="H89" s="62"/>
    </row>
    <row r="90">
      <c r="E90" s="10"/>
    </row>
    <row r="91">
      <c r="E91" s="10"/>
    </row>
    <row r="92">
      <c r="E92" s="10"/>
    </row>
    <row r="94">
      <c r="E94" s="10"/>
    </row>
    <row r="95">
      <c r="E95" s="10"/>
    </row>
    <row r="96">
      <c r="E96" s="10"/>
    </row>
    <row r="97">
      <c r="A97" s="10">
        <v>75.0</v>
      </c>
      <c r="B97" s="10">
        <v>300.0</v>
      </c>
      <c r="C97" s="10">
        <f t="shared" ref="C97:C107" si="5">B97/A97</f>
        <v>4</v>
      </c>
      <c r="D97" s="10">
        <v>183.0</v>
      </c>
      <c r="E97" s="10" t="s">
        <v>19</v>
      </c>
      <c r="F97" s="10" t="s">
        <v>188</v>
      </c>
      <c r="G97" s="11"/>
      <c r="H97" s="62"/>
    </row>
    <row r="98">
      <c r="A98" s="10">
        <v>75.0</v>
      </c>
      <c r="B98" s="10">
        <v>300.0</v>
      </c>
      <c r="C98" s="10">
        <f t="shared" si="5"/>
        <v>4</v>
      </c>
      <c r="D98" s="10">
        <v>183.0</v>
      </c>
      <c r="E98" s="10" t="s">
        <v>19</v>
      </c>
      <c r="F98" s="10" t="s">
        <v>118</v>
      </c>
      <c r="G98" s="11"/>
      <c r="H98" s="62"/>
    </row>
    <row r="99">
      <c r="A99" s="10">
        <v>75.0</v>
      </c>
      <c r="B99" s="10">
        <v>300.0</v>
      </c>
      <c r="C99" s="10">
        <f t="shared" si="5"/>
        <v>4</v>
      </c>
      <c r="D99" s="10">
        <v>183.0</v>
      </c>
      <c r="E99" s="10" t="s">
        <v>19</v>
      </c>
      <c r="F99" s="10" t="s">
        <v>113</v>
      </c>
      <c r="G99" s="11"/>
      <c r="H99" s="62"/>
    </row>
    <row r="100">
      <c r="A100" s="10">
        <v>75.0</v>
      </c>
      <c r="B100" s="10">
        <v>300.0</v>
      </c>
      <c r="C100" s="10">
        <f t="shared" si="5"/>
        <v>4</v>
      </c>
      <c r="D100" s="10">
        <v>183.0</v>
      </c>
      <c r="E100" s="10" t="s">
        <v>19</v>
      </c>
      <c r="F100" s="10" t="s">
        <v>91</v>
      </c>
      <c r="G100" s="11"/>
      <c r="H100" s="62"/>
    </row>
    <row r="101">
      <c r="A101" s="10">
        <v>75.0</v>
      </c>
      <c r="B101" s="10">
        <v>300.0</v>
      </c>
      <c r="C101" s="10">
        <f t="shared" si="5"/>
        <v>4</v>
      </c>
      <c r="D101" s="10">
        <v>183.0</v>
      </c>
      <c r="E101" s="10" t="s">
        <v>19</v>
      </c>
      <c r="F101" s="10" t="s">
        <v>79</v>
      </c>
      <c r="G101" s="11"/>
      <c r="H101" s="62"/>
    </row>
    <row r="102">
      <c r="A102" s="10">
        <v>75.0</v>
      </c>
      <c r="B102" s="10">
        <v>300.0</v>
      </c>
      <c r="C102" s="10">
        <f t="shared" si="5"/>
        <v>4</v>
      </c>
      <c r="D102" s="10">
        <v>183.0</v>
      </c>
      <c r="E102" s="10" t="s">
        <v>19</v>
      </c>
      <c r="F102" s="10" t="s">
        <v>11</v>
      </c>
      <c r="G102" s="11"/>
      <c r="H102" s="62"/>
    </row>
    <row r="103">
      <c r="A103" s="10">
        <v>75.0</v>
      </c>
      <c r="B103" s="10">
        <v>300.0</v>
      </c>
      <c r="C103" s="10">
        <f t="shared" si="5"/>
        <v>4</v>
      </c>
      <c r="D103" s="10">
        <v>183.0</v>
      </c>
      <c r="E103" s="10" t="s">
        <v>19</v>
      </c>
      <c r="F103" s="10" t="s">
        <v>640</v>
      </c>
      <c r="G103" s="11"/>
      <c r="H103" s="62"/>
    </row>
    <row r="104">
      <c r="A104" s="10">
        <v>75.0</v>
      </c>
      <c r="B104" s="10">
        <v>300.0</v>
      </c>
      <c r="C104" s="10">
        <f t="shared" si="5"/>
        <v>4</v>
      </c>
      <c r="D104" s="10">
        <v>183.0</v>
      </c>
      <c r="E104" s="10" t="s">
        <v>19</v>
      </c>
      <c r="F104" s="10" t="s">
        <v>641</v>
      </c>
      <c r="G104" s="11"/>
      <c r="H104" s="62"/>
    </row>
    <row r="105">
      <c r="A105" s="10">
        <v>75.0</v>
      </c>
      <c r="B105" s="10">
        <v>300.0</v>
      </c>
      <c r="C105" s="10">
        <f t="shared" si="5"/>
        <v>4</v>
      </c>
      <c r="D105" s="10">
        <v>183.0</v>
      </c>
      <c r="E105" s="10" t="s">
        <v>19</v>
      </c>
      <c r="F105" s="10" t="s">
        <v>201</v>
      </c>
      <c r="G105" s="11"/>
      <c r="H105" s="62"/>
    </row>
    <row r="106">
      <c r="A106" s="10">
        <v>75.0</v>
      </c>
      <c r="B106" s="10">
        <v>300.0</v>
      </c>
      <c r="C106" s="10">
        <f t="shared" si="5"/>
        <v>4</v>
      </c>
      <c r="D106" s="10">
        <v>183.0</v>
      </c>
      <c r="E106" s="10" t="s">
        <v>19</v>
      </c>
      <c r="F106" s="10" t="s">
        <v>302</v>
      </c>
      <c r="G106" s="11"/>
      <c r="H106" s="62"/>
    </row>
    <row r="107">
      <c r="A107" s="10">
        <v>75.0</v>
      </c>
      <c r="B107" s="10">
        <v>300.0</v>
      </c>
      <c r="C107" s="10">
        <f t="shared" si="5"/>
        <v>4</v>
      </c>
      <c r="D107" s="10">
        <v>183.0</v>
      </c>
      <c r="E107" s="10" t="s">
        <v>19</v>
      </c>
      <c r="F107" s="10" t="s">
        <v>253</v>
      </c>
      <c r="G107" s="11"/>
      <c r="H107" s="62"/>
    </row>
  </sheetData>
  <autoFilter ref="$A$1:$H$107"/>
  <customSheetViews>
    <customSheetView guid="{131ED934-56A5-4A4B-9246-8993FA1F050E}" filter="1" showAutoFilter="1">
      <autoFilter ref="$A$1:$H$107">
        <filterColumn colId="4">
          <filters blank="1">
            <filter val="Zwift Mountain"/>
            <filter val="Tron (Concept Z1)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5">
          <filters blank="1">
            <filter val="ENVE SES 6.7"/>
            <filter val="ENVE SES 7.8"/>
            <filter val="Shimano C40"/>
            <filter val="ENVE SES 8.9"/>
            <filter val="Zwift Safety"/>
            <filter val="ENVE SES 3.4"/>
            <filter val="Lightweight Meilenstein"/>
            <filter val="ENVE SES 2.2"/>
            <filter val="Roval CLX64"/>
            <filter val="Tron"/>
            <filter val="Zwift Buffalo Fahrrad"/>
            <filter val="Bontrager Aeolus5"/>
            <filter val="Bora Ultra 50"/>
            <filter val="Zwift 32mm Carbon"/>
            <filter val="Mavic Comete Pro Carbon SL UST"/>
            <filter val="Zipp 858/Super9"/>
            <filter val="Bora Ultra 35"/>
            <filter val="Zwift 50mm Carbon"/>
            <filter val="Zipp 808/Super9"/>
            <filter val="Giant SLR 0"/>
            <filter val="Zipp 454"/>
            <filter val="Zwift Mountain"/>
            <filter val="Mavic Cosmic Ultimate UST"/>
            <filter val="Zipp 858"/>
            <filter val="Zwift Classic"/>
          </filters>
        </filterColumn>
      </autoFilter>
    </customSheetView>
  </customSheetView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7.5"/>
    <col customWidth="1" min="3" max="3" width="6.88"/>
    <col customWidth="1" min="4" max="4" width="8.38"/>
    <col customWidth="1" min="5" max="6" width="16.38"/>
    <col customWidth="1" min="7" max="7" width="10.25"/>
    <col customWidth="1" min="8" max="8" width="7.75"/>
    <col customWidth="1" min="9" max="9" width="7.13"/>
    <col customWidth="1" min="14" max="14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642</v>
      </c>
      <c r="I1" s="1" t="s">
        <v>643</v>
      </c>
      <c r="J1" s="1" t="s">
        <v>644</v>
      </c>
      <c r="K1" s="1" t="s">
        <v>645</v>
      </c>
      <c r="L1" s="1" t="s">
        <v>646</v>
      </c>
      <c r="M1" s="1" t="s">
        <v>647</v>
      </c>
    </row>
    <row r="2">
      <c r="A2" s="10">
        <v>75.0</v>
      </c>
      <c r="B2" s="10">
        <v>225.0</v>
      </c>
      <c r="C2" s="10">
        <f>B2/A2</f>
        <v>3</v>
      </c>
      <c r="D2" s="10">
        <v>183.0</v>
      </c>
      <c r="E2" s="10" t="s">
        <v>56</v>
      </c>
      <c r="F2" s="10" t="s">
        <v>91</v>
      </c>
      <c r="G2" s="11">
        <v>2.076388888888889</v>
      </c>
      <c r="H2" s="70">
        <v>0.20833333333333334</v>
      </c>
      <c r="I2" s="70">
        <v>0.3597222222222222</v>
      </c>
      <c r="J2" s="70">
        <v>0.2361111111111111</v>
      </c>
      <c r="K2" s="70">
        <v>0.14166666666666666</v>
      </c>
      <c r="L2" s="70">
        <v>0.175</v>
      </c>
      <c r="M2" s="70">
        <v>0.06458333333333334</v>
      </c>
      <c r="N2" s="69" t="s">
        <v>353</v>
      </c>
    </row>
    <row r="3">
      <c r="A3" s="10">
        <v>75.0</v>
      </c>
      <c r="B3" s="10">
        <v>225.0</v>
      </c>
      <c r="C3" s="10">
        <v>3.0</v>
      </c>
      <c r="D3" s="10">
        <v>183.0</v>
      </c>
      <c r="E3" s="10" t="s">
        <v>56</v>
      </c>
      <c r="F3" s="10" t="s">
        <v>585</v>
      </c>
      <c r="G3" s="11">
        <v>2.1069444444444443</v>
      </c>
      <c r="H3" s="70">
        <v>0.21180555555555555</v>
      </c>
      <c r="I3" s="70">
        <v>0.3645833333333333</v>
      </c>
      <c r="J3" s="70">
        <v>0.23819444444444443</v>
      </c>
      <c r="K3" s="70">
        <v>0.1423611111111111</v>
      </c>
      <c r="L3" s="70">
        <v>0.17777777777777778</v>
      </c>
      <c r="M3" s="70">
        <v>0.06597222222222222</v>
      </c>
      <c r="N3" s="69" t="s">
        <v>353</v>
      </c>
    </row>
    <row r="4">
      <c r="A4" s="10">
        <v>75.0</v>
      </c>
      <c r="B4" s="10">
        <v>225.0</v>
      </c>
      <c r="C4" s="10">
        <v>3.0</v>
      </c>
      <c r="D4" s="10">
        <v>183.0</v>
      </c>
      <c r="E4" s="10" t="s">
        <v>648</v>
      </c>
      <c r="F4" s="10" t="s">
        <v>351</v>
      </c>
      <c r="G4" s="11">
        <v>2.1194444444444445</v>
      </c>
      <c r="H4" s="70">
        <v>0.21388888888888888</v>
      </c>
      <c r="I4" s="70">
        <v>0.36944444444444446</v>
      </c>
      <c r="J4" s="70">
        <v>0.2375</v>
      </c>
      <c r="K4" s="70">
        <v>0.14027777777777778</v>
      </c>
      <c r="L4" s="70">
        <v>0.18055555555555555</v>
      </c>
      <c r="M4" s="70">
        <v>0.06736111111111111</v>
      </c>
      <c r="N4" s="37" t="str">
        <f>HYPERLINK("https://www.strava.com/activities/796100705","Strava")</f>
        <v>Strava</v>
      </c>
    </row>
    <row r="5">
      <c r="A5" s="10">
        <v>75.0</v>
      </c>
      <c r="B5" s="10">
        <v>225.0</v>
      </c>
      <c r="C5" s="10">
        <f t="shared" ref="C5:C11" si="1">B5/A5</f>
        <v>3</v>
      </c>
      <c r="D5" s="10">
        <v>183.0</v>
      </c>
      <c r="E5" s="10" t="s">
        <v>623</v>
      </c>
      <c r="F5" s="10" t="s">
        <v>91</v>
      </c>
      <c r="G5" s="11">
        <v>2.1222222222222222</v>
      </c>
      <c r="H5" s="70">
        <v>0.21388888888888888</v>
      </c>
      <c r="I5" s="70">
        <v>0.36944444444444446</v>
      </c>
      <c r="J5" s="70">
        <v>0.23819444444444443</v>
      </c>
      <c r="K5" s="70">
        <v>0.1388888888888889</v>
      </c>
      <c r="L5" s="70">
        <v>0.18055555555555555</v>
      </c>
      <c r="M5" s="70">
        <v>0.06736111111111111</v>
      </c>
      <c r="N5" s="69" t="s">
        <v>353</v>
      </c>
    </row>
    <row r="6">
      <c r="A6" s="10">
        <v>75.0</v>
      </c>
      <c r="B6" s="10">
        <v>225.0</v>
      </c>
      <c r="C6" s="10">
        <f t="shared" si="1"/>
        <v>3</v>
      </c>
      <c r="D6" s="10">
        <v>183.0</v>
      </c>
      <c r="E6" s="10" t="s">
        <v>58</v>
      </c>
      <c r="F6" s="10" t="s">
        <v>91</v>
      </c>
      <c r="G6" s="11">
        <v>2.123611111111111</v>
      </c>
      <c r="H6" s="70">
        <v>0.21388888888888888</v>
      </c>
      <c r="I6" s="70">
        <v>0.36944444444444446</v>
      </c>
      <c r="J6" s="70">
        <v>0.23819444444444443</v>
      </c>
      <c r="K6" s="70">
        <v>0.14027777777777778</v>
      </c>
      <c r="L6" s="70">
        <v>0.18055555555555555</v>
      </c>
      <c r="M6" s="70">
        <v>0.06666666666666667</v>
      </c>
      <c r="N6" s="69" t="s">
        <v>353</v>
      </c>
    </row>
    <row r="7">
      <c r="A7" s="10">
        <v>75.0</v>
      </c>
      <c r="B7" s="10">
        <v>225.0</v>
      </c>
      <c r="C7" s="10">
        <f t="shared" si="1"/>
        <v>3</v>
      </c>
      <c r="D7" s="10">
        <v>183.0</v>
      </c>
      <c r="E7" s="10" t="s">
        <v>63</v>
      </c>
      <c r="F7" s="10" t="s">
        <v>91</v>
      </c>
      <c r="G7" s="11">
        <v>2.1284722222222223</v>
      </c>
      <c r="H7" s="70">
        <v>0.21458333333333332</v>
      </c>
      <c r="I7" s="70">
        <v>0.3701388888888889</v>
      </c>
      <c r="J7" s="70">
        <v>0.2388888888888889</v>
      </c>
      <c r="K7" s="70">
        <v>0.14027777777777778</v>
      </c>
      <c r="L7" s="70">
        <v>0.18125</v>
      </c>
      <c r="M7" s="70">
        <v>0.06666666666666667</v>
      </c>
      <c r="N7" s="69" t="s">
        <v>353</v>
      </c>
    </row>
    <row r="8">
      <c r="A8" s="10">
        <v>75.0</v>
      </c>
      <c r="B8" s="10">
        <v>225.0</v>
      </c>
      <c r="C8" s="10">
        <f t="shared" si="1"/>
        <v>3</v>
      </c>
      <c r="D8" s="10">
        <v>183.0</v>
      </c>
      <c r="E8" s="10" t="s">
        <v>75</v>
      </c>
      <c r="F8" s="10" t="s">
        <v>91</v>
      </c>
      <c r="G8" s="11">
        <v>2.129166666666667</v>
      </c>
      <c r="H8" s="70">
        <v>0.21458333333333332</v>
      </c>
      <c r="I8" s="70">
        <v>0.3701388888888889</v>
      </c>
      <c r="J8" s="70">
        <v>0.2388888888888889</v>
      </c>
      <c r="K8" s="70">
        <v>0.14097222222222222</v>
      </c>
      <c r="L8" s="70">
        <v>0.18055555555555555</v>
      </c>
      <c r="M8" s="70">
        <v>0.06666666666666667</v>
      </c>
      <c r="N8" s="69" t="s">
        <v>353</v>
      </c>
    </row>
    <row r="9">
      <c r="A9" s="10">
        <v>75.0</v>
      </c>
      <c r="B9" s="10">
        <v>225.0</v>
      </c>
      <c r="C9" s="10">
        <f t="shared" si="1"/>
        <v>3</v>
      </c>
      <c r="D9" s="10">
        <v>183.0</v>
      </c>
      <c r="E9" s="10" t="s">
        <v>19</v>
      </c>
      <c r="F9" s="10" t="s">
        <v>91</v>
      </c>
      <c r="G9" s="11">
        <v>2.1305555555555555</v>
      </c>
      <c r="H9" s="70">
        <v>0.2152777777777778</v>
      </c>
      <c r="I9" s="70">
        <v>0.3701388888888889</v>
      </c>
      <c r="J9" s="70">
        <v>0.23958333333333334</v>
      </c>
      <c r="K9" s="70">
        <v>0.14166666666666666</v>
      </c>
      <c r="L9" s="70">
        <v>0.18055555555555555</v>
      </c>
      <c r="M9" s="70">
        <v>0.06666666666666667</v>
      </c>
      <c r="N9" s="69" t="s">
        <v>353</v>
      </c>
    </row>
    <row r="10">
      <c r="A10" s="10">
        <v>75.0</v>
      </c>
      <c r="B10" s="10">
        <v>225.0</v>
      </c>
      <c r="C10" s="10">
        <f t="shared" si="1"/>
        <v>3</v>
      </c>
      <c r="D10" s="10">
        <v>183.0</v>
      </c>
      <c r="E10" s="10" t="s">
        <v>225</v>
      </c>
      <c r="F10" s="10" t="s">
        <v>91</v>
      </c>
      <c r="G10" s="11">
        <v>2.1354166666666665</v>
      </c>
      <c r="H10" s="70">
        <v>0.2152777777777778</v>
      </c>
      <c r="I10" s="70">
        <v>0.3715277777777778</v>
      </c>
      <c r="J10" s="70">
        <v>0.2388888888888889</v>
      </c>
      <c r="K10" s="70">
        <v>0.14027777777777778</v>
      </c>
      <c r="L10" s="70">
        <v>0.18125</v>
      </c>
      <c r="M10" s="70">
        <v>0.06736111111111111</v>
      </c>
      <c r="N10" s="69" t="s">
        <v>353</v>
      </c>
    </row>
    <row r="11">
      <c r="A11" s="10">
        <v>75.0</v>
      </c>
      <c r="B11" s="10">
        <v>225.0</v>
      </c>
      <c r="C11" s="10">
        <f t="shared" si="1"/>
        <v>3</v>
      </c>
      <c r="D11" s="10">
        <v>183.0</v>
      </c>
      <c r="E11" s="10" t="s">
        <v>221</v>
      </c>
      <c r="F11" s="10" t="s">
        <v>91</v>
      </c>
      <c r="G11" s="11">
        <v>2.136111111111111</v>
      </c>
      <c r="H11" s="70">
        <v>0.2152777777777778</v>
      </c>
      <c r="I11" s="70">
        <v>0.37222222222222223</v>
      </c>
      <c r="J11" s="70">
        <v>0.2388888888888889</v>
      </c>
      <c r="K11" s="70">
        <v>0.14027777777777778</v>
      </c>
      <c r="L11" s="70">
        <v>0.18194444444444444</v>
      </c>
      <c r="M11" s="70">
        <v>0.06736111111111111</v>
      </c>
      <c r="N11" s="69" t="s">
        <v>353</v>
      </c>
    </row>
    <row r="12">
      <c r="A12" s="10">
        <v>75.0</v>
      </c>
      <c r="B12" s="10">
        <v>225.0</v>
      </c>
      <c r="C12" s="10">
        <v>3.0</v>
      </c>
      <c r="D12" s="10">
        <v>183.0</v>
      </c>
      <c r="E12" s="10" t="s">
        <v>19</v>
      </c>
      <c r="F12" s="10" t="s">
        <v>118</v>
      </c>
      <c r="G12" s="11">
        <v>2.1368055555555556</v>
      </c>
      <c r="H12" s="70">
        <v>0.21597222222222223</v>
      </c>
      <c r="I12" s="70">
        <v>0.37222222222222223</v>
      </c>
      <c r="J12" s="70">
        <v>0.24027777777777778</v>
      </c>
      <c r="K12" s="70">
        <v>0.14097222222222222</v>
      </c>
      <c r="L12" s="70">
        <v>0.18194444444444444</v>
      </c>
      <c r="M12" s="70">
        <v>0.06736111111111111</v>
      </c>
      <c r="N12" s="69" t="s">
        <v>353</v>
      </c>
    </row>
    <row r="13">
      <c r="A13" s="10">
        <v>75.0</v>
      </c>
      <c r="B13" s="10">
        <v>225.0</v>
      </c>
      <c r="C13" s="10">
        <f t="shared" ref="C13:C18" si="2">B13/A13</f>
        <v>3</v>
      </c>
      <c r="D13" s="10">
        <v>183.0</v>
      </c>
      <c r="E13" s="10" t="s">
        <v>199</v>
      </c>
      <c r="F13" s="10" t="s">
        <v>91</v>
      </c>
      <c r="G13" s="11">
        <v>2.138888888888889</v>
      </c>
      <c r="H13" s="70">
        <v>0.21597222222222223</v>
      </c>
      <c r="I13" s="70">
        <v>0.3715277777777778</v>
      </c>
      <c r="J13" s="70">
        <v>0.24027777777777778</v>
      </c>
      <c r="K13" s="70">
        <v>0.14166666666666666</v>
      </c>
      <c r="L13" s="70">
        <v>0.18194444444444444</v>
      </c>
      <c r="M13" s="70">
        <v>0.06736111111111111</v>
      </c>
      <c r="N13" s="69" t="s">
        <v>353</v>
      </c>
    </row>
    <row r="14">
      <c r="A14" s="10">
        <v>75.0</v>
      </c>
      <c r="B14" s="10">
        <v>225.0</v>
      </c>
      <c r="C14" s="10">
        <f t="shared" si="2"/>
        <v>3</v>
      </c>
      <c r="D14" s="10">
        <v>183.0</v>
      </c>
      <c r="E14" s="10" t="s">
        <v>16</v>
      </c>
      <c r="F14" s="10" t="s">
        <v>91</v>
      </c>
      <c r="G14" s="11">
        <v>2.1395833333333334</v>
      </c>
      <c r="H14" s="70">
        <v>0.21597222222222223</v>
      </c>
      <c r="I14" s="70">
        <v>0.37222222222222223</v>
      </c>
      <c r="J14" s="70">
        <v>0.24027777777777778</v>
      </c>
      <c r="K14" s="70">
        <v>0.14166666666666666</v>
      </c>
      <c r="L14" s="70">
        <v>0.18194444444444444</v>
      </c>
      <c r="M14" s="70">
        <v>0.06736111111111111</v>
      </c>
      <c r="N14" s="69" t="s">
        <v>353</v>
      </c>
    </row>
    <row r="15">
      <c r="A15" s="10">
        <v>75.0</v>
      </c>
      <c r="B15" s="10">
        <v>225.0</v>
      </c>
      <c r="C15" s="10">
        <f t="shared" si="2"/>
        <v>3</v>
      </c>
      <c r="D15" s="10">
        <v>183.0</v>
      </c>
      <c r="E15" s="10" t="s">
        <v>625</v>
      </c>
      <c r="F15" s="10" t="s">
        <v>91</v>
      </c>
      <c r="G15" s="11">
        <v>2.1395833333333334</v>
      </c>
      <c r="H15" s="70">
        <v>0.2152777777777778</v>
      </c>
      <c r="I15" s="70">
        <v>0.37222222222222223</v>
      </c>
      <c r="J15" s="70">
        <v>0.24097222222222223</v>
      </c>
      <c r="K15" s="70">
        <v>0.14166666666666666</v>
      </c>
      <c r="L15" s="70">
        <v>0.18194444444444444</v>
      </c>
      <c r="M15" s="70">
        <v>0.06736111111111111</v>
      </c>
      <c r="N15" s="69" t="s">
        <v>353</v>
      </c>
    </row>
    <row r="16">
      <c r="A16" s="10">
        <v>75.0</v>
      </c>
      <c r="B16" s="10">
        <v>225.0</v>
      </c>
      <c r="C16" s="10">
        <f t="shared" si="2"/>
        <v>3</v>
      </c>
      <c r="D16" s="10">
        <v>183.0</v>
      </c>
      <c r="E16" s="10" t="s">
        <v>552</v>
      </c>
      <c r="F16" s="10" t="s">
        <v>91</v>
      </c>
      <c r="G16" s="11">
        <v>2.1416666666666666</v>
      </c>
      <c r="H16" s="70">
        <v>0.21597222222222223</v>
      </c>
      <c r="I16" s="70">
        <v>0.37222222222222223</v>
      </c>
      <c r="J16" s="70">
        <v>0.24097222222222223</v>
      </c>
      <c r="K16" s="70">
        <v>0.1423611111111111</v>
      </c>
      <c r="L16" s="70">
        <v>0.18194444444444444</v>
      </c>
      <c r="M16" s="70">
        <v>0.06736111111111111</v>
      </c>
      <c r="N16" s="69" t="s">
        <v>353</v>
      </c>
    </row>
    <row r="17">
      <c r="A17" s="10">
        <v>75.0</v>
      </c>
      <c r="B17" s="10">
        <v>225.0</v>
      </c>
      <c r="C17" s="10">
        <f t="shared" si="2"/>
        <v>3</v>
      </c>
      <c r="D17" s="10">
        <v>183.0</v>
      </c>
      <c r="E17" s="10" t="s">
        <v>306</v>
      </c>
      <c r="F17" s="10" t="s">
        <v>91</v>
      </c>
      <c r="G17" s="11">
        <v>2.142361111111111</v>
      </c>
      <c r="H17" s="70">
        <v>0.21597222222222223</v>
      </c>
      <c r="I17" s="70">
        <v>0.37222222222222223</v>
      </c>
      <c r="J17" s="70">
        <v>0.24097222222222223</v>
      </c>
      <c r="K17" s="70">
        <v>0.14305555555555555</v>
      </c>
      <c r="L17" s="70">
        <v>0.18125</v>
      </c>
      <c r="M17" s="70">
        <v>0.06736111111111111</v>
      </c>
      <c r="N17" s="69" t="s">
        <v>353</v>
      </c>
    </row>
    <row r="18">
      <c r="A18" s="10">
        <v>75.0</v>
      </c>
      <c r="B18" s="10">
        <v>225.0</v>
      </c>
      <c r="C18" s="10">
        <f t="shared" si="2"/>
        <v>3</v>
      </c>
      <c r="D18" s="10">
        <v>183.0</v>
      </c>
      <c r="E18" s="10" t="s">
        <v>16</v>
      </c>
      <c r="F18" s="10" t="s">
        <v>624</v>
      </c>
      <c r="G18" s="11">
        <v>2.1458333333333335</v>
      </c>
      <c r="H18" s="70">
        <v>0.21666666666666667</v>
      </c>
      <c r="I18" s="70">
        <v>0.3736111111111111</v>
      </c>
      <c r="J18" s="70">
        <v>0.24097222222222223</v>
      </c>
      <c r="K18" s="70">
        <v>0.14166666666666666</v>
      </c>
      <c r="L18" s="70">
        <v>0.18194444444444444</v>
      </c>
      <c r="M18" s="70">
        <v>0.06805555555555555</v>
      </c>
      <c r="N18" s="69" t="s">
        <v>353</v>
      </c>
    </row>
    <row r="19">
      <c r="A19" s="10">
        <v>75.0</v>
      </c>
      <c r="B19" s="10">
        <v>225.0</v>
      </c>
      <c r="C19" s="10">
        <v>3.0</v>
      </c>
      <c r="D19" s="10">
        <v>183.0</v>
      </c>
      <c r="E19" s="10" t="s">
        <v>649</v>
      </c>
      <c r="F19" s="10" t="s">
        <v>188</v>
      </c>
      <c r="G19" s="11">
        <v>2.1465277777777776</v>
      </c>
      <c r="H19" s="70">
        <v>0.21666666666666667</v>
      </c>
      <c r="I19" s="70">
        <v>0.37430555555555556</v>
      </c>
      <c r="J19" s="70">
        <v>0.23958333333333334</v>
      </c>
      <c r="K19" s="70">
        <v>0.13958333333333334</v>
      </c>
      <c r="L19" s="70">
        <v>0.18333333333333332</v>
      </c>
      <c r="M19" s="70">
        <v>0.06805555555555555</v>
      </c>
      <c r="N19" s="69" t="s">
        <v>353</v>
      </c>
    </row>
    <row r="20">
      <c r="A20" s="10">
        <v>75.0</v>
      </c>
      <c r="B20" s="10">
        <v>225.0</v>
      </c>
      <c r="C20" s="10">
        <v>3.0</v>
      </c>
      <c r="D20" s="10">
        <v>183.0</v>
      </c>
      <c r="E20" s="10" t="s">
        <v>16</v>
      </c>
      <c r="F20" s="10" t="s">
        <v>118</v>
      </c>
      <c r="G20" s="11">
        <v>2.1465277777777776</v>
      </c>
      <c r="H20" s="70">
        <v>0.21666666666666667</v>
      </c>
      <c r="I20" s="70">
        <v>0.3736111111111111</v>
      </c>
      <c r="J20" s="70">
        <v>0.24097222222222223</v>
      </c>
      <c r="K20" s="70">
        <v>0.14166666666666666</v>
      </c>
      <c r="L20" s="70">
        <v>0.18194444444444444</v>
      </c>
      <c r="M20" s="70">
        <v>0.06736111111111111</v>
      </c>
      <c r="N20" s="69" t="s">
        <v>353</v>
      </c>
    </row>
    <row r="21">
      <c r="A21" s="10">
        <v>75.0</v>
      </c>
      <c r="B21" s="10">
        <v>225.0</v>
      </c>
      <c r="C21" s="10">
        <v>3.0</v>
      </c>
      <c r="D21" s="10">
        <v>183.0</v>
      </c>
      <c r="E21" s="10" t="s">
        <v>16</v>
      </c>
      <c r="F21" s="10" t="s">
        <v>627</v>
      </c>
      <c r="G21" s="11">
        <v>2.1527777777777777</v>
      </c>
      <c r="H21" s="70">
        <v>0.21736111111111112</v>
      </c>
      <c r="I21" s="70">
        <v>0.375</v>
      </c>
      <c r="J21" s="70">
        <v>0.24097222222222223</v>
      </c>
      <c r="K21" s="70">
        <v>0.14166666666666666</v>
      </c>
      <c r="L21" s="70">
        <v>0.18333333333333332</v>
      </c>
      <c r="M21" s="70">
        <v>0.06805555555555555</v>
      </c>
      <c r="N21" s="69" t="s">
        <v>353</v>
      </c>
    </row>
    <row r="22">
      <c r="A22" s="10">
        <v>75.0</v>
      </c>
      <c r="B22" s="10">
        <v>225.0</v>
      </c>
      <c r="C22" s="10">
        <v>3.0</v>
      </c>
      <c r="D22" s="10">
        <v>183.0</v>
      </c>
      <c r="E22" s="10" t="s">
        <v>16</v>
      </c>
      <c r="F22" s="10" t="s">
        <v>139</v>
      </c>
      <c r="G22" s="11">
        <v>2.1527777777777777</v>
      </c>
      <c r="H22" s="70">
        <v>0.21666666666666667</v>
      </c>
      <c r="I22" s="70">
        <v>0.37430555555555556</v>
      </c>
      <c r="J22" s="70">
        <v>0.24166666666666667</v>
      </c>
      <c r="K22" s="70">
        <v>0.1423611111111111</v>
      </c>
      <c r="L22" s="70">
        <v>0.18263888888888888</v>
      </c>
      <c r="M22" s="70">
        <v>0.06805555555555555</v>
      </c>
      <c r="N22" s="69" t="s">
        <v>353</v>
      </c>
    </row>
    <row r="23">
      <c r="A23" s="10">
        <v>75.0</v>
      </c>
      <c r="B23" s="10">
        <v>225.0</v>
      </c>
      <c r="C23" s="10">
        <v>3.0</v>
      </c>
      <c r="D23" s="10">
        <v>183.0</v>
      </c>
      <c r="E23" s="10" t="s">
        <v>626</v>
      </c>
      <c r="F23" s="10" t="s">
        <v>351</v>
      </c>
      <c r="G23" s="11">
        <v>2.154861111111111</v>
      </c>
      <c r="H23" s="70">
        <v>0.21736111111111112</v>
      </c>
      <c r="I23" s="70">
        <v>0.375</v>
      </c>
      <c r="J23" s="70">
        <v>0.24097222222222223</v>
      </c>
      <c r="K23" s="70">
        <v>0.14097222222222222</v>
      </c>
      <c r="L23" s="70">
        <v>0.18333333333333332</v>
      </c>
      <c r="M23" s="70">
        <v>0.06875</v>
      </c>
      <c r="N23" s="69" t="s">
        <v>353</v>
      </c>
    </row>
    <row r="24">
      <c r="A24" s="10">
        <v>75.0</v>
      </c>
      <c r="B24" s="10">
        <v>225.0</v>
      </c>
      <c r="C24" s="10">
        <v>3.0</v>
      </c>
      <c r="D24" s="10">
        <v>183.0</v>
      </c>
      <c r="E24" s="10" t="s">
        <v>16</v>
      </c>
      <c r="F24" s="10" t="s">
        <v>628</v>
      </c>
      <c r="G24" s="11">
        <v>2.157638888888889</v>
      </c>
      <c r="H24" s="70">
        <v>0.21805555555555556</v>
      </c>
      <c r="I24" s="70">
        <v>0.37569444444444444</v>
      </c>
      <c r="J24" s="70">
        <v>0.24166666666666667</v>
      </c>
      <c r="K24" s="70">
        <v>0.14166666666666666</v>
      </c>
      <c r="L24" s="70">
        <v>0.18333333333333332</v>
      </c>
      <c r="M24" s="70">
        <v>0.06805555555555555</v>
      </c>
      <c r="N24" s="69" t="s">
        <v>353</v>
      </c>
    </row>
    <row r="25">
      <c r="A25" s="10">
        <v>75.0</v>
      </c>
      <c r="B25" s="10">
        <v>225.0</v>
      </c>
      <c r="C25" s="10">
        <v>3.0</v>
      </c>
      <c r="D25" s="10">
        <v>183.0</v>
      </c>
      <c r="E25" s="10" t="s">
        <v>225</v>
      </c>
      <c r="F25" s="10" t="s">
        <v>188</v>
      </c>
      <c r="G25" s="11">
        <v>2.1590277777777778</v>
      </c>
      <c r="H25" s="70">
        <v>0.21805555555555556</v>
      </c>
      <c r="I25" s="70">
        <v>0.3763888888888889</v>
      </c>
      <c r="J25" s="70">
        <v>0.24097222222222223</v>
      </c>
      <c r="K25" s="70">
        <v>0.14027777777777778</v>
      </c>
      <c r="L25" s="70">
        <v>0.18472222222222223</v>
      </c>
      <c r="M25" s="70">
        <v>0.06875</v>
      </c>
      <c r="N25" s="69" t="s">
        <v>353</v>
      </c>
    </row>
    <row r="26">
      <c r="A26" s="10">
        <v>75.0</v>
      </c>
      <c r="B26" s="10">
        <v>225.0</v>
      </c>
      <c r="C26" s="10">
        <v>3.0</v>
      </c>
      <c r="D26" s="10">
        <v>183.0</v>
      </c>
      <c r="E26" s="10" t="s">
        <v>16</v>
      </c>
      <c r="F26" s="10" t="s">
        <v>188</v>
      </c>
      <c r="G26" s="11">
        <v>2.1631944444444446</v>
      </c>
      <c r="H26" s="70">
        <v>0.21805555555555556</v>
      </c>
      <c r="I26" s="70">
        <v>0.3763888888888889</v>
      </c>
      <c r="J26" s="70">
        <v>0.2423611111111111</v>
      </c>
      <c r="K26" s="70">
        <v>0.14166666666666666</v>
      </c>
      <c r="L26" s="70">
        <v>0.1840277777777778</v>
      </c>
      <c r="M26" s="70">
        <v>0.06875</v>
      </c>
      <c r="N26" s="69" t="s">
        <v>353</v>
      </c>
    </row>
    <row r="27">
      <c r="A27" s="10">
        <v>75.0</v>
      </c>
      <c r="B27" s="10">
        <v>225.0</v>
      </c>
      <c r="C27" s="10">
        <v>3.0</v>
      </c>
      <c r="D27" s="10">
        <v>183.0</v>
      </c>
      <c r="E27" s="10" t="s">
        <v>16</v>
      </c>
      <c r="F27" s="10" t="s">
        <v>585</v>
      </c>
      <c r="G27" s="11">
        <v>2.1666666666666665</v>
      </c>
      <c r="H27" s="70">
        <v>0.21805555555555556</v>
      </c>
      <c r="I27" s="70">
        <v>0.3770833333333333</v>
      </c>
      <c r="J27" s="70">
        <v>0.2423611111111111</v>
      </c>
      <c r="K27" s="70">
        <v>0.14166666666666666</v>
      </c>
      <c r="L27" s="70">
        <v>0.18472222222222223</v>
      </c>
      <c r="M27" s="70">
        <v>0.06875</v>
      </c>
      <c r="N27" s="69" t="s">
        <v>353</v>
      </c>
    </row>
    <row r="28">
      <c r="A28" s="10">
        <v>75.0</v>
      </c>
      <c r="B28" s="10">
        <v>225.0</v>
      </c>
      <c r="C28" s="10">
        <v>3.0</v>
      </c>
      <c r="D28" s="10">
        <v>183.0</v>
      </c>
      <c r="E28" s="10" t="s">
        <v>552</v>
      </c>
      <c r="F28" s="10" t="s">
        <v>585</v>
      </c>
      <c r="G28" s="11">
        <v>2.1694444444444443</v>
      </c>
      <c r="H28" s="70">
        <v>0.21875</v>
      </c>
      <c r="I28" s="70">
        <v>0.3770833333333333</v>
      </c>
      <c r="J28" s="70">
        <v>0.24305555555555555</v>
      </c>
      <c r="K28" s="70">
        <v>0.1423611111111111</v>
      </c>
      <c r="L28" s="70">
        <v>0.1840277777777778</v>
      </c>
      <c r="M28" s="70">
        <v>0.06875</v>
      </c>
      <c r="N28" s="69" t="s">
        <v>353</v>
      </c>
    </row>
    <row r="29">
      <c r="A29" s="10">
        <v>75.0</v>
      </c>
      <c r="B29" s="10">
        <v>225.0</v>
      </c>
      <c r="C29" s="10">
        <f>B29/A29</f>
        <v>3</v>
      </c>
      <c r="D29" s="10">
        <v>183.0</v>
      </c>
      <c r="E29" s="10" t="s">
        <v>650</v>
      </c>
      <c r="F29" s="10" t="s">
        <v>651</v>
      </c>
      <c r="G29" s="11">
        <v>2.1694444444444443</v>
      </c>
      <c r="H29" s="70">
        <v>0.21875</v>
      </c>
      <c r="I29" s="70">
        <v>0.37777777777777777</v>
      </c>
      <c r="J29" s="70">
        <v>0.24375</v>
      </c>
      <c r="K29" s="70">
        <v>0.14305555555555555</v>
      </c>
      <c r="L29" s="70">
        <v>0.18472222222222223</v>
      </c>
      <c r="M29" s="70">
        <v>0.06805555555555555</v>
      </c>
      <c r="N29" s="69" t="str">
        <f>HYPERLINK("https://www.strava.com/activities/762747441","Strava")</f>
        <v>Strava</v>
      </c>
    </row>
    <row r="30">
      <c r="A30" s="10">
        <v>75.0</v>
      </c>
      <c r="B30" s="10">
        <v>225.0</v>
      </c>
      <c r="C30" s="10">
        <v>3.0</v>
      </c>
      <c r="D30" s="10">
        <v>183.0</v>
      </c>
      <c r="E30" s="10" t="s">
        <v>16</v>
      </c>
      <c r="F30" s="10" t="s">
        <v>551</v>
      </c>
      <c r="G30" s="11">
        <v>2.170138888888889</v>
      </c>
      <c r="H30" s="70">
        <v>0.21875</v>
      </c>
      <c r="I30" s="70">
        <v>0.37777777777777777</v>
      </c>
      <c r="J30" s="70">
        <v>0.24375</v>
      </c>
      <c r="K30" s="70">
        <v>0.1423611111111111</v>
      </c>
      <c r="L30" s="70">
        <v>0.18472222222222223</v>
      </c>
      <c r="M30" s="70">
        <v>0.06875</v>
      </c>
      <c r="N30" s="69" t="s">
        <v>353</v>
      </c>
    </row>
  </sheetData>
  <autoFilter ref="$A$1:$N$30"/>
  <customSheetViews>
    <customSheetView guid="{DBDE84F9-F6C7-4F52-A48E-BA40F4064F89}" filter="1" showAutoFilter="1">
      <autoFilter ref="$A$1:$N$30">
        <filterColumn colId="4">
          <filters>
            <filter val="Specialized Tarmac"/>
            <filter val="Zwift Carbon"/>
            <filter val="Buffalo Fahrrad"/>
            <filter val="Zwift Steel"/>
            <filter val="Trek Emonda"/>
          </filters>
        </filterColumn>
      </autoFilter>
    </customSheetView>
  </customSheetViews>
  <hyperlinks>
    <hyperlink r:id="rId1" ref="N2"/>
    <hyperlink r:id="rId2" ref="N3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30"/>
  </hyperlinks>
  <drawing r:id="rId2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7.63"/>
    <col customWidth="1" min="3" max="3" width="6.88"/>
    <col customWidth="1" min="4" max="4" width="8.38"/>
    <col customWidth="1" min="5" max="6" width="16.38"/>
    <col customWidth="1" min="7" max="7" width="10.25"/>
    <col customWidth="1" min="8" max="8" width="7.75"/>
    <col customWidth="1" min="9" max="9" width="7.13"/>
    <col customWidth="1" min="14" max="14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76" t="s">
        <v>539</v>
      </c>
      <c r="H1" s="76" t="s">
        <v>642</v>
      </c>
      <c r="I1" s="76" t="s">
        <v>643</v>
      </c>
      <c r="J1" s="76" t="s">
        <v>644</v>
      </c>
      <c r="K1" s="76" t="s">
        <v>645</v>
      </c>
      <c r="L1" s="76" t="s">
        <v>646</v>
      </c>
      <c r="M1" s="76" t="s">
        <v>647</v>
      </c>
      <c r="O1" s="1" t="s">
        <v>8</v>
      </c>
    </row>
    <row r="2">
      <c r="A2" s="10">
        <v>75.0</v>
      </c>
      <c r="B2" s="10">
        <v>225.0</v>
      </c>
      <c r="C2" s="10">
        <f t="shared" ref="C2:C8" si="1">B2/A2</f>
        <v>3</v>
      </c>
      <c r="D2" s="10">
        <v>183.0</v>
      </c>
      <c r="E2" s="10" t="s">
        <v>648</v>
      </c>
      <c r="F2" s="10" t="s">
        <v>351</v>
      </c>
      <c r="G2" s="11">
        <v>0.035381944444444445</v>
      </c>
      <c r="H2" s="11">
        <v>0.003564814814814815</v>
      </c>
      <c r="I2" s="11">
        <v>0.006145833333333333</v>
      </c>
      <c r="J2" s="11">
        <v>0.003969907407407407</v>
      </c>
      <c r="K2" s="11">
        <v>0.002337962962962963</v>
      </c>
      <c r="L2" s="11">
        <v>0.0029976851851851853</v>
      </c>
      <c r="M2" s="11">
        <v>0.0011111111111111111</v>
      </c>
      <c r="N2" s="37" t="str">
        <f>HYPERLINK("https://www.strava.com/activities/1258033831","Strava")</f>
        <v>Strava</v>
      </c>
    </row>
    <row r="3">
      <c r="A3" s="10">
        <v>75.0</v>
      </c>
      <c r="B3" s="10">
        <v>225.0</v>
      </c>
      <c r="C3" s="10">
        <f t="shared" si="1"/>
        <v>3</v>
      </c>
      <c r="D3" s="10">
        <v>183.0</v>
      </c>
      <c r="E3" s="70" t="s">
        <v>58</v>
      </c>
      <c r="F3" s="70" t="s">
        <v>91</v>
      </c>
      <c r="G3" s="11">
        <v>0.03550925925925926</v>
      </c>
      <c r="H3" s="11">
        <v>0.003564814814814815</v>
      </c>
      <c r="I3" s="11">
        <v>0.006168981481481482</v>
      </c>
      <c r="J3" s="11">
        <v>0.003981481481481482</v>
      </c>
      <c r="K3" s="11">
        <v>0.002349537037037037</v>
      </c>
      <c r="L3" s="11">
        <v>0.0030092592592592593</v>
      </c>
      <c r="M3" s="11">
        <v>0.0011226851851851851</v>
      </c>
      <c r="N3" s="77" t="str">
        <f>HYPERLINK("https://www.strava.com/activities/1258158340","Strava")</f>
        <v>Strava</v>
      </c>
    </row>
    <row r="4">
      <c r="A4" s="10">
        <v>75.0</v>
      </c>
      <c r="B4" s="10">
        <v>225.0</v>
      </c>
      <c r="C4" s="10">
        <f t="shared" si="1"/>
        <v>3</v>
      </c>
      <c r="D4" s="10">
        <v>183.0</v>
      </c>
      <c r="E4" s="10" t="s">
        <v>63</v>
      </c>
      <c r="F4" s="70" t="s">
        <v>91</v>
      </c>
      <c r="G4" s="11">
        <v>0.035486111111111114</v>
      </c>
      <c r="H4" s="11">
        <v>0.003576388888888889</v>
      </c>
      <c r="I4" s="11">
        <v>0.0061574074074074074</v>
      </c>
      <c r="J4" s="11">
        <v>0.003981481481481482</v>
      </c>
      <c r="K4" s="11">
        <v>0.002349537037037037</v>
      </c>
      <c r="L4" s="11">
        <v>0.0030092592592592593</v>
      </c>
      <c r="M4" s="11">
        <v>0.0011111111111111111</v>
      </c>
      <c r="N4" s="78" t="str">
        <f>HYPERLINK("https://www.strava.com/activities/1258281056","Strava")</f>
        <v>Strava</v>
      </c>
      <c r="O4" s="79" t="s">
        <v>652</v>
      </c>
    </row>
    <row r="5">
      <c r="A5" s="10">
        <v>75.0</v>
      </c>
      <c r="B5" s="10">
        <v>225.0</v>
      </c>
      <c r="C5" s="10">
        <f t="shared" si="1"/>
        <v>3</v>
      </c>
      <c r="D5" s="10">
        <v>183.0</v>
      </c>
      <c r="E5" s="10" t="s">
        <v>75</v>
      </c>
      <c r="F5" s="70" t="s">
        <v>91</v>
      </c>
      <c r="G5" s="11">
        <v>0.035555555555555556</v>
      </c>
      <c r="H5" s="11">
        <v>0.003576388888888889</v>
      </c>
      <c r="I5" s="11">
        <v>0.006168981481481482</v>
      </c>
      <c r="J5" s="11">
        <v>0.003993055555555555</v>
      </c>
      <c r="K5" s="11">
        <v>0.002361111111111111</v>
      </c>
      <c r="L5" s="11">
        <v>0.0030092592592592593</v>
      </c>
      <c r="M5" s="11">
        <v>0.0011111111111111111</v>
      </c>
      <c r="N5" s="78" t="str">
        <f>HYPERLINK("https://www.strava.com/activities/1261515248","Strava")</f>
        <v>Strava</v>
      </c>
    </row>
    <row r="6">
      <c r="A6" s="10">
        <v>75.0</v>
      </c>
      <c r="B6" s="10">
        <v>225.0</v>
      </c>
      <c r="C6" s="10">
        <f t="shared" si="1"/>
        <v>3</v>
      </c>
      <c r="D6" s="10">
        <v>183.0</v>
      </c>
      <c r="E6" s="10" t="s">
        <v>19</v>
      </c>
      <c r="F6" s="70" t="s">
        <v>91</v>
      </c>
      <c r="G6" s="11">
        <v>0.03560185185185185</v>
      </c>
      <c r="H6" s="11">
        <v>0.003576388888888889</v>
      </c>
      <c r="I6" s="11">
        <v>0.0061805555555555555</v>
      </c>
      <c r="J6" s="11">
        <v>0.003993055555555555</v>
      </c>
      <c r="K6" s="11">
        <v>0.002361111111111111</v>
      </c>
      <c r="L6" s="11">
        <v>0.0030208333333333333</v>
      </c>
      <c r="M6" s="11">
        <v>0.0011226851851851851</v>
      </c>
      <c r="N6" s="78" t="str">
        <f>HYPERLINK("https://www.strava.com/activities/1261555818","Strava")</f>
        <v>Strava</v>
      </c>
    </row>
    <row r="7">
      <c r="A7" s="10">
        <v>75.0</v>
      </c>
      <c r="B7" s="10">
        <v>225.0</v>
      </c>
      <c r="C7" s="10">
        <f t="shared" si="1"/>
        <v>3</v>
      </c>
      <c r="D7" s="10">
        <v>183.0</v>
      </c>
      <c r="E7" s="10" t="s">
        <v>19</v>
      </c>
      <c r="F7" s="10" t="s">
        <v>118</v>
      </c>
      <c r="G7" s="11">
        <v>0.03568287037037037</v>
      </c>
      <c r="H7" s="11">
        <v>0.003587962962962963</v>
      </c>
      <c r="I7" s="11">
        <v>0.0062037037037037035</v>
      </c>
      <c r="J7" s="11">
        <v>0.00400462962962963</v>
      </c>
      <c r="K7" s="11">
        <v>0.002361111111111111</v>
      </c>
      <c r="L7" s="11">
        <v>0.0030208333333333333</v>
      </c>
      <c r="M7" s="11">
        <v>0.0011226851851851851</v>
      </c>
      <c r="N7" s="78" t="str">
        <f>HYPERLINK("https://www.strava.com/activities/1261590500","Strava")</f>
        <v>Strava</v>
      </c>
    </row>
    <row r="8">
      <c r="A8" s="10">
        <v>75.0</v>
      </c>
      <c r="B8" s="10">
        <v>225.0</v>
      </c>
      <c r="C8" s="10">
        <f t="shared" si="1"/>
        <v>3</v>
      </c>
      <c r="D8" s="10">
        <v>183.0</v>
      </c>
      <c r="E8" s="10" t="s">
        <v>625</v>
      </c>
      <c r="F8" s="10" t="s">
        <v>91</v>
      </c>
      <c r="G8" s="11">
        <v>0.03563657407407408</v>
      </c>
      <c r="H8" s="11">
        <v>0.003587962962962963</v>
      </c>
      <c r="I8" s="11">
        <v>0.00619212962962963</v>
      </c>
      <c r="J8" s="11">
        <v>0.003993055555555555</v>
      </c>
      <c r="K8" s="11">
        <v>0.002349537037037037</v>
      </c>
      <c r="L8" s="11">
        <v>0.0030208333333333333</v>
      </c>
      <c r="M8" s="11">
        <v>0.0011111111111111111</v>
      </c>
      <c r="N8" s="78" t="str">
        <f>HYPERLINK("https://www.strava.com/activities/1261621399","Strava")</f>
        <v>Strava</v>
      </c>
    </row>
    <row r="9">
      <c r="A9" s="10">
        <v>75.0</v>
      </c>
      <c r="B9" s="10">
        <v>225.0</v>
      </c>
      <c r="C9" s="10">
        <v>3.0</v>
      </c>
      <c r="D9" s="10">
        <v>183.0</v>
      </c>
      <c r="E9" s="10" t="s">
        <v>58</v>
      </c>
      <c r="F9" s="10" t="s">
        <v>653</v>
      </c>
      <c r="G9" s="11">
        <v>0.03574074074074074</v>
      </c>
      <c r="H9" s="11">
        <v>0.003611111111111111</v>
      </c>
      <c r="I9" s="11">
        <v>0.006238425925925926</v>
      </c>
      <c r="J9" s="11">
        <v>0.003993055555555555</v>
      </c>
      <c r="K9" s="11">
        <v>0.002349537037037037</v>
      </c>
      <c r="L9" s="11">
        <v>0.0030439814814814813</v>
      </c>
      <c r="M9" s="11">
        <v>0.0011342592592592593</v>
      </c>
      <c r="N9" s="78" t="str">
        <f>HYPERLINK("https://www.strava.com/activities/1482102089","Strava")</f>
        <v>Strava</v>
      </c>
    </row>
    <row r="10">
      <c r="A10" s="10">
        <v>75.0</v>
      </c>
      <c r="B10" s="10">
        <v>225.0</v>
      </c>
      <c r="C10" s="10">
        <f t="shared" ref="C10:C14" si="2">B10/A10</f>
        <v>3</v>
      </c>
      <c r="D10" s="10">
        <v>183.0</v>
      </c>
      <c r="E10" s="10" t="s">
        <v>58</v>
      </c>
      <c r="F10" s="10" t="s">
        <v>654</v>
      </c>
      <c r="G10" s="11">
        <v>0.0353587962962963</v>
      </c>
      <c r="H10" s="11">
        <v>0.003564814814814815</v>
      </c>
      <c r="I10" s="11">
        <v>0.006145833333333333</v>
      </c>
      <c r="J10" s="11">
        <v>0.003981481481481482</v>
      </c>
      <c r="K10" s="11">
        <v>0.002349537037037037</v>
      </c>
      <c r="L10" s="11">
        <v>0.0029976851851851853</v>
      </c>
      <c r="M10" s="11">
        <v>0.0011111111111111111</v>
      </c>
      <c r="N10" s="78" t="str">
        <f>HYPERLINK("https://www.strava.com/activities/1489245459","Strava")</f>
        <v>Strava</v>
      </c>
    </row>
    <row r="11">
      <c r="A11" s="10">
        <v>75.0</v>
      </c>
      <c r="B11" s="10">
        <v>300.0</v>
      </c>
      <c r="C11" s="10">
        <f t="shared" si="2"/>
        <v>4</v>
      </c>
      <c r="D11" s="10">
        <v>183.0</v>
      </c>
      <c r="E11" s="10" t="s">
        <v>58</v>
      </c>
      <c r="F11" s="10" t="s">
        <v>654</v>
      </c>
      <c r="G11" s="11">
        <v>0.03125</v>
      </c>
      <c r="H11" s="11">
        <v>0.0031944444444444446</v>
      </c>
      <c r="I11" s="11">
        <v>0.005543981481481481</v>
      </c>
      <c r="J11" s="11">
        <v>0.0032523148148148147</v>
      </c>
      <c r="K11" s="11">
        <v>0.0018287037037037037</v>
      </c>
      <c r="L11" s="11">
        <v>0.0027546296296296294</v>
      </c>
      <c r="M11" s="11">
        <v>0.0010416666666666667</v>
      </c>
      <c r="N11" s="78" t="str">
        <f t="shared" ref="N11:N12" si="3">HYPERLINK("https://www.strava.com/activities/1489151285","Strava")</f>
        <v>Strava</v>
      </c>
    </row>
    <row r="12">
      <c r="A12" s="10">
        <v>75.0</v>
      </c>
      <c r="B12" s="10">
        <v>375.0</v>
      </c>
      <c r="C12" s="10">
        <f t="shared" si="2"/>
        <v>5</v>
      </c>
      <c r="D12" s="10">
        <v>183.0</v>
      </c>
      <c r="E12" s="10" t="s">
        <v>58</v>
      </c>
      <c r="F12" s="10" t="s">
        <v>654</v>
      </c>
      <c r="G12" s="11">
        <v>0.02851851851851852</v>
      </c>
      <c r="H12" s="11">
        <v>0.002939814814814815</v>
      </c>
      <c r="I12" s="11">
        <v>0.005127314814814815</v>
      </c>
      <c r="J12" s="11">
        <v>0.0029861111111111113</v>
      </c>
      <c r="K12" s="11">
        <v>0.0015393518518518519</v>
      </c>
      <c r="L12" s="11">
        <v>0.0025810185185185185</v>
      </c>
      <c r="M12" s="11">
        <v>0.0010069444444444444</v>
      </c>
      <c r="N12" s="78" t="str">
        <f t="shared" si="3"/>
        <v>Strava</v>
      </c>
    </row>
    <row r="13">
      <c r="A13" s="10">
        <v>75.0</v>
      </c>
      <c r="B13" s="10">
        <v>300.0</v>
      </c>
      <c r="C13" s="10">
        <f t="shared" si="2"/>
        <v>4</v>
      </c>
      <c r="D13" s="10">
        <v>183.0</v>
      </c>
      <c r="E13" s="10" t="s">
        <v>648</v>
      </c>
      <c r="F13" s="10" t="s">
        <v>351</v>
      </c>
      <c r="G13" s="11">
        <v>0.031226851851851853</v>
      </c>
      <c r="H13" s="11">
        <v>0.0031944444444444446</v>
      </c>
      <c r="I13" s="11">
        <v>0.005543981481481481</v>
      </c>
      <c r="J13" s="11">
        <v>0.0032523148148148147</v>
      </c>
      <c r="K13" s="11">
        <v>0.0018287037037037037</v>
      </c>
      <c r="L13" s="11">
        <v>0.0027546296296296294</v>
      </c>
      <c r="M13" s="11">
        <v>0.0010532407407407407</v>
      </c>
      <c r="N13" s="78" t="str">
        <f>HYPERLINK("https://www.strava.com/activities/1490849804","Strava")</f>
        <v>Strava</v>
      </c>
    </row>
    <row r="14">
      <c r="A14" s="10">
        <v>75.0</v>
      </c>
      <c r="B14" s="10">
        <v>375.0</v>
      </c>
      <c r="C14" s="10">
        <f t="shared" si="2"/>
        <v>5</v>
      </c>
      <c r="D14" s="10">
        <v>183.0</v>
      </c>
      <c r="E14" s="10" t="s">
        <v>648</v>
      </c>
      <c r="F14" s="10" t="s">
        <v>351</v>
      </c>
      <c r="G14" s="11">
        <v>0.02851851851851852</v>
      </c>
      <c r="H14" s="11">
        <v>0.002951388888888889</v>
      </c>
      <c r="I14" s="11"/>
      <c r="J14" s="11"/>
      <c r="K14" s="11"/>
      <c r="L14" s="11"/>
      <c r="M14" s="11"/>
    </row>
    <row r="15">
      <c r="F15" s="10"/>
      <c r="G15" s="11"/>
      <c r="H15" s="11"/>
      <c r="I15" s="11"/>
      <c r="J15" s="11"/>
      <c r="K15" s="11"/>
      <c r="L15" s="11"/>
      <c r="M15" s="11"/>
    </row>
    <row r="16">
      <c r="F16" s="13"/>
      <c r="G16" s="11"/>
      <c r="H16" s="11"/>
      <c r="I16" s="11"/>
      <c r="J16" s="11"/>
      <c r="K16" s="11"/>
      <c r="L16" s="11"/>
      <c r="M16" s="11"/>
    </row>
    <row r="17">
      <c r="G17" s="11"/>
      <c r="H17" s="11"/>
      <c r="I17" s="11"/>
      <c r="J17" s="11"/>
      <c r="K17" s="11"/>
      <c r="L17" s="11"/>
      <c r="M17" s="11"/>
    </row>
    <row r="18">
      <c r="G18" s="11"/>
      <c r="H18" s="11"/>
      <c r="I18" s="11"/>
      <c r="J18" s="11"/>
      <c r="K18" s="11"/>
      <c r="L18" s="11"/>
      <c r="M18" s="11"/>
    </row>
    <row r="19">
      <c r="G19" s="11"/>
      <c r="H19" s="11"/>
      <c r="I19" s="11"/>
      <c r="J19" s="11"/>
      <c r="K19" s="11"/>
      <c r="L19" s="11"/>
      <c r="M19" s="11"/>
    </row>
    <row r="20">
      <c r="G20" s="11"/>
      <c r="H20" s="11"/>
      <c r="I20" s="11"/>
      <c r="J20" s="11"/>
      <c r="K20" s="11"/>
      <c r="L20" s="11"/>
      <c r="M20" s="11"/>
    </row>
    <row r="21">
      <c r="G21" s="11"/>
      <c r="H21" s="11"/>
      <c r="I21" s="11"/>
      <c r="J21" s="11"/>
      <c r="K21" s="11"/>
      <c r="L21" s="11"/>
      <c r="M21" s="11"/>
    </row>
    <row r="22">
      <c r="G22" s="11"/>
      <c r="H22" s="11"/>
      <c r="I22" s="11"/>
      <c r="J22" s="11"/>
      <c r="K22" s="11"/>
      <c r="L22" s="11"/>
      <c r="M22" s="11"/>
    </row>
    <row r="23">
      <c r="G23" s="11"/>
      <c r="H23" s="11"/>
      <c r="I23" s="11"/>
      <c r="J23" s="11"/>
      <c r="K23" s="11"/>
      <c r="L23" s="11"/>
      <c r="M23" s="11"/>
    </row>
    <row r="24">
      <c r="G24" s="11"/>
      <c r="H24" s="11"/>
      <c r="I24" s="11"/>
      <c r="J24" s="11"/>
      <c r="K24" s="11"/>
      <c r="L24" s="11"/>
      <c r="M24" s="11"/>
    </row>
    <row r="25">
      <c r="G25" s="11"/>
      <c r="H25" s="11"/>
      <c r="I25" s="11"/>
      <c r="J25" s="11"/>
      <c r="K25" s="11"/>
      <c r="L25" s="11"/>
      <c r="M25" s="11"/>
    </row>
    <row r="26">
      <c r="G26" s="11"/>
      <c r="H26" s="11"/>
      <c r="I26" s="11"/>
      <c r="J26" s="11"/>
      <c r="K26" s="11"/>
      <c r="L26" s="11"/>
      <c r="M26" s="11"/>
    </row>
    <row r="27">
      <c r="G27" s="11"/>
      <c r="H27" s="11"/>
      <c r="I27" s="11"/>
      <c r="J27" s="11"/>
      <c r="K27" s="11"/>
      <c r="L27" s="11"/>
      <c r="M27" s="11"/>
    </row>
    <row r="28">
      <c r="G28" s="11"/>
      <c r="H28" s="11"/>
      <c r="I28" s="11"/>
      <c r="J28" s="11"/>
      <c r="K28" s="11"/>
      <c r="L28" s="11"/>
      <c r="M28" s="11"/>
    </row>
    <row r="29">
      <c r="G29" s="11"/>
      <c r="H29" s="11"/>
      <c r="I29" s="11"/>
      <c r="J29" s="11"/>
      <c r="K29" s="11"/>
      <c r="L29" s="11"/>
      <c r="M29" s="11"/>
    </row>
    <row r="30">
      <c r="G30" s="11"/>
      <c r="H30" s="11"/>
      <c r="I30" s="11"/>
      <c r="J30" s="11"/>
      <c r="K30" s="11"/>
      <c r="L30" s="11"/>
      <c r="M30" s="11"/>
    </row>
    <row r="31">
      <c r="G31" s="11"/>
      <c r="H31" s="11"/>
      <c r="I31" s="11"/>
      <c r="J31" s="11"/>
      <c r="K31" s="11"/>
      <c r="L31" s="11"/>
      <c r="M31" s="11"/>
    </row>
    <row r="32">
      <c r="G32" s="80"/>
      <c r="H32" s="80"/>
      <c r="I32" s="80"/>
      <c r="J32" s="80"/>
      <c r="K32" s="80"/>
      <c r="L32" s="80"/>
      <c r="M32" s="80"/>
    </row>
    <row r="33">
      <c r="G33" s="80"/>
      <c r="H33" s="80"/>
      <c r="I33" s="80"/>
      <c r="J33" s="80"/>
      <c r="K33" s="80"/>
      <c r="L33" s="80"/>
      <c r="M33" s="80"/>
    </row>
    <row r="34">
      <c r="G34" s="80"/>
      <c r="H34" s="80"/>
      <c r="I34" s="80"/>
      <c r="J34" s="80"/>
      <c r="K34" s="80"/>
      <c r="L34" s="80"/>
      <c r="M34" s="80"/>
    </row>
    <row r="35">
      <c r="G35" s="80"/>
      <c r="H35" s="80"/>
      <c r="I35" s="80"/>
      <c r="J35" s="80"/>
      <c r="K35" s="80"/>
      <c r="L35" s="80"/>
      <c r="M35" s="80"/>
    </row>
    <row r="36">
      <c r="G36" s="80"/>
      <c r="H36" s="80"/>
      <c r="I36" s="80"/>
      <c r="J36" s="80"/>
      <c r="K36" s="80"/>
      <c r="L36" s="80"/>
      <c r="M36" s="80"/>
    </row>
    <row r="37">
      <c r="G37" s="80"/>
      <c r="H37" s="80"/>
      <c r="I37" s="80"/>
      <c r="J37" s="80"/>
      <c r="K37" s="80"/>
      <c r="L37" s="80"/>
      <c r="M37" s="80"/>
    </row>
    <row r="38">
      <c r="G38" s="80"/>
      <c r="H38" s="80"/>
      <c r="I38" s="80"/>
      <c r="J38" s="80"/>
      <c r="K38" s="80"/>
      <c r="L38" s="80"/>
      <c r="M38" s="80"/>
    </row>
    <row r="39">
      <c r="G39" s="80"/>
      <c r="H39" s="80"/>
      <c r="I39" s="80"/>
      <c r="J39" s="80"/>
      <c r="K39" s="80"/>
      <c r="L39" s="80"/>
      <c r="M39" s="80"/>
    </row>
    <row r="40">
      <c r="G40" s="80"/>
      <c r="H40" s="80"/>
      <c r="I40" s="80"/>
      <c r="J40" s="80"/>
      <c r="K40" s="80"/>
      <c r="L40" s="80"/>
      <c r="M40" s="80"/>
    </row>
    <row r="41">
      <c r="G41" s="80"/>
      <c r="H41" s="80"/>
      <c r="I41" s="80"/>
      <c r="J41" s="80"/>
      <c r="K41" s="80"/>
      <c r="L41" s="80"/>
      <c r="M41" s="80"/>
    </row>
    <row r="42">
      <c r="G42" s="80"/>
      <c r="H42" s="80"/>
      <c r="I42" s="80"/>
      <c r="J42" s="80"/>
      <c r="K42" s="80"/>
      <c r="L42" s="80"/>
      <c r="M42" s="80"/>
    </row>
    <row r="43">
      <c r="G43" s="80"/>
      <c r="H43" s="80"/>
      <c r="I43" s="80"/>
      <c r="J43" s="80"/>
      <c r="K43" s="80"/>
      <c r="L43" s="80"/>
      <c r="M43" s="80"/>
    </row>
    <row r="44">
      <c r="G44" s="80"/>
      <c r="H44" s="80"/>
      <c r="I44" s="80"/>
      <c r="J44" s="80"/>
      <c r="K44" s="80"/>
      <c r="L44" s="80"/>
      <c r="M44" s="80"/>
    </row>
    <row r="45">
      <c r="G45" s="80"/>
      <c r="H45" s="80"/>
      <c r="I45" s="80"/>
      <c r="J45" s="80"/>
      <c r="K45" s="80"/>
      <c r="L45" s="80"/>
      <c r="M45" s="80"/>
    </row>
    <row r="46">
      <c r="G46" s="80"/>
      <c r="H46" s="80"/>
      <c r="I46" s="80"/>
      <c r="J46" s="80"/>
      <c r="K46" s="80"/>
      <c r="L46" s="80"/>
      <c r="M46" s="80"/>
    </row>
    <row r="47">
      <c r="G47" s="80"/>
      <c r="H47" s="80"/>
      <c r="I47" s="80"/>
      <c r="J47" s="80"/>
      <c r="K47" s="80"/>
      <c r="L47" s="80"/>
      <c r="M47" s="80"/>
    </row>
    <row r="48">
      <c r="G48" s="80"/>
      <c r="H48" s="80"/>
      <c r="I48" s="80"/>
      <c r="J48" s="80"/>
      <c r="K48" s="80"/>
      <c r="L48" s="80"/>
      <c r="M48" s="80"/>
    </row>
    <row r="49">
      <c r="G49" s="80"/>
      <c r="H49" s="80"/>
      <c r="I49" s="80"/>
      <c r="J49" s="80"/>
      <c r="K49" s="80"/>
      <c r="L49" s="80"/>
      <c r="M49" s="80"/>
    </row>
    <row r="50">
      <c r="G50" s="80"/>
      <c r="H50" s="80"/>
      <c r="I50" s="80"/>
      <c r="J50" s="80"/>
      <c r="K50" s="80"/>
      <c r="L50" s="80"/>
      <c r="M50" s="80"/>
    </row>
    <row r="51">
      <c r="G51" s="80"/>
      <c r="H51" s="80"/>
      <c r="I51" s="80"/>
      <c r="J51" s="80"/>
      <c r="K51" s="80"/>
      <c r="L51" s="80"/>
      <c r="M51" s="80"/>
    </row>
    <row r="52">
      <c r="G52" s="80"/>
      <c r="H52" s="80"/>
      <c r="I52" s="80"/>
      <c r="J52" s="80"/>
      <c r="K52" s="80"/>
      <c r="L52" s="80"/>
      <c r="M52" s="80"/>
    </row>
    <row r="53">
      <c r="G53" s="80"/>
      <c r="H53" s="80"/>
      <c r="I53" s="80"/>
      <c r="J53" s="80"/>
      <c r="K53" s="80"/>
      <c r="L53" s="80"/>
      <c r="M53" s="80"/>
    </row>
    <row r="54">
      <c r="G54" s="80"/>
      <c r="H54" s="80"/>
      <c r="I54" s="80"/>
      <c r="J54" s="80"/>
      <c r="K54" s="80"/>
      <c r="L54" s="80"/>
      <c r="M54" s="80"/>
    </row>
    <row r="55">
      <c r="G55" s="80"/>
      <c r="H55" s="80"/>
      <c r="I55" s="80"/>
      <c r="J55" s="80"/>
      <c r="K55" s="80"/>
      <c r="L55" s="80"/>
      <c r="M55" s="80"/>
    </row>
    <row r="56">
      <c r="G56" s="80"/>
      <c r="H56" s="80"/>
      <c r="I56" s="80"/>
      <c r="J56" s="80"/>
      <c r="K56" s="80"/>
      <c r="L56" s="80"/>
      <c r="M56" s="80"/>
    </row>
    <row r="57">
      <c r="G57" s="80"/>
      <c r="H57" s="80"/>
      <c r="I57" s="80"/>
      <c r="J57" s="80"/>
      <c r="K57" s="80"/>
      <c r="L57" s="80"/>
      <c r="M57" s="80"/>
    </row>
    <row r="58">
      <c r="G58" s="80"/>
      <c r="H58" s="80"/>
      <c r="I58" s="80"/>
      <c r="J58" s="80"/>
      <c r="K58" s="80"/>
      <c r="L58" s="80"/>
      <c r="M58" s="80"/>
    </row>
    <row r="59">
      <c r="G59" s="80"/>
      <c r="H59" s="80"/>
      <c r="I59" s="80"/>
      <c r="J59" s="80"/>
      <c r="K59" s="80"/>
      <c r="L59" s="80"/>
      <c r="M59" s="80"/>
    </row>
    <row r="60">
      <c r="G60" s="80"/>
      <c r="H60" s="80"/>
      <c r="I60" s="80"/>
      <c r="J60" s="80"/>
      <c r="K60" s="80"/>
      <c r="L60" s="80"/>
      <c r="M60" s="80"/>
    </row>
    <row r="61">
      <c r="G61" s="80"/>
      <c r="H61" s="80"/>
      <c r="I61" s="80"/>
      <c r="J61" s="80"/>
      <c r="K61" s="80"/>
      <c r="L61" s="80"/>
      <c r="M61" s="80"/>
    </row>
    <row r="62">
      <c r="G62" s="80"/>
      <c r="H62" s="80"/>
      <c r="I62" s="80"/>
      <c r="J62" s="80"/>
      <c r="K62" s="80"/>
      <c r="L62" s="80"/>
      <c r="M62" s="80"/>
    </row>
    <row r="63">
      <c r="G63" s="80"/>
      <c r="H63" s="80"/>
      <c r="I63" s="80"/>
      <c r="J63" s="80"/>
      <c r="K63" s="80"/>
      <c r="L63" s="80"/>
      <c r="M63" s="80"/>
    </row>
    <row r="64">
      <c r="G64" s="80"/>
      <c r="H64" s="80"/>
      <c r="I64" s="80"/>
      <c r="J64" s="80"/>
      <c r="K64" s="80"/>
      <c r="L64" s="80"/>
      <c r="M64" s="80"/>
    </row>
    <row r="65">
      <c r="G65" s="80"/>
      <c r="H65" s="80"/>
      <c r="I65" s="80"/>
      <c r="J65" s="80"/>
      <c r="K65" s="80"/>
      <c r="L65" s="80"/>
      <c r="M65" s="80"/>
    </row>
    <row r="66">
      <c r="G66" s="80"/>
      <c r="H66" s="80"/>
      <c r="I66" s="80"/>
      <c r="J66" s="80"/>
      <c r="K66" s="80"/>
      <c r="L66" s="80"/>
      <c r="M66" s="80"/>
    </row>
    <row r="67">
      <c r="G67" s="80"/>
      <c r="H67" s="80"/>
      <c r="I67" s="80"/>
      <c r="J67" s="80"/>
      <c r="K67" s="80"/>
      <c r="L67" s="80"/>
      <c r="M67" s="80"/>
    </row>
    <row r="68">
      <c r="G68" s="80"/>
      <c r="H68" s="80"/>
      <c r="I68" s="80"/>
      <c r="J68" s="80"/>
      <c r="K68" s="80"/>
      <c r="L68" s="80"/>
      <c r="M68" s="80"/>
    </row>
    <row r="69">
      <c r="G69" s="80"/>
      <c r="H69" s="80"/>
      <c r="I69" s="80"/>
      <c r="J69" s="80"/>
      <c r="K69" s="80"/>
      <c r="L69" s="80"/>
      <c r="M69" s="80"/>
    </row>
    <row r="70">
      <c r="G70" s="80"/>
      <c r="H70" s="80"/>
      <c r="I70" s="80"/>
      <c r="J70" s="80"/>
      <c r="K70" s="80"/>
      <c r="L70" s="80"/>
      <c r="M70" s="80"/>
    </row>
    <row r="71">
      <c r="G71" s="80"/>
      <c r="H71" s="80"/>
      <c r="I71" s="80"/>
      <c r="J71" s="80"/>
      <c r="K71" s="80"/>
      <c r="L71" s="80"/>
      <c r="M71" s="80"/>
    </row>
    <row r="72">
      <c r="G72" s="80"/>
      <c r="H72" s="80"/>
      <c r="I72" s="80"/>
      <c r="J72" s="80"/>
      <c r="K72" s="80"/>
      <c r="L72" s="80"/>
      <c r="M72" s="80"/>
    </row>
    <row r="73">
      <c r="G73" s="80"/>
      <c r="H73" s="80"/>
      <c r="I73" s="80"/>
      <c r="J73" s="80"/>
      <c r="K73" s="80"/>
      <c r="L73" s="80"/>
      <c r="M73" s="80"/>
    </row>
    <row r="74">
      <c r="G74" s="80"/>
      <c r="H74" s="80"/>
      <c r="I74" s="80"/>
      <c r="J74" s="80"/>
      <c r="K74" s="80"/>
      <c r="L74" s="80"/>
      <c r="M74" s="80"/>
    </row>
    <row r="75">
      <c r="G75" s="80"/>
      <c r="H75" s="80"/>
      <c r="I75" s="80"/>
      <c r="J75" s="80"/>
      <c r="K75" s="80"/>
      <c r="L75" s="80"/>
      <c r="M75" s="80"/>
    </row>
    <row r="76">
      <c r="G76" s="80"/>
      <c r="H76" s="80"/>
      <c r="I76" s="80"/>
      <c r="J76" s="80"/>
      <c r="K76" s="80"/>
      <c r="L76" s="80"/>
      <c r="M76" s="80"/>
    </row>
    <row r="77">
      <c r="G77" s="80"/>
      <c r="H77" s="80"/>
      <c r="I77" s="80"/>
      <c r="J77" s="80"/>
      <c r="K77" s="80"/>
      <c r="L77" s="80"/>
      <c r="M77" s="80"/>
    </row>
    <row r="78">
      <c r="G78" s="80"/>
      <c r="H78" s="80"/>
      <c r="I78" s="80"/>
      <c r="J78" s="80"/>
      <c r="K78" s="80"/>
      <c r="L78" s="80"/>
      <c r="M78" s="80"/>
    </row>
    <row r="79">
      <c r="G79" s="80"/>
      <c r="H79" s="80"/>
      <c r="I79" s="80"/>
      <c r="J79" s="80"/>
      <c r="K79" s="80"/>
      <c r="L79" s="80"/>
      <c r="M79" s="80"/>
    </row>
    <row r="80">
      <c r="G80" s="80"/>
      <c r="H80" s="80"/>
      <c r="I80" s="80"/>
      <c r="J80" s="80"/>
      <c r="K80" s="80"/>
      <c r="L80" s="80"/>
      <c r="M80" s="80"/>
    </row>
    <row r="81">
      <c r="G81" s="80"/>
      <c r="H81" s="80"/>
      <c r="I81" s="80"/>
      <c r="J81" s="80"/>
      <c r="K81" s="80"/>
      <c r="L81" s="80"/>
      <c r="M81" s="80"/>
    </row>
    <row r="82">
      <c r="G82" s="80"/>
      <c r="H82" s="80"/>
      <c r="I82" s="80"/>
      <c r="J82" s="80"/>
      <c r="K82" s="80"/>
      <c r="L82" s="80"/>
      <c r="M82" s="80"/>
    </row>
    <row r="83">
      <c r="G83" s="80"/>
      <c r="H83" s="80"/>
      <c r="I83" s="80"/>
      <c r="J83" s="80"/>
      <c r="K83" s="80"/>
      <c r="L83" s="80"/>
      <c r="M83" s="80"/>
    </row>
    <row r="84">
      <c r="G84" s="80"/>
      <c r="H84" s="80"/>
      <c r="I84" s="80"/>
      <c r="J84" s="80"/>
      <c r="K84" s="80"/>
      <c r="L84" s="80"/>
      <c r="M84" s="80"/>
    </row>
    <row r="85">
      <c r="G85" s="80"/>
      <c r="H85" s="80"/>
      <c r="I85" s="80"/>
      <c r="J85" s="80"/>
      <c r="K85" s="80"/>
      <c r="L85" s="80"/>
      <c r="M85" s="80"/>
    </row>
    <row r="86">
      <c r="G86" s="80"/>
      <c r="H86" s="80"/>
      <c r="I86" s="80"/>
      <c r="J86" s="80"/>
      <c r="K86" s="80"/>
      <c r="L86" s="80"/>
      <c r="M86" s="80"/>
    </row>
    <row r="87">
      <c r="G87" s="80"/>
      <c r="H87" s="80"/>
      <c r="I87" s="80"/>
      <c r="J87" s="80"/>
      <c r="K87" s="80"/>
      <c r="L87" s="80"/>
      <c r="M87" s="80"/>
    </row>
    <row r="88">
      <c r="G88" s="80"/>
      <c r="H88" s="80"/>
      <c r="I88" s="80"/>
      <c r="J88" s="80"/>
      <c r="K88" s="80"/>
      <c r="L88" s="80"/>
      <c r="M88" s="80"/>
    </row>
    <row r="89">
      <c r="G89" s="80"/>
      <c r="H89" s="80"/>
      <c r="I89" s="80"/>
      <c r="J89" s="80"/>
      <c r="K89" s="80"/>
      <c r="L89" s="80"/>
      <c r="M89" s="80"/>
    </row>
    <row r="90">
      <c r="G90" s="80"/>
      <c r="H90" s="80"/>
      <c r="I90" s="80"/>
      <c r="J90" s="80"/>
      <c r="K90" s="80"/>
      <c r="L90" s="80"/>
      <c r="M90" s="80"/>
    </row>
    <row r="91">
      <c r="G91" s="80"/>
      <c r="H91" s="80"/>
      <c r="I91" s="80"/>
      <c r="J91" s="80"/>
      <c r="K91" s="80"/>
      <c r="L91" s="80"/>
      <c r="M91" s="80"/>
    </row>
    <row r="92">
      <c r="G92" s="80"/>
      <c r="H92" s="80"/>
      <c r="I92" s="80"/>
      <c r="J92" s="80"/>
      <c r="K92" s="80"/>
      <c r="L92" s="80"/>
      <c r="M92" s="80"/>
    </row>
    <row r="93">
      <c r="G93" s="80"/>
      <c r="H93" s="80"/>
      <c r="I93" s="80"/>
      <c r="J93" s="80"/>
      <c r="K93" s="80"/>
      <c r="L93" s="80"/>
      <c r="M93" s="80"/>
    </row>
    <row r="94">
      <c r="G94" s="80"/>
      <c r="H94" s="80"/>
      <c r="I94" s="80"/>
      <c r="J94" s="80"/>
      <c r="K94" s="80"/>
      <c r="L94" s="80"/>
      <c r="M94" s="80"/>
    </row>
    <row r="95">
      <c r="G95" s="80"/>
      <c r="H95" s="80"/>
      <c r="I95" s="80"/>
      <c r="J95" s="80"/>
      <c r="K95" s="80"/>
      <c r="L95" s="80"/>
      <c r="M95" s="80"/>
    </row>
    <row r="96">
      <c r="G96" s="80"/>
      <c r="H96" s="80"/>
      <c r="I96" s="80"/>
      <c r="J96" s="80"/>
      <c r="K96" s="80"/>
      <c r="L96" s="80"/>
      <c r="M96" s="80"/>
    </row>
    <row r="97">
      <c r="G97" s="80"/>
      <c r="H97" s="80"/>
      <c r="I97" s="80"/>
      <c r="J97" s="80"/>
      <c r="K97" s="80"/>
      <c r="L97" s="80"/>
      <c r="M97" s="80"/>
    </row>
    <row r="98">
      <c r="G98" s="80"/>
      <c r="H98" s="80"/>
      <c r="I98" s="80"/>
      <c r="J98" s="80"/>
      <c r="K98" s="80"/>
      <c r="L98" s="80"/>
      <c r="M98" s="80"/>
    </row>
    <row r="99">
      <c r="G99" s="80"/>
      <c r="H99" s="80"/>
      <c r="I99" s="80"/>
      <c r="J99" s="80"/>
      <c r="K99" s="80"/>
      <c r="L99" s="80"/>
      <c r="M99" s="80"/>
    </row>
    <row r="100">
      <c r="G100" s="80"/>
      <c r="H100" s="80"/>
      <c r="I100" s="80"/>
      <c r="J100" s="80"/>
      <c r="K100" s="80"/>
      <c r="L100" s="80"/>
      <c r="M100" s="80"/>
    </row>
    <row r="101">
      <c r="G101" s="80"/>
      <c r="H101" s="80"/>
      <c r="I101" s="80"/>
      <c r="J101" s="80"/>
      <c r="K101" s="80"/>
      <c r="L101" s="80"/>
      <c r="M101" s="80"/>
    </row>
    <row r="102">
      <c r="G102" s="80"/>
      <c r="H102" s="80"/>
      <c r="I102" s="80"/>
      <c r="J102" s="80"/>
      <c r="K102" s="80"/>
      <c r="L102" s="80"/>
      <c r="M102" s="80"/>
    </row>
    <row r="103">
      <c r="G103" s="80"/>
      <c r="H103" s="80"/>
      <c r="I103" s="80"/>
      <c r="J103" s="80"/>
      <c r="K103" s="80"/>
      <c r="L103" s="80"/>
      <c r="M103" s="80"/>
    </row>
    <row r="104">
      <c r="G104" s="80"/>
      <c r="H104" s="80"/>
      <c r="I104" s="80"/>
      <c r="J104" s="80"/>
      <c r="K104" s="80"/>
      <c r="L104" s="80"/>
      <c r="M104" s="80"/>
    </row>
    <row r="105">
      <c r="G105" s="80"/>
      <c r="H105" s="80"/>
      <c r="I105" s="80"/>
      <c r="J105" s="80"/>
      <c r="K105" s="80"/>
      <c r="L105" s="80"/>
      <c r="M105" s="80"/>
    </row>
    <row r="106">
      <c r="G106" s="80"/>
      <c r="H106" s="80"/>
      <c r="I106" s="80"/>
      <c r="J106" s="80"/>
      <c r="K106" s="80"/>
      <c r="L106" s="80"/>
      <c r="M106" s="80"/>
    </row>
    <row r="107">
      <c r="G107" s="80"/>
      <c r="H107" s="80"/>
      <c r="I107" s="80"/>
      <c r="J107" s="80"/>
      <c r="K107" s="80"/>
      <c r="L107" s="80"/>
      <c r="M107" s="80"/>
    </row>
    <row r="108">
      <c r="G108" s="80"/>
      <c r="H108" s="80"/>
      <c r="I108" s="80"/>
      <c r="J108" s="80"/>
      <c r="K108" s="80"/>
      <c r="L108" s="80"/>
      <c r="M108" s="80"/>
    </row>
    <row r="109">
      <c r="G109" s="80"/>
      <c r="H109" s="80"/>
      <c r="I109" s="80"/>
      <c r="J109" s="80"/>
      <c r="K109" s="80"/>
      <c r="L109" s="80"/>
      <c r="M109" s="80"/>
    </row>
    <row r="110">
      <c r="G110" s="80"/>
      <c r="H110" s="80"/>
      <c r="I110" s="80"/>
      <c r="J110" s="80"/>
      <c r="K110" s="80"/>
      <c r="L110" s="80"/>
      <c r="M110" s="80"/>
    </row>
    <row r="111">
      <c r="G111" s="80"/>
      <c r="H111" s="80"/>
      <c r="I111" s="80"/>
      <c r="J111" s="80"/>
      <c r="K111" s="80"/>
      <c r="L111" s="80"/>
      <c r="M111" s="80"/>
    </row>
    <row r="112">
      <c r="G112" s="80"/>
      <c r="H112" s="80"/>
      <c r="I112" s="80"/>
      <c r="J112" s="80"/>
      <c r="K112" s="80"/>
      <c r="L112" s="80"/>
      <c r="M112" s="80"/>
    </row>
    <row r="113">
      <c r="G113" s="80"/>
      <c r="H113" s="80"/>
      <c r="I113" s="80"/>
      <c r="J113" s="80"/>
      <c r="K113" s="80"/>
      <c r="L113" s="80"/>
      <c r="M113" s="80"/>
    </row>
    <row r="114">
      <c r="G114" s="80"/>
      <c r="H114" s="80"/>
      <c r="I114" s="80"/>
      <c r="J114" s="80"/>
      <c r="K114" s="80"/>
      <c r="L114" s="80"/>
      <c r="M114" s="80"/>
    </row>
    <row r="115">
      <c r="G115" s="80"/>
      <c r="H115" s="80"/>
      <c r="I115" s="80"/>
      <c r="J115" s="80"/>
      <c r="K115" s="80"/>
      <c r="L115" s="80"/>
      <c r="M115" s="80"/>
    </row>
    <row r="116">
      <c r="G116" s="80"/>
      <c r="H116" s="80"/>
      <c r="I116" s="80"/>
      <c r="J116" s="80"/>
      <c r="K116" s="80"/>
      <c r="L116" s="80"/>
      <c r="M116" s="80"/>
    </row>
    <row r="117">
      <c r="G117" s="80"/>
      <c r="H117" s="80"/>
      <c r="I117" s="80"/>
      <c r="J117" s="80"/>
      <c r="K117" s="80"/>
      <c r="L117" s="80"/>
      <c r="M117" s="80"/>
    </row>
    <row r="118">
      <c r="G118" s="80"/>
      <c r="H118" s="80"/>
      <c r="I118" s="80"/>
      <c r="J118" s="80"/>
      <c r="K118" s="80"/>
      <c r="L118" s="80"/>
      <c r="M118" s="80"/>
    </row>
    <row r="119">
      <c r="G119" s="80"/>
      <c r="H119" s="80"/>
      <c r="I119" s="80"/>
      <c r="J119" s="80"/>
      <c r="K119" s="80"/>
      <c r="L119" s="80"/>
      <c r="M119" s="80"/>
    </row>
    <row r="120">
      <c r="G120" s="80"/>
      <c r="H120" s="80"/>
      <c r="I120" s="80"/>
      <c r="J120" s="80"/>
      <c r="K120" s="80"/>
      <c r="L120" s="80"/>
      <c r="M120" s="80"/>
    </row>
    <row r="121">
      <c r="G121" s="80"/>
      <c r="H121" s="80"/>
      <c r="I121" s="80"/>
      <c r="J121" s="80"/>
      <c r="K121" s="80"/>
      <c r="L121" s="80"/>
      <c r="M121" s="80"/>
    </row>
    <row r="122">
      <c r="G122" s="80"/>
      <c r="H122" s="80"/>
      <c r="I122" s="80"/>
      <c r="J122" s="80"/>
      <c r="K122" s="80"/>
      <c r="L122" s="80"/>
      <c r="M122" s="80"/>
    </row>
    <row r="123">
      <c r="G123" s="80"/>
      <c r="H123" s="80"/>
      <c r="I123" s="80"/>
      <c r="J123" s="80"/>
      <c r="K123" s="80"/>
      <c r="L123" s="80"/>
      <c r="M123" s="80"/>
    </row>
    <row r="124">
      <c r="G124" s="80"/>
      <c r="H124" s="80"/>
      <c r="I124" s="80"/>
      <c r="J124" s="80"/>
      <c r="K124" s="80"/>
      <c r="L124" s="80"/>
      <c r="M124" s="80"/>
    </row>
    <row r="125">
      <c r="G125" s="80"/>
      <c r="H125" s="80"/>
      <c r="I125" s="80"/>
      <c r="J125" s="80"/>
      <c r="K125" s="80"/>
      <c r="L125" s="80"/>
      <c r="M125" s="80"/>
    </row>
    <row r="126">
      <c r="G126" s="80"/>
      <c r="H126" s="80"/>
      <c r="I126" s="80"/>
      <c r="J126" s="80"/>
      <c r="K126" s="80"/>
      <c r="L126" s="80"/>
      <c r="M126" s="80"/>
    </row>
    <row r="127">
      <c r="G127" s="80"/>
      <c r="H127" s="80"/>
      <c r="I127" s="80"/>
      <c r="J127" s="80"/>
      <c r="K127" s="80"/>
      <c r="L127" s="80"/>
      <c r="M127" s="80"/>
    </row>
    <row r="128">
      <c r="G128" s="80"/>
      <c r="H128" s="80"/>
      <c r="I128" s="80"/>
      <c r="J128" s="80"/>
      <c r="K128" s="80"/>
      <c r="L128" s="80"/>
      <c r="M128" s="80"/>
    </row>
    <row r="129">
      <c r="G129" s="80"/>
      <c r="H129" s="80"/>
      <c r="I129" s="80"/>
      <c r="J129" s="80"/>
      <c r="K129" s="80"/>
      <c r="L129" s="80"/>
      <c r="M129" s="80"/>
    </row>
    <row r="130">
      <c r="G130" s="80"/>
      <c r="H130" s="80"/>
      <c r="I130" s="80"/>
      <c r="J130" s="80"/>
      <c r="K130" s="80"/>
      <c r="L130" s="80"/>
      <c r="M130" s="80"/>
    </row>
    <row r="131">
      <c r="G131" s="80"/>
      <c r="H131" s="80"/>
      <c r="I131" s="80"/>
      <c r="J131" s="80"/>
      <c r="K131" s="80"/>
      <c r="L131" s="80"/>
      <c r="M131" s="80"/>
    </row>
    <row r="132">
      <c r="G132" s="80"/>
      <c r="H132" s="80"/>
      <c r="I132" s="80"/>
      <c r="J132" s="80"/>
      <c r="K132" s="80"/>
      <c r="L132" s="80"/>
      <c r="M132" s="80"/>
    </row>
    <row r="133">
      <c r="G133" s="80"/>
      <c r="H133" s="80"/>
      <c r="I133" s="80"/>
      <c r="J133" s="80"/>
      <c r="K133" s="80"/>
      <c r="L133" s="80"/>
      <c r="M133" s="80"/>
    </row>
    <row r="134">
      <c r="G134" s="80"/>
      <c r="H134" s="80"/>
      <c r="I134" s="80"/>
      <c r="J134" s="80"/>
      <c r="K134" s="80"/>
      <c r="L134" s="80"/>
      <c r="M134" s="80"/>
    </row>
    <row r="135">
      <c r="G135" s="80"/>
      <c r="H135" s="80"/>
      <c r="I135" s="80"/>
      <c r="J135" s="80"/>
      <c r="K135" s="80"/>
      <c r="L135" s="80"/>
      <c r="M135" s="80"/>
    </row>
    <row r="136">
      <c r="G136" s="80"/>
      <c r="H136" s="80"/>
      <c r="I136" s="80"/>
      <c r="J136" s="80"/>
      <c r="K136" s="80"/>
      <c r="L136" s="80"/>
      <c r="M136" s="80"/>
    </row>
    <row r="137">
      <c r="G137" s="80"/>
      <c r="H137" s="80"/>
      <c r="I137" s="80"/>
      <c r="J137" s="80"/>
      <c r="K137" s="80"/>
      <c r="L137" s="80"/>
      <c r="M137" s="80"/>
    </row>
    <row r="138">
      <c r="G138" s="80"/>
      <c r="H138" s="80"/>
      <c r="I138" s="80"/>
      <c r="J138" s="80"/>
      <c r="K138" s="80"/>
      <c r="L138" s="80"/>
      <c r="M138" s="80"/>
    </row>
    <row r="139">
      <c r="G139" s="80"/>
      <c r="H139" s="80"/>
      <c r="I139" s="80"/>
      <c r="J139" s="80"/>
      <c r="K139" s="80"/>
      <c r="L139" s="80"/>
      <c r="M139" s="80"/>
    </row>
    <row r="140">
      <c r="G140" s="80"/>
      <c r="H140" s="80"/>
      <c r="I140" s="80"/>
      <c r="J140" s="80"/>
      <c r="K140" s="80"/>
      <c r="L140" s="80"/>
      <c r="M140" s="80"/>
    </row>
    <row r="141">
      <c r="G141" s="80"/>
      <c r="H141" s="80"/>
      <c r="I141" s="80"/>
      <c r="J141" s="80"/>
      <c r="K141" s="80"/>
      <c r="L141" s="80"/>
      <c r="M141" s="80"/>
    </row>
    <row r="142">
      <c r="G142" s="80"/>
      <c r="H142" s="80"/>
      <c r="I142" s="80"/>
      <c r="J142" s="80"/>
      <c r="K142" s="80"/>
      <c r="L142" s="80"/>
      <c r="M142" s="80"/>
    </row>
    <row r="143">
      <c r="G143" s="80"/>
      <c r="H143" s="80"/>
      <c r="I143" s="80"/>
      <c r="J143" s="80"/>
      <c r="K143" s="80"/>
      <c r="L143" s="80"/>
      <c r="M143" s="80"/>
    </row>
    <row r="144">
      <c r="G144" s="80"/>
      <c r="H144" s="80"/>
      <c r="I144" s="80"/>
      <c r="J144" s="80"/>
      <c r="K144" s="80"/>
      <c r="L144" s="80"/>
      <c r="M144" s="80"/>
    </row>
    <row r="145">
      <c r="G145" s="80"/>
      <c r="H145" s="80"/>
      <c r="I145" s="80"/>
      <c r="J145" s="80"/>
      <c r="K145" s="80"/>
      <c r="L145" s="80"/>
      <c r="M145" s="80"/>
    </row>
    <row r="146">
      <c r="G146" s="80"/>
      <c r="H146" s="80"/>
      <c r="I146" s="80"/>
      <c r="J146" s="80"/>
      <c r="K146" s="80"/>
      <c r="L146" s="80"/>
      <c r="M146" s="80"/>
    </row>
    <row r="147">
      <c r="G147" s="80"/>
      <c r="H147" s="80"/>
      <c r="I147" s="80"/>
      <c r="J147" s="80"/>
      <c r="K147" s="80"/>
      <c r="L147" s="80"/>
      <c r="M147" s="80"/>
    </row>
    <row r="148">
      <c r="G148" s="80"/>
      <c r="H148" s="80"/>
      <c r="I148" s="80"/>
      <c r="J148" s="80"/>
      <c r="K148" s="80"/>
      <c r="L148" s="80"/>
      <c r="M148" s="80"/>
    </row>
    <row r="149">
      <c r="G149" s="80"/>
      <c r="H149" s="80"/>
      <c r="I149" s="80"/>
      <c r="J149" s="80"/>
      <c r="K149" s="80"/>
      <c r="L149" s="80"/>
      <c r="M149" s="80"/>
    </row>
    <row r="150">
      <c r="G150" s="80"/>
      <c r="H150" s="80"/>
      <c r="I150" s="80"/>
      <c r="J150" s="80"/>
      <c r="K150" s="80"/>
      <c r="L150" s="80"/>
      <c r="M150" s="80"/>
    </row>
    <row r="151">
      <c r="G151" s="80"/>
      <c r="H151" s="80"/>
      <c r="I151" s="80"/>
      <c r="J151" s="80"/>
      <c r="K151" s="80"/>
      <c r="L151" s="80"/>
      <c r="M151" s="80"/>
    </row>
    <row r="152">
      <c r="G152" s="80"/>
      <c r="H152" s="80"/>
      <c r="I152" s="80"/>
      <c r="J152" s="80"/>
      <c r="K152" s="80"/>
      <c r="L152" s="80"/>
      <c r="M152" s="80"/>
    </row>
    <row r="153">
      <c r="G153" s="80"/>
      <c r="H153" s="80"/>
      <c r="I153" s="80"/>
      <c r="J153" s="80"/>
      <c r="K153" s="80"/>
      <c r="L153" s="80"/>
      <c r="M153" s="80"/>
    </row>
    <row r="154">
      <c r="G154" s="80"/>
      <c r="H154" s="80"/>
      <c r="I154" s="80"/>
      <c r="J154" s="80"/>
      <c r="K154" s="80"/>
      <c r="L154" s="80"/>
      <c r="M154" s="80"/>
    </row>
    <row r="155">
      <c r="G155" s="80"/>
      <c r="H155" s="80"/>
      <c r="I155" s="80"/>
      <c r="J155" s="80"/>
      <c r="K155" s="80"/>
      <c r="L155" s="80"/>
      <c r="M155" s="80"/>
    </row>
    <row r="156">
      <c r="G156" s="80"/>
      <c r="H156" s="80"/>
      <c r="I156" s="80"/>
      <c r="J156" s="80"/>
      <c r="K156" s="80"/>
      <c r="L156" s="80"/>
      <c r="M156" s="80"/>
    </row>
    <row r="157">
      <c r="G157" s="80"/>
      <c r="H157" s="80"/>
      <c r="I157" s="80"/>
      <c r="J157" s="80"/>
      <c r="K157" s="80"/>
      <c r="L157" s="80"/>
      <c r="M157" s="80"/>
    </row>
    <row r="158">
      <c r="G158" s="80"/>
      <c r="H158" s="80"/>
      <c r="I158" s="80"/>
      <c r="J158" s="80"/>
      <c r="K158" s="80"/>
      <c r="L158" s="80"/>
      <c r="M158" s="80"/>
    </row>
    <row r="159">
      <c r="G159" s="80"/>
      <c r="H159" s="80"/>
      <c r="I159" s="80"/>
      <c r="J159" s="80"/>
      <c r="K159" s="80"/>
      <c r="L159" s="80"/>
      <c r="M159" s="80"/>
    </row>
    <row r="160">
      <c r="G160" s="80"/>
      <c r="H160" s="80"/>
      <c r="I160" s="80"/>
      <c r="J160" s="80"/>
      <c r="K160" s="80"/>
      <c r="L160" s="80"/>
      <c r="M160" s="80"/>
    </row>
    <row r="161">
      <c r="G161" s="80"/>
      <c r="H161" s="80"/>
      <c r="I161" s="80"/>
      <c r="J161" s="80"/>
      <c r="K161" s="80"/>
      <c r="L161" s="80"/>
      <c r="M161" s="80"/>
    </row>
    <row r="162">
      <c r="G162" s="80"/>
      <c r="H162" s="80"/>
      <c r="I162" s="80"/>
      <c r="J162" s="80"/>
      <c r="K162" s="80"/>
      <c r="L162" s="80"/>
      <c r="M162" s="80"/>
    </row>
    <row r="163">
      <c r="G163" s="80"/>
      <c r="H163" s="80"/>
      <c r="I163" s="80"/>
      <c r="J163" s="80"/>
      <c r="K163" s="80"/>
      <c r="L163" s="80"/>
      <c r="M163" s="80"/>
    </row>
    <row r="164">
      <c r="G164" s="80"/>
      <c r="H164" s="80"/>
      <c r="I164" s="80"/>
      <c r="J164" s="80"/>
      <c r="K164" s="80"/>
      <c r="L164" s="80"/>
      <c r="M164" s="80"/>
    </row>
    <row r="165">
      <c r="G165" s="80"/>
      <c r="H165" s="80"/>
      <c r="I165" s="80"/>
      <c r="J165" s="80"/>
      <c r="K165" s="80"/>
      <c r="L165" s="80"/>
      <c r="M165" s="80"/>
    </row>
    <row r="166">
      <c r="G166" s="80"/>
      <c r="H166" s="80"/>
      <c r="I166" s="80"/>
      <c r="J166" s="80"/>
      <c r="K166" s="80"/>
      <c r="L166" s="80"/>
      <c r="M166" s="80"/>
    </row>
    <row r="167">
      <c r="G167" s="80"/>
      <c r="H167" s="80"/>
      <c r="I167" s="80"/>
      <c r="J167" s="80"/>
      <c r="K167" s="80"/>
      <c r="L167" s="80"/>
      <c r="M167" s="80"/>
    </row>
    <row r="168">
      <c r="G168" s="80"/>
      <c r="H168" s="80"/>
      <c r="I168" s="80"/>
      <c r="J168" s="80"/>
      <c r="K168" s="80"/>
      <c r="L168" s="80"/>
      <c r="M168" s="80"/>
    </row>
    <row r="169">
      <c r="G169" s="80"/>
      <c r="H169" s="80"/>
      <c r="I169" s="80"/>
      <c r="J169" s="80"/>
      <c r="K169" s="80"/>
      <c r="L169" s="80"/>
      <c r="M169" s="80"/>
    </row>
    <row r="170">
      <c r="G170" s="80"/>
      <c r="H170" s="80"/>
      <c r="I170" s="80"/>
      <c r="J170" s="80"/>
      <c r="K170" s="80"/>
      <c r="L170" s="80"/>
      <c r="M170" s="80"/>
    </row>
    <row r="171">
      <c r="G171" s="80"/>
      <c r="H171" s="80"/>
      <c r="I171" s="80"/>
      <c r="J171" s="80"/>
      <c r="K171" s="80"/>
      <c r="L171" s="80"/>
      <c r="M171" s="80"/>
    </row>
    <row r="172">
      <c r="G172" s="80"/>
      <c r="H172" s="80"/>
      <c r="I172" s="80"/>
      <c r="J172" s="80"/>
      <c r="K172" s="80"/>
      <c r="L172" s="80"/>
      <c r="M172" s="80"/>
    </row>
    <row r="173">
      <c r="G173" s="80"/>
      <c r="H173" s="80"/>
      <c r="I173" s="80"/>
      <c r="J173" s="80"/>
      <c r="K173" s="80"/>
      <c r="L173" s="80"/>
      <c r="M173" s="80"/>
    </row>
    <row r="174">
      <c r="G174" s="80"/>
      <c r="H174" s="80"/>
      <c r="I174" s="80"/>
      <c r="J174" s="80"/>
      <c r="K174" s="80"/>
      <c r="L174" s="80"/>
      <c r="M174" s="80"/>
    </row>
    <row r="175">
      <c r="G175" s="80"/>
      <c r="H175" s="80"/>
      <c r="I175" s="80"/>
      <c r="J175" s="80"/>
      <c r="K175" s="80"/>
      <c r="L175" s="80"/>
      <c r="M175" s="80"/>
    </row>
    <row r="176">
      <c r="G176" s="80"/>
      <c r="H176" s="80"/>
      <c r="I176" s="80"/>
      <c r="J176" s="80"/>
      <c r="K176" s="80"/>
      <c r="L176" s="80"/>
      <c r="M176" s="80"/>
    </row>
    <row r="177">
      <c r="G177" s="80"/>
      <c r="H177" s="80"/>
      <c r="I177" s="80"/>
      <c r="J177" s="80"/>
      <c r="K177" s="80"/>
      <c r="L177" s="80"/>
      <c r="M177" s="80"/>
    </row>
    <row r="178">
      <c r="G178" s="80"/>
      <c r="H178" s="80"/>
      <c r="I178" s="80"/>
      <c r="J178" s="80"/>
      <c r="K178" s="80"/>
      <c r="L178" s="80"/>
      <c r="M178" s="80"/>
    </row>
    <row r="179">
      <c r="G179" s="80"/>
      <c r="H179" s="80"/>
      <c r="I179" s="80"/>
      <c r="J179" s="80"/>
      <c r="K179" s="80"/>
      <c r="L179" s="80"/>
      <c r="M179" s="80"/>
    </row>
    <row r="180">
      <c r="G180" s="80"/>
      <c r="H180" s="80"/>
      <c r="I180" s="80"/>
      <c r="J180" s="80"/>
      <c r="K180" s="80"/>
      <c r="L180" s="80"/>
      <c r="M180" s="80"/>
    </row>
    <row r="181">
      <c r="G181" s="80"/>
      <c r="H181" s="80"/>
      <c r="I181" s="80"/>
      <c r="J181" s="80"/>
      <c r="K181" s="80"/>
      <c r="L181" s="80"/>
      <c r="M181" s="80"/>
    </row>
    <row r="182">
      <c r="G182" s="80"/>
      <c r="H182" s="80"/>
      <c r="I182" s="80"/>
      <c r="J182" s="80"/>
      <c r="K182" s="80"/>
      <c r="L182" s="80"/>
      <c r="M182" s="80"/>
    </row>
    <row r="183">
      <c r="G183" s="80"/>
      <c r="H183" s="80"/>
      <c r="I183" s="80"/>
      <c r="J183" s="80"/>
      <c r="K183" s="80"/>
      <c r="L183" s="80"/>
      <c r="M183" s="80"/>
    </row>
    <row r="184">
      <c r="G184" s="80"/>
      <c r="H184" s="80"/>
      <c r="I184" s="80"/>
      <c r="J184" s="80"/>
      <c r="K184" s="80"/>
      <c r="L184" s="80"/>
      <c r="M184" s="80"/>
    </row>
    <row r="185">
      <c r="G185" s="80"/>
      <c r="H185" s="80"/>
      <c r="I185" s="80"/>
      <c r="J185" s="80"/>
      <c r="K185" s="80"/>
      <c r="L185" s="80"/>
      <c r="M185" s="80"/>
    </row>
    <row r="186">
      <c r="G186" s="80"/>
      <c r="H186" s="80"/>
      <c r="I186" s="80"/>
      <c r="J186" s="80"/>
      <c r="K186" s="80"/>
      <c r="L186" s="80"/>
      <c r="M186" s="80"/>
    </row>
    <row r="187">
      <c r="G187" s="80"/>
      <c r="H187" s="80"/>
      <c r="I187" s="80"/>
      <c r="J187" s="80"/>
      <c r="K187" s="80"/>
      <c r="L187" s="80"/>
      <c r="M187" s="80"/>
    </row>
    <row r="188">
      <c r="G188" s="80"/>
      <c r="H188" s="80"/>
      <c r="I188" s="80"/>
      <c r="J188" s="80"/>
      <c r="K188" s="80"/>
      <c r="L188" s="80"/>
      <c r="M188" s="80"/>
    </row>
    <row r="189">
      <c r="G189" s="80"/>
      <c r="H189" s="80"/>
      <c r="I189" s="80"/>
      <c r="J189" s="80"/>
      <c r="K189" s="80"/>
      <c r="L189" s="80"/>
      <c r="M189" s="80"/>
    </row>
    <row r="190">
      <c r="G190" s="80"/>
      <c r="H190" s="80"/>
      <c r="I190" s="80"/>
      <c r="J190" s="80"/>
      <c r="K190" s="80"/>
      <c r="L190" s="80"/>
      <c r="M190" s="80"/>
    </row>
    <row r="191">
      <c r="G191" s="80"/>
      <c r="H191" s="80"/>
      <c r="I191" s="80"/>
      <c r="J191" s="80"/>
      <c r="K191" s="80"/>
      <c r="L191" s="80"/>
      <c r="M191" s="80"/>
    </row>
    <row r="192">
      <c r="G192" s="80"/>
      <c r="H192" s="80"/>
      <c r="I192" s="80"/>
      <c r="J192" s="80"/>
      <c r="K192" s="80"/>
      <c r="L192" s="80"/>
      <c r="M192" s="80"/>
    </row>
    <row r="193">
      <c r="G193" s="80"/>
      <c r="H193" s="80"/>
      <c r="I193" s="80"/>
      <c r="J193" s="80"/>
      <c r="K193" s="80"/>
      <c r="L193" s="80"/>
      <c r="M193" s="80"/>
    </row>
    <row r="194">
      <c r="G194" s="80"/>
      <c r="H194" s="80"/>
      <c r="I194" s="80"/>
      <c r="J194" s="80"/>
      <c r="K194" s="80"/>
      <c r="L194" s="80"/>
      <c r="M194" s="80"/>
    </row>
    <row r="195">
      <c r="G195" s="80"/>
      <c r="H195" s="80"/>
      <c r="I195" s="80"/>
      <c r="J195" s="80"/>
      <c r="K195" s="80"/>
      <c r="L195" s="80"/>
      <c r="M195" s="80"/>
    </row>
    <row r="196">
      <c r="G196" s="80"/>
      <c r="H196" s="80"/>
      <c r="I196" s="80"/>
      <c r="J196" s="80"/>
      <c r="K196" s="80"/>
      <c r="L196" s="80"/>
      <c r="M196" s="80"/>
    </row>
    <row r="197">
      <c r="G197" s="80"/>
      <c r="H197" s="80"/>
      <c r="I197" s="80"/>
      <c r="J197" s="80"/>
      <c r="K197" s="80"/>
      <c r="L197" s="80"/>
      <c r="M197" s="80"/>
    </row>
    <row r="198">
      <c r="G198" s="80"/>
      <c r="H198" s="80"/>
      <c r="I198" s="80"/>
      <c r="J198" s="80"/>
      <c r="K198" s="80"/>
      <c r="L198" s="80"/>
      <c r="M198" s="80"/>
    </row>
    <row r="199">
      <c r="G199" s="80"/>
      <c r="H199" s="80"/>
      <c r="I199" s="80"/>
      <c r="J199" s="80"/>
      <c r="K199" s="80"/>
      <c r="L199" s="80"/>
      <c r="M199" s="80"/>
    </row>
    <row r="200">
      <c r="G200" s="80"/>
      <c r="H200" s="80"/>
      <c r="I200" s="80"/>
      <c r="J200" s="80"/>
      <c r="K200" s="80"/>
      <c r="L200" s="80"/>
      <c r="M200" s="80"/>
    </row>
    <row r="201">
      <c r="G201" s="80"/>
      <c r="H201" s="80"/>
      <c r="I201" s="80"/>
      <c r="J201" s="80"/>
      <c r="K201" s="80"/>
      <c r="L201" s="80"/>
      <c r="M201" s="80"/>
    </row>
    <row r="202">
      <c r="G202" s="80"/>
      <c r="H202" s="80"/>
      <c r="I202" s="80"/>
      <c r="J202" s="80"/>
      <c r="K202" s="80"/>
      <c r="L202" s="80"/>
      <c r="M202" s="80"/>
    </row>
    <row r="203">
      <c r="G203" s="80"/>
      <c r="H203" s="80"/>
      <c r="I203" s="80"/>
      <c r="J203" s="80"/>
      <c r="K203" s="80"/>
      <c r="L203" s="80"/>
      <c r="M203" s="80"/>
    </row>
    <row r="204">
      <c r="G204" s="80"/>
      <c r="H204" s="80"/>
      <c r="I204" s="80"/>
      <c r="J204" s="80"/>
      <c r="K204" s="80"/>
      <c r="L204" s="80"/>
      <c r="M204" s="80"/>
    </row>
    <row r="205">
      <c r="G205" s="80"/>
      <c r="H205" s="80"/>
      <c r="I205" s="80"/>
      <c r="J205" s="80"/>
      <c r="K205" s="80"/>
      <c r="L205" s="80"/>
      <c r="M205" s="80"/>
    </row>
    <row r="206">
      <c r="G206" s="80"/>
      <c r="H206" s="80"/>
      <c r="I206" s="80"/>
      <c r="J206" s="80"/>
      <c r="K206" s="80"/>
      <c r="L206" s="80"/>
      <c r="M206" s="80"/>
    </row>
    <row r="207">
      <c r="G207" s="80"/>
      <c r="H207" s="80"/>
      <c r="I207" s="80"/>
      <c r="J207" s="80"/>
      <c r="K207" s="80"/>
      <c r="L207" s="80"/>
      <c r="M207" s="80"/>
    </row>
    <row r="208">
      <c r="G208" s="80"/>
      <c r="H208" s="80"/>
      <c r="I208" s="80"/>
      <c r="J208" s="80"/>
      <c r="K208" s="80"/>
      <c r="L208" s="80"/>
      <c r="M208" s="80"/>
    </row>
    <row r="209">
      <c r="G209" s="80"/>
      <c r="H209" s="80"/>
      <c r="I209" s="80"/>
      <c r="J209" s="80"/>
      <c r="K209" s="80"/>
      <c r="L209" s="80"/>
      <c r="M209" s="80"/>
    </row>
    <row r="210">
      <c r="G210" s="80"/>
      <c r="H210" s="80"/>
      <c r="I210" s="80"/>
      <c r="J210" s="80"/>
      <c r="K210" s="80"/>
      <c r="L210" s="80"/>
      <c r="M210" s="80"/>
    </row>
    <row r="211">
      <c r="G211" s="80"/>
      <c r="H211" s="80"/>
      <c r="I211" s="80"/>
      <c r="J211" s="80"/>
      <c r="K211" s="80"/>
      <c r="L211" s="80"/>
      <c r="M211" s="80"/>
    </row>
    <row r="212">
      <c r="G212" s="80"/>
      <c r="H212" s="80"/>
      <c r="I212" s="80"/>
      <c r="J212" s="80"/>
      <c r="K212" s="80"/>
      <c r="L212" s="80"/>
      <c r="M212" s="80"/>
    </row>
    <row r="213">
      <c r="G213" s="80"/>
      <c r="H213" s="80"/>
      <c r="I213" s="80"/>
      <c r="J213" s="80"/>
      <c r="K213" s="80"/>
      <c r="L213" s="80"/>
      <c r="M213" s="80"/>
    </row>
    <row r="214">
      <c r="G214" s="80"/>
      <c r="H214" s="80"/>
      <c r="I214" s="80"/>
      <c r="J214" s="80"/>
      <c r="K214" s="80"/>
      <c r="L214" s="80"/>
      <c r="M214" s="80"/>
    </row>
    <row r="215">
      <c r="G215" s="80"/>
      <c r="H215" s="80"/>
      <c r="I215" s="80"/>
      <c r="J215" s="80"/>
      <c r="K215" s="80"/>
      <c r="L215" s="80"/>
      <c r="M215" s="80"/>
    </row>
    <row r="216">
      <c r="G216" s="80"/>
      <c r="H216" s="80"/>
      <c r="I216" s="80"/>
      <c r="J216" s="80"/>
      <c r="K216" s="80"/>
      <c r="L216" s="80"/>
      <c r="M216" s="80"/>
    </row>
    <row r="217">
      <c r="G217" s="80"/>
      <c r="H217" s="80"/>
      <c r="I217" s="80"/>
      <c r="J217" s="80"/>
      <c r="K217" s="80"/>
      <c r="L217" s="80"/>
      <c r="M217" s="80"/>
    </row>
    <row r="218">
      <c r="G218" s="80"/>
      <c r="H218" s="80"/>
      <c r="I218" s="80"/>
      <c r="J218" s="80"/>
      <c r="K218" s="80"/>
      <c r="L218" s="80"/>
      <c r="M218" s="80"/>
    </row>
    <row r="219">
      <c r="G219" s="80"/>
      <c r="H219" s="80"/>
      <c r="I219" s="80"/>
      <c r="J219" s="80"/>
      <c r="K219" s="80"/>
      <c r="L219" s="80"/>
      <c r="M219" s="80"/>
    </row>
    <row r="220">
      <c r="G220" s="80"/>
      <c r="H220" s="80"/>
      <c r="I220" s="80"/>
      <c r="J220" s="80"/>
      <c r="K220" s="80"/>
      <c r="L220" s="80"/>
      <c r="M220" s="80"/>
    </row>
    <row r="221">
      <c r="G221" s="80"/>
      <c r="H221" s="80"/>
      <c r="I221" s="80"/>
      <c r="J221" s="80"/>
      <c r="K221" s="80"/>
      <c r="L221" s="80"/>
      <c r="M221" s="80"/>
    </row>
    <row r="222">
      <c r="G222" s="80"/>
      <c r="H222" s="80"/>
      <c r="I222" s="80"/>
      <c r="J222" s="80"/>
      <c r="K222" s="80"/>
      <c r="L222" s="80"/>
      <c r="M222" s="80"/>
    </row>
    <row r="223">
      <c r="G223" s="80"/>
      <c r="H223" s="80"/>
      <c r="I223" s="80"/>
      <c r="J223" s="80"/>
      <c r="K223" s="80"/>
      <c r="L223" s="80"/>
      <c r="M223" s="80"/>
    </row>
    <row r="224">
      <c r="G224" s="80"/>
      <c r="H224" s="80"/>
      <c r="I224" s="80"/>
      <c r="J224" s="80"/>
      <c r="K224" s="80"/>
      <c r="L224" s="80"/>
      <c r="M224" s="80"/>
    </row>
    <row r="225">
      <c r="G225" s="80"/>
      <c r="H225" s="80"/>
      <c r="I225" s="80"/>
      <c r="J225" s="80"/>
      <c r="K225" s="80"/>
      <c r="L225" s="80"/>
      <c r="M225" s="80"/>
    </row>
    <row r="226">
      <c r="G226" s="80"/>
      <c r="H226" s="80"/>
      <c r="I226" s="80"/>
      <c r="J226" s="80"/>
      <c r="K226" s="80"/>
      <c r="L226" s="80"/>
      <c r="M226" s="80"/>
    </row>
    <row r="227">
      <c r="G227" s="80"/>
      <c r="H227" s="80"/>
      <c r="I227" s="80"/>
      <c r="J227" s="80"/>
      <c r="K227" s="80"/>
      <c r="L227" s="80"/>
      <c r="M227" s="80"/>
    </row>
    <row r="228">
      <c r="G228" s="80"/>
      <c r="H228" s="80"/>
      <c r="I228" s="80"/>
      <c r="J228" s="80"/>
      <c r="K228" s="80"/>
      <c r="L228" s="80"/>
      <c r="M228" s="80"/>
    </row>
    <row r="229">
      <c r="G229" s="80"/>
      <c r="H229" s="80"/>
      <c r="I229" s="80"/>
      <c r="J229" s="80"/>
      <c r="K229" s="80"/>
      <c r="L229" s="80"/>
      <c r="M229" s="80"/>
    </row>
    <row r="230">
      <c r="G230" s="80"/>
      <c r="H230" s="80"/>
      <c r="I230" s="80"/>
      <c r="J230" s="80"/>
      <c r="K230" s="80"/>
      <c r="L230" s="80"/>
      <c r="M230" s="80"/>
    </row>
    <row r="231">
      <c r="G231" s="80"/>
      <c r="H231" s="80"/>
      <c r="I231" s="80"/>
      <c r="J231" s="80"/>
      <c r="K231" s="80"/>
      <c r="L231" s="80"/>
      <c r="M231" s="80"/>
    </row>
    <row r="232">
      <c r="G232" s="80"/>
      <c r="H232" s="80"/>
      <c r="I232" s="80"/>
      <c r="J232" s="80"/>
      <c r="K232" s="80"/>
      <c r="L232" s="80"/>
      <c r="M232" s="80"/>
    </row>
    <row r="233">
      <c r="G233" s="80"/>
      <c r="H233" s="80"/>
      <c r="I233" s="80"/>
      <c r="J233" s="80"/>
      <c r="K233" s="80"/>
      <c r="L233" s="80"/>
      <c r="M233" s="80"/>
    </row>
    <row r="234">
      <c r="G234" s="80"/>
      <c r="H234" s="80"/>
      <c r="I234" s="80"/>
      <c r="J234" s="80"/>
      <c r="K234" s="80"/>
      <c r="L234" s="80"/>
      <c r="M234" s="80"/>
    </row>
    <row r="235">
      <c r="G235" s="80"/>
      <c r="H235" s="80"/>
      <c r="I235" s="80"/>
      <c r="J235" s="80"/>
      <c r="K235" s="80"/>
      <c r="L235" s="80"/>
      <c r="M235" s="80"/>
    </row>
    <row r="236">
      <c r="G236" s="80"/>
      <c r="H236" s="80"/>
      <c r="I236" s="80"/>
      <c r="J236" s="80"/>
      <c r="K236" s="80"/>
      <c r="L236" s="80"/>
      <c r="M236" s="80"/>
    </row>
    <row r="237">
      <c r="G237" s="80"/>
      <c r="H237" s="80"/>
      <c r="I237" s="80"/>
      <c r="J237" s="80"/>
      <c r="K237" s="80"/>
      <c r="L237" s="80"/>
      <c r="M237" s="80"/>
    </row>
    <row r="238">
      <c r="G238" s="80"/>
      <c r="H238" s="80"/>
      <c r="I238" s="80"/>
      <c r="J238" s="80"/>
      <c r="K238" s="80"/>
      <c r="L238" s="80"/>
      <c r="M238" s="80"/>
    </row>
    <row r="239">
      <c r="G239" s="80"/>
      <c r="H239" s="80"/>
      <c r="I239" s="80"/>
      <c r="J239" s="80"/>
      <c r="K239" s="80"/>
      <c r="L239" s="80"/>
      <c r="M239" s="80"/>
    </row>
    <row r="240">
      <c r="G240" s="80"/>
      <c r="H240" s="80"/>
      <c r="I240" s="80"/>
      <c r="J240" s="80"/>
      <c r="K240" s="80"/>
      <c r="L240" s="80"/>
      <c r="M240" s="80"/>
    </row>
    <row r="241">
      <c r="G241" s="80"/>
      <c r="H241" s="80"/>
      <c r="I241" s="80"/>
      <c r="J241" s="80"/>
      <c r="K241" s="80"/>
      <c r="L241" s="80"/>
      <c r="M241" s="80"/>
    </row>
    <row r="242">
      <c r="G242" s="80"/>
      <c r="H242" s="80"/>
      <c r="I242" s="80"/>
      <c r="J242" s="80"/>
      <c r="K242" s="80"/>
      <c r="L242" s="80"/>
      <c r="M242" s="80"/>
    </row>
    <row r="243">
      <c r="G243" s="80"/>
      <c r="H243" s="80"/>
      <c r="I243" s="80"/>
      <c r="J243" s="80"/>
      <c r="K243" s="80"/>
      <c r="L243" s="80"/>
      <c r="M243" s="80"/>
    </row>
    <row r="244">
      <c r="G244" s="80"/>
      <c r="H244" s="80"/>
      <c r="I244" s="80"/>
      <c r="J244" s="80"/>
      <c r="K244" s="80"/>
      <c r="L244" s="80"/>
      <c r="M244" s="80"/>
    </row>
    <row r="245">
      <c r="G245" s="80"/>
      <c r="H245" s="80"/>
      <c r="I245" s="80"/>
      <c r="J245" s="80"/>
      <c r="K245" s="80"/>
      <c r="L245" s="80"/>
      <c r="M245" s="80"/>
    </row>
    <row r="246">
      <c r="G246" s="80"/>
      <c r="H246" s="80"/>
      <c r="I246" s="80"/>
      <c r="J246" s="80"/>
      <c r="K246" s="80"/>
      <c r="L246" s="80"/>
      <c r="M246" s="80"/>
    </row>
    <row r="247">
      <c r="G247" s="80"/>
      <c r="H247" s="80"/>
      <c r="I247" s="80"/>
      <c r="J247" s="80"/>
      <c r="K247" s="80"/>
      <c r="L247" s="80"/>
      <c r="M247" s="80"/>
    </row>
    <row r="248">
      <c r="G248" s="80"/>
      <c r="H248" s="80"/>
      <c r="I248" s="80"/>
      <c r="J248" s="80"/>
      <c r="K248" s="80"/>
      <c r="L248" s="80"/>
      <c r="M248" s="80"/>
    </row>
    <row r="249">
      <c r="G249" s="80"/>
      <c r="H249" s="80"/>
      <c r="I249" s="80"/>
      <c r="J249" s="80"/>
      <c r="K249" s="80"/>
      <c r="L249" s="80"/>
      <c r="M249" s="80"/>
    </row>
    <row r="250">
      <c r="G250" s="80"/>
      <c r="H250" s="80"/>
      <c r="I250" s="80"/>
      <c r="J250" s="80"/>
      <c r="K250" s="80"/>
      <c r="L250" s="80"/>
      <c r="M250" s="80"/>
    </row>
    <row r="251">
      <c r="G251" s="80"/>
      <c r="H251" s="80"/>
      <c r="I251" s="80"/>
      <c r="J251" s="80"/>
      <c r="K251" s="80"/>
      <c r="L251" s="80"/>
      <c r="M251" s="80"/>
    </row>
    <row r="252">
      <c r="G252" s="80"/>
      <c r="H252" s="80"/>
      <c r="I252" s="80"/>
      <c r="J252" s="80"/>
      <c r="K252" s="80"/>
      <c r="L252" s="80"/>
      <c r="M252" s="80"/>
    </row>
    <row r="253">
      <c r="G253" s="80"/>
      <c r="H253" s="80"/>
      <c r="I253" s="80"/>
      <c r="J253" s="80"/>
      <c r="K253" s="80"/>
      <c r="L253" s="80"/>
      <c r="M253" s="80"/>
    </row>
    <row r="254">
      <c r="G254" s="80"/>
      <c r="H254" s="80"/>
      <c r="I254" s="80"/>
      <c r="J254" s="80"/>
      <c r="K254" s="80"/>
      <c r="L254" s="80"/>
      <c r="M254" s="80"/>
    </row>
    <row r="255">
      <c r="G255" s="80"/>
      <c r="H255" s="80"/>
      <c r="I255" s="80"/>
      <c r="J255" s="80"/>
      <c r="K255" s="80"/>
      <c r="L255" s="80"/>
      <c r="M255" s="80"/>
    </row>
    <row r="256">
      <c r="G256" s="80"/>
      <c r="H256" s="80"/>
      <c r="I256" s="80"/>
      <c r="J256" s="80"/>
      <c r="K256" s="80"/>
      <c r="L256" s="80"/>
      <c r="M256" s="80"/>
    </row>
    <row r="257">
      <c r="G257" s="80"/>
      <c r="H257" s="80"/>
      <c r="I257" s="80"/>
      <c r="J257" s="80"/>
      <c r="K257" s="80"/>
      <c r="L257" s="80"/>
      <c r="M257" s="80"/>
    </row>
    <row r="258">
      <c r="G258" s="80"/>
      <c r="H258" s="80"/>
      <c r="I258" s="80"/>
      <c r="J258" s="80"/>
      <c r="K258" s="80"/>
      <c r="L258" s="80"/>
      <c r="M258" s="80"/>
    </row>
    <row r="259">
      <c r="G259" s="80"/>
      <c r="H259" s="80"/>
      <c r="I259" s="80"/>
      <c r="J259" s="80"/>
      <c r="K259" s="80"/>
      <c r="L259" s="80"/>
      <c r="M259" s="80"/>
    </row>
    <row r="260">
      <c r="G260" s="80"/>
      <c r="H260" s="80"/>
      <c r="I260" s="80"/>
      <c r="J260" s="80"/>
      <c r="K260" s="80"/>
      <c r="L260" s="80"/>
      <c r="M260" s="80"/>
    </row>
    <row r="261">
      <c r="G261" s="80"/>
      <c r="H261" s="80"/>
      <c r="I261" s="80"/>
      <c r="J261" s="80"/>
      <c r="K261" s="80"/>
      <c r="L261" s="80"/>
      <c r="M261" s="80"/>
    </row>
    <row r="262">
      <c r="G262" s="80"/>
      <c r="H262" s="80"/>
      <c r="I262" s="80"/>
      <c r="J262" s="80"/>
      <c r="K262" s="80"/>
      <c r="L262" s="80"/>
      <c r="M262" s="80"/>
    </row>
    <row r="263">
      <c r="G263" s="80"/>
      <c r="H263" s="80"/>
      <c r="I263" s="80"/>
      <c r="J263" s="80"/>
      <c r="K263" s="80"/>
      <c r="L263" s="80"/>
      <c r="M263" s="80"/>
    </row>
    <row r="264">
      <c r="G264" s="80"/>
      <c r="H264" s="80"/>
      <c r="I264" s="80"/>
      <c r="J264" s="80"/>
      <c r="K264" s="80"/>
      <c r="L264" s="80"/>
      <c r="M264" s="80"/>
    </row>
    <row r="265">
      <c r="G265" s="80"/>
      <c r="H265" s="80"/>
      <c r="I265" s="80"/>
      <c r="J265" s="80"/>
      <c r="K265" s="80"/>
      <c r="L265" s="80"/>
      <c r="M265" s="80"/>
    </row>
    <row r="266">
      <c r="G266" s="80"/>
      <c r="H266" s="80"/>
      <c r="I266" s="80"/>
      <c r="J266" s="80"/>
      <c r="K266" s="80"/>
      <c r="L266" s="80"/>
      <c r="M266" s="80"/>
    </row>
    <row r="267">
      <c r="G267" s="80"/>
      <c r="H267" s="80"/>
      <c r="I267" s="80"/>
      <c r="J267" s="80"/>
      <c r="K267" s="80"/>
      <c r="L267" s="80"/>
      <c r="M267" s="80"/>
    </row>
    <row r="268">
      <c r="G268" s="80"/>
      <c r="H268" s="80"/>
      <c r="I268" s="80"/>
      <c r="J268" s="80"/>
      <c r="K268" s="80"/>
      <c r="L268" s="80"/>
      <c r="M268" s="80"/>
    </row>
    <row r="269">
      <c r="G269" s="80"/>
      <c r="H269" s="80"/>
      <c r="I269" s="80"/>
      <c r="J269" s="80"/>
      <c r="K269" s="80"/>
      <c r="L269" s="80"/>
      <c r="M269" s="80"/>
    </row>
    <row r="270">
      <c r="G270" s="80"/>
      <c r="H270" s="80"/>
      <c r="I270" s="80"/>
      <c r="J270" s="80"/>
      <c r="K270" s="80"/>
      <c r="L270" s="80"/>
      <c r="M270" s="80"/>
    </row>
    <row r="271">
      <c r="G271" s="80"/>
      <c r="H271" s="80"/>
      <c r="I271" s="80"/>
      <c r="J271" s="80"/>
      <c r="K271" s="80"/>
      <c r="L271" s="80"/>
      <c r="M271" s="80"/>
    </row>
    <row r="272">
      <c r="G272" s="80"/>
      <c r="H272" s="80"/>
      <c r="I272" s="80"/>
      <c r="J272" s="80"/>
      <c r="K272" s="80"/>
      <c r="L272" s="80"/>
      <c r="M272" s="80"/>
    </row>
    <row r="273">
      <c r="G273" s="80"/>
      <c r="H273" s="80"/>
      <c r="I273" s="80"/>
      <c r="J273" s="80"/>
      <c r="K273" s="80"/>
      <c r="L273" s="80"/>
      <c r="M273" s="80"/>
    </row>
    <row r="274">
      <c r="G274" s="80"/>
      <c r="H274" s="80"/>
      <c r="I274" s="80"/>
      <c r="J274" s="80"/>
      <c r="K274" s="80"/>
      <c r="L274" s="80"/>
      <c r="M274" s="80"/>
    </row>
    <row r="275">
      <c r="G275" s="80"/>
      <c r="H275" s="80"/>
      <c r="I275" s="80"/>
      <c r="J275" s="80"/>
      <c r="K275" s="80"/>
      <c r="L275" s="80"/>
      <c r="M275" s="80"/>
    </row>
    <row r="276">
      <c r="G276" s="80"/>
      <c r="H276" s="80"/>
      <c r="I276" s="80"/>
      <c r="J276" s="80"/>
      <c r="K276" s="80"/>
      <c r="L276" s="80"/>
      <c r="M276" s="80"/>
    </row>
    <row r="277">
      <c r="G277" s="80"/>
      <c r="H277" s="80"/>
      <c r="I277" s="80"/>
      <c r="J277" s="80"/>
      <c r="K277" s="80"/>
      <c r="L277" s="80"/>
      <c r="M277" s="80"/>
    </row>
    <row r="278">
      <c r="G278" s="80"/>
      <c r="H278" s="80"/>
      <c r="I278" s="80"/>
      <c r="J278" s="80"/>
      <c r="K278" s="80"/>
      <c r="L278" s="80"/>
      <c r="M278" s="80"/>
    </row>
    <row r="279">
      <c r="G279" s="80"/>
      <c r="H279" s="80"/>
      <c r="I279" s="80"/>
      <c r="J279" s="80"/>
      <c r="K279" s="80"/>
      <c r="L279" s="80"/>
      <c r="M279" s="80"/>
    </row>
    <row r="280">
      <c r="G280" s="80"/>
      <c r="H280" s="80"/>
      <c r="I280" s="80"/>
      <c r="J280" s="80"/>
      <c r="K280" s="80"/>
      <c r="L280" s="80"/>
      <c r="M280" s="80"/>
    </row>
    <row r="281">
      <c r="G281" s="80"/>
      <c r="H281" s="80"/>
      <c r="I281" s="80"/>
      <c r="J281" s="80"/>
      <c r="K281" s="80"/>
      <c r="L281" s="80"/>
      <c r="M281" s="80"/>
    </row>
    <row r="282">
      <c r="G282" s="80"/>
      <c r="H282" s="80"/>
      <c r="I282" s="80"/>
      <c r="J282" s="80"/>
      <c r="K282" s="80"/>
      <c r="L282" s="80"/>
      <c r="M282" s="80"/>
    </row>
    <row r="283">
      <c r="G283" s="80"/>
      <c r="H283" s="80"/>
      <c r="I283" s="80"/>
      <c r="J283" s="80"/>
      <c r="K283" s="80"/>
      <c r="L283" s="80"/>
      <c r="M283" s="80"/>
    </row>
    <row r="284">
      <c r="G284" s="80"/>
      <c r="H284" s="80"/>
      <c r="I284" s="80"/>
      <c r="J284" s="80"/>
      <c r="K284" s="80"/>
      <c r="L284" s="80"/>
      <c r="M284" s="80"/>
    </row>
    <row r="285">
      <c r="G285" s="80"/>
      <c r="H285" s="80"/>
      <c r="I285" s="80"/>
      <c r="J285" s="80"/>
      <c r="K285" s="80"/>
      <c r="L285" s="80"/>
      <c r="M285" s="80"/>
    </row>
    <row r="286">
      <c r="G286" s="80"/>
      <c r="H286" s="80"/>
      <c r="I286" s="80"/>
      <c r="J286" s="80"/>
      <c r="K286" s="80"/>
      <c r="L286" s="80"/>
      <c r="M286" s="80"/>
    </row>
    <row r="287">
      <c r="G287" s="80"/>
      <c r="H287" s="80"/>
      <c r="I287" s="80"/>
      <c r="J287" s="80"/>
      <c r="K287" s="80"/>
      <c r="L287" s="80"/>
      <c r="M287" s="80"/>
    </row>
    <row r="288">
      <c r="G288" s="80"/>
      <c r="H288" s="80"/>
      <c r="I288" s="80"/>
      <c r="J288" s="80"/>
      <c r="K288" s="80"/>
      <c r="L288" s="80"/>
      <c r="M288" s="80"/>
    </row>
    <row r="289">
      <c r="G289" s="80"/>
      <c r="H289" s="80"/>
      <c r="I289" s="80"/>
      <c r="J289" s="80"/>
      <c r="K289" s="80"/>
      <c r="L289" s="80"/>
      <c r="M289" s="80"/>
    </row>
    <row r="290">
      <c r="G290" s="80"/>
      <c r="H290" s="80"/>
      <c r="I290" s="80"/>
      <c r="J290" s="80"/>
      <c r="K290" s="80"/>
      <c r="L290" s="80"/>
      <c r="M290" s="80"/>
    </row>
    <row r="291">
      <c r="G291" s="80"/>
      <c r="H291" s="80"/>
      <c r="I291" s="80"/>
      <c r="J291" s="80"/>
      <c r="K291" s="80"/>
      <c r="L291" s="80"/>
      <c r="M291" s="80"/>
    </row>
    <row r="292">
      <c r="G292" s="80"/>
      <c r="H292" s="80"/>
      <c r="I292" s="80"/>
      <c r="J292" s="80"/>
      <c r="K292" s="80"/>
      <c r="L292" s="80"/>
      <c r="M292" s="80"/>
    </row>
    <row r="293">
      <c r="G293" s="80"/>
      <c r="H293" s="80"/>
      <c r="I293" s="80"/>
      <c r="J293" s="80"/>
      <c r="K293" s="80"/>
      <c r="L293" s="80"/>
      <c r="M293" s="80"/>
    </row>
    <row r="294">
      <c r="G294" s="80"/>
      <c r="H294" s="80"/>
      <c r="I294" s="80"/>
      <c r="J294" s="80"/>
      <c r="K294" s="80"/>
      <c r="L294" s="80"/>
      <c r="M294" s="80"/>
    </row>
    <row r="295">
      <c r="G295" s="80"/>
      <c r="H295" s="80"/>
      <c r="I295" s="80"/>
      <c r="J295" s="80"/>
      <c r="K295" s="80"/>
      <c r="L295" s="80"/>
      <c r="M295" s="80"/>
    </row>
    <row r="296">
      <c r="G296" s="80"/>
      <c r="H296" s="80"/>
      <c r="I296" s="80"/>
      <c r="J296" s="80"/>
      <c r="K296" s="80"/>
      <c r="L296" s="80"/>
      <c r="M296" s="80"/>
    </row>
    <row r="297">
      <c r="G297" s="80"/>
      <c r="H297" s="80"/>
      <c r="I297" s="80"/>
      <c r="J297" s="80"/>
      <c r="K297" s="80"/>
      <c r="L297" s="80"/>
      <c r="M297" s="80"/>
    </row>
    <row r="298">
      <c r="G298" s="80"/>
      <c r="H298" s="80"/>
      <c r="I298" s="80"/>
      <c r="J298" s="80"/>
      <c r="K298" s="80"/>
      <c r="L298" s="80"/>
      <c r="M298" s="80"/>
    </row>
    <row r="299">
      <c r="G299" s="80"/>
      <c r="H299" s="80"/>
      <c r="I299" s="80"/>
      <c r="J299" s="80"/>
      <c r="K299" s="80"/>
      <c r="L299" s="80"/>
      <c r="M299" s="80"/>
    </row>
    <row r="300">
      <c r="G300" s="80"/>
      <c r="H300" s="80"/>
      <c r="I300" s="80"/>
      <c r="J300" s="80"/>
      <c r="K300" s="80"/>
      <c r="L300" s="80"/>
      <c r="M300" s="80"/>
    </row>
    <row r="301">
      <c r="G301" s="80"/>
      <c r="H301" s="80"/>
      <c r="I301" s="80"/>
      <c r="J301" s="80"/>
      <c r="K301" s="80"/>
      <c r="L301" s="80"/>
      <c r="M301" s="80"/>
    </row>
    <row r="302">
      <c r="G302" s="80"/>
      <c r="H302" s="80"/>
      <c r="I302" s="80"/>
      <c r="J302" s="80"/>
      <c r="K302" s="80"/>
      <c r="L302" s="80"/>
      <c r="M302" s="80"/>
    </row>
    <row r="303">
      <c r="G303" s="80"/>
      <c r="H303" s="80"/>
      <c r="I303" s="80"/>
      <c r="J303" s="80"/>
      <c r="K303" s="80"/>
      <c r="L303" s="80"/>
      <c r="M303" s="80"/>
    </row>
    <row r="304">
      <c r="G304" s="80"/>
      <c r="H304" s="80"/>
      <c r="I304" s="80"/>
      <c r="J304" s="80"/>
      <c r="K304" s="80"/>
      <c r="L304" s="80"/>
      <c r="M304" s="80"/>
    </row>
    <row r="305">
      <c r="G305" s="80"/>
      <c r="H305" s="80"/>
      <c r="I305" s="80"/>
      <c r="J305" s="80"/>
      <c r="K305" s="80"/>
      <c r="L305" s="80"/>
      <c r="M305" s="80"/>
    </row>
    <row r="306">
      <c r="G306" s="80"/>
      <c r="H306" s="80"/>
      <c r="I306" s="80"/>
      <c r="J306" s="80"/>
      <c r="K306" s="80"/>
      <c r="L306" s="80"/>
      <c r="M306" s="80"/>
    </row>
    <row r="307">
      <c r="G307" s="80"/>
      <c r="H307" s="80"/>
      <c r="I307" s="80"/>
      <c r="J307" s="80"/>
      <c r="K307" s="80"/>
      <c r="L307" s="80"/>
      <c r="M307" s="80"/>
    </row>
    <row r="308">
      <c r="G308" s="80"/>
      <c r="H308" s="80"/>
      <c r="I308" s="80"/>
      <c r="J308" s="80"/>
      <c r="K308" s="80"/>
      <c r="L308" s="80"/>
      <c r="M308" s="80"/>
    </row>
    <row r="309">
      <c r="G309" s="80"/>
      <c r="H309" s="80"/>
      <c r="I309" s="80"/>
      <c r="J309" s="80"/>
      <c r="K309" s="80"/>
      <c r="L309" s="80"/>
      <c r="M309" s="80"/>
    </row>
    <row r="310">
      <c r="G310" s="80"/>
      <c r="H310" s="80"/>
      <c r="I310" s="80"/>
      <c r="J310" s="80"/>
      <c r="K310" s="80"/>
      <c r="L310" s="80"/>
      <c r="M310" s="80"/>
    </row>
    <row r="311">
      <c r="G311" s="80"/>
      <c r="H311" s="80"/>
      <c r="I311" s="80"/>
      <c r="J311" s="80"/>
      <c r="K311" s="80"/>
      <c r="L311" s="80"/>
      <c r="M311" s="80"/>
    </row>
    <row r="312">
      <c r="G312" s="80"/>
      <c r="H312" s="80"/>
      <c r="I312" s="80"/>
      <c r="J312" s="80"/>
      <c r="K312" s="80"/>
      <c r="L312" s="80"/>
      <c r="M312" s="80"/>
    </row>
    <row r="313">
      <c r="G313" s="80"/>
      <c r="H313" s="80"/>
      <c r="I313" s="80"/>
      <c r="J313" s="80"/>
      <c r="K313" s="80"/>
      <c r="L313" s="80"/>
      <c r="M313" s="80"/>
    </row>
    <row r="314">
      <c r="G314" s="80"/>
      <c r="H314" s="80"/>
      <c r="I314" s="80"/>
      <c r="J314" s="80"/>
      <c r="K314" s="80"/>
      <c r="L314" s="80"/>
      <c r="M314" s="80"/>
    </row>
    <row r="315">
      <c r="G315" s="80"/>
      <c r="H315" s="80"/>
      <c r="I315" s="80"/>
      <c r="J315" s="80"/>
      <c r="K315" s="80"/>
      <c r="L315" s="80"/>
      <c r="M315" s="80"/>
    </row>
    <row r="316">
      <c r="G316" s="80"/>
      <c r="H316" s="80"/>
      <c r="I316" s="80"/>
      <c r="J316" s="80"/>
      <c r="K316" s="80"/>
      <c r="L316" s="80"/>
      <c r="M316" s="80"/>
    </row>
    <row r="317">
      <c r="G317" s="80"/>
      <c r="H317" s="80"/>
      <c r="I317" s="80"/>
      <c r="J317" s="80"/>
      <c r="K317" s="80"/>
      <c r="L317" s="80"/>
      <c r="M317" s="80"/>
    </row>
    <row r="318">
      <c r="G318" s="80"/>
      <c r="H318" s="80"/>
      <c r="I318" s="80"/>
      <c r="J318" s="80"/>
      <c r="K318" s="80"/>
      <c r="L318" s="80"/>
      <c r="M318" s="80"/>
    </row>
    <row r="319">
      <c r="G319" s="80"/>
      <c r="H319" s="80"/>
      <c r="I319" s="80"/>
      <c r="J319" s="80"/>
      <c r="K319" s="80"/>
      <c r="L319" s="80"/>
      <c r="M319" s="80"/>
    </row>
    <row r="320">
      <c r="G320" s="80"/>
      <c r="H320" s="80"/>
      <c r="I320" s="80"/>
      <c r="J320" s="80"/>
      <c r="K320" s="80"/>
      <c r="L320" s="80"/>
      <c r="M320" s="80"/>
    </row>
    <row r="321">
      <c r="G321" s="80"/>
      <c r="H321" s="80"/>
      <c r="I321" s="80"/>
      <c r="J321" s="80"/>
      <c r="K321" s="80"/>
      <c r="L321" s="80"/>
      <c r="M321" s="80"/>
    </row>
    <row r="322">
      <c r="G322" s="80"/>
      <c r="H322" s="80"/>
      <c r="I322" s="80"/>
      <c r="J322" s="80"/>
      <c r="K322" s="80"/>
      <c r="L322" s="80"/>
      <c r="M322" s="80"/>
    </row>
    <row r="323">
      <c r="G323" s="80"/>
      <c r="H323" s="80"/>
      <c r="I323" s="80"/>
      <c r="J323" s="80"/>
      <c r="K323" s="80"/>
      <c r="L323" s="80"/>
      <c r="M323" s="80"/>
    </row>
    <row r="324">
      <c r="G324" s="80"/>
      <c r="H324" s="80"/>
      <c r="I324" s="80"/>
      <c r="J324" s="80"/>
      <c r="K324" s="80"/>
      <c r="L324" s="80"/>
      <c r="M324" s="80"/>
    </row>
    <row r="325">
      <c r="G325" s="80"/>
      <c r="H325" s="80"/>
      <c r="I325" s="80"/>
      <c r="J325" s="80"/>
      <c r="K325" s="80"/>
      <c r="L325" s="80"/>
      <c r="M325" s="80"/>
    </row>
    <row r="326">
      <c r="G326" s="80"/>
      <c r="H326" s="80"/>
      <c r="I326" s="80"/>
      <c r="J326" s="80"/>
      <c r="K326" s="80"/>
      <c r="L326" s="80"/>
      <c r="M326" s="80"/>
    </row>
    <row r="327">
      <c r="G327" s="80"/>
      <c r="H327" s="80"/>
      <c r="I327" s="80"/>
      <c r="J327" s="80"/>
      <c r="K327" s="80"/>
      <c r="L327" s="80"/>
      <c r="M327" s="80"/>
    </row>
    <row r="328">
      <c r="G328" s="80"/>
      <c r="H328" s="80"/>
      <c r="I328" s="80"/>
      <c r="J328" s="80"/>
      <c r="K328" s="80"/>
      <c r="L328" s="80"/>
      <c r="M328" s="80"/>
    </row>
    <row r="329">
      <c r="G329" s="80"/>
      <c r="H329" s="80"/>
      <c r="I329" s="80"/>
      <c r="J329" s="80"/>
      <c r="K329" s="80"/>
      <c r="L329" s="80"/>
      <c r="M329" s="80"/>
    </row>
    <row r="330">
      <c r="G330" s="80"/>
      <c r="H330" s="80"/>
      <c r="I330" s="80"/>
      <c r="J330" s="80"/>
      <c r="K330" s="80"/>
      <c r="L330" s="80"/>
      <c r="M330" s="80"/>
    </row>
    <row r="331">
      <c r="G331" s="80"/>
      <c r="H331" s="80"/>
      <c r="I331" s="80"/>
      <c r="J331" s="80"/>
      <c r="K331" s="80"/>
      <c r="L331" s="80"/>
      <c r="M331" s="80"/>
    </row>
    <row r="332">
      <c r="G332" s="80"/>
      <c r="H332" s="80"/>
      <c r="I332" s="80"/>
      <c r="J332" s="80"/>
      <c r="K332" s="80"/>
      <c r="L332" s="80"/>
      <c r="M332" s="80"/>
    </row>
    <row r="333">
      <c r="G333" s="80"/>
      <c r="H333" s="80"/>
      <c r="I333" s="80"/>
      <c r="J333" s="80"/>
      <c r="K333" s="80"/>
      <c r="L333" s="80"/>
      <c r="M333" s="80"/>
    </row>
    <row r="334">
      <c r="G334" s="80"/>
      <c r="H334" s="80"/>
      <c r="I334" s="80"/>
      <c r="J334" s="80"/>
      <c r="K334" s="80"/>
      <c r="L334" s="80"/>
      <c r="M334" s="80"/>
    </row>
    <row r="335">
      <c r="G335" s="80"/>
      <c r="H335" s="80"/>
      <c r="I335" s="80"/>
      <c r="J335" s="80"/>
      <c r="K335" s="80"/>
      <c r="L335" s="80"/>
      <c r="M335" s="80"/>
    </row>
    <row r="336">
      <c r="G336" s="80"/>
      <c r="H336" s="80"/>
      <c r="I336" s="80"/>
      <c r="J336" s="80"/>
      <c r="K336" s="80"/>
      <c r="L336" s="80"/>
      <c r="M336" s="80"/>
    </row>
    <row r="337">
      <c r="G337" s="80"/>
      <c r="H337" s="80"/>
      <c r="I337" s="80"/>
      <c r="J337" s="80"/>
      <c r="K337" s="80"/>
      <c r="L337" s="80"/>
      <c r="M337" s="80"/>
    </row>
    <row r="338">
      <c r="G338" s="80"/>
      <c r="H338" s="80"/>
      <c r="I338" s="80"/>
      <c r="J338" s="80"/>
      <c r="K338" s="80"/>
      <c r="L338" s="80"/>
      <c r="M338" s="80"/>
    </row>
    <row r="339">
      <c r="G339" s="80"/>
      <c r="H339" s="80"/>
      <c r="I339" s="80"/>
      <c r="J339" s="80"/>
      <c r="K339" s="80"/>
      <c r="L339" s="80"/>
      <c r="M339" s="80"/>
    </row>
    <row r="340">
      <c r="G340" s="80"/>
      <c r="H340" s="80"/>
      <c r="I340" s="80"/>
      <c r="J340" s="80"/>
      <c r="K340" s="80"/>
      <c r="L340" s="80"/>
      <c r="M340" s="80"/>
    </row>
    <row r="341">
      <c r="G341" s="80"/>
      <c r="H341" s="80"/>
      <c r="I341" s="80"/>
      <c r="J341" s="80"/>
      <c r="K341" s="80"/>
      <c r="L341" s="80"/>
      <c r="M341" s="80"/>
    </row>
    <row r="342">
      <c r="G342" s="80"/>
      <c r="H342" s="80"/>
      <c r="I342" s="80"/>
      <c r="J342" s="80"/>
      <c r="K342" s="80"/>
      <c r="L342" s="80"/>
      <c r="M342" s="80"/>
    </row>
    <row r="343">
      <c r="G343" s="80"/>
      <c r="H343" s="80"/>
      <c r="I343" s="80"/>
      <c r="J343" s="80"/>
      <c r="K343" s="80"/>
      <c r="L343" s="80"/>
      <c r="M343" s="80"/>
    </row>
    <row r="344">
      <c r="G344" s="80"/>
      <c r="H344" s="80"/>
      <c r="I344" s="80"/>
      <c r="J344" s="80"/>
      <c r="K344" s="80"/>
      <c r="L344" s="80"/>
      <c r="M344" s="80"/>
    </row>
    <row r="345">
      <c r="G345" s="80"/>
      <c r="H345" s="80"/>
      <c r="I345" s="80"/>
      <c r="J345" s="80"/>
      <c r="K345" s="80"/>
      <c r="L345" s="80"/>
      <c r="M345" s="80"/>
    </row>
    <row r="346">
      <c r="G346" s="80"/>
      <c r="H346" s="80"/>
      <c r="I346" s="80"/>
      <c r="J346" s="80"/>
      <c r="K346" s="80"/>
      <c r="L346" s="80"/>
      <c r="M346" s="80"/>
    </row>
    <row r="347">
      <c r="G347" s="80"/>
      <c r="H347" s="80"/>
      <c r="I347" s="80"/>
      <c r="J347" s="80"/>
      <c r="K347" s="80"/>
      <c r="L347" s="80"/>
      <c r="M347" s="80"/>
    </row>
    <row r="348">
      <c r="G348" s="80"/>
      <c r="H348" s="80"/>
      <c r="I348" s="80"/>
      <c r="J348" s="80"/>
      <c r="K348" s="80"/>
      <c r="L348" s="80"/>
      <c r="M348" s="80"/>
    </row>
    <row r="349">
      <c r="G349" s="80"/>
      <c r="H349" s="80"/>
      <c r="I349" s="80"/>
      <c r="J349" s="80"/>
      <c r="K349" s="80"/>
      <c r="L349" s="80"/>
      <c r="M349" s="80"/>
    </row>
    <row r="350">
      <c r="G350" s="80"/>
      <c r="H350" s="80"/>
      <c r="I350" s="80"/>
      <c r="J350" s="80"/>
      <c r="K350" s="80"/>
      <c r="L350" s="80"/>
      <c r="M350" s="80"/>
    </row>
    <row r="351">
      <c r="G351" s="80"/>
      <c r="H351" s="80"/>
      <c r="I351" s="80"/>
      <c r="J351" s="80"/>
      <c r="K351" s="80"/>
      <c r="L351" s="80"/>
      <c r="M351" s="80"/>
    </row>
    <row r="352">
      <c r="G352" s="80"/>
      <c r="H352" s="80"/>
      <c r="I352" s="80"/>
      <c r="J352" s="80"/>
      <c r="K352" s="80"/>
      <c r="L352" s="80"/>
      <c r="M352" s="80"/>
    </row>
    <row r="353">
      <c r="G353" s="80"/>
      <c r="H353" s="80"/>
      <c r="I353" s="80"/>
      <c r="J353" s="80"/>
      <c r="K353" s="80"/>
      <c r="L353" s="80"/>
      <c r="M353" s="80"/>
    </row>
    <row r="354">
      <c r="G354" s="80"/>
      <c r="H354" s="80"/>
      <c r="I354" s="80"/>
      <c r="J354" s="80"/>
      <c r="K354" s="80"/>
      <c r="L354" s="80"/>
      <c r="M354" s="80"/>
    </row>
    <row r="355">
      <c r="G355" s="80"/>
      <c r="H355" s="80"/>
      <c r="I355" s="80"/>
      <c r="J355" s="80"/>
      <c r="K355" s="80"/>
      <c r="L355" s="80"/>
      <c r="M355" s="80"/>
    </row>
    <row r="356">
      <c r="G356" s="80"/>
      <c r="H356" s="80"/>
      <c r="I356" s="80"/>
      <c r="J356" s="80"/>
      <c r="K356" s="80"/>
      <c r="L356" s="80"/>
      <c r="M356" s="80"/>
    </row>
    <row r="357">
      <c r="G357" s="80"/>
      <c r="H357" s="80"/>
      <c r="I357" s="80"/>
      <c r="J357" s="80"/>
      <c r="K357" s="80"/>
      <c r="L357" s="80"/>
      <c r="M357" s="80"/>
    </row>
    <row r="358">
      <c r="G358" s="80"/>
      <c r="H358" s="80"/>
      <c r="I358" s="80"/>
      <c r="J358" s="80"/>
      <c r="K358" s="80"/>
      <c r="L358" s="80"/>
      <c r="M358" s="80"/>
    </row>
    <row r="359">
      <c r="G359" s="80"/>
      <c r="H359" s="80"/>
      <c r="I359" s="80"/>
      <c r="J359" s="80"/>
      <c r="K359" s="80"/>
      <c r="L359" s="80"/>
      <c r="M359" s="80"/>
    </row>
    <row r="360">
      <c r="G360" s="80"/>
      <c r="H360" s="80"/>
      <c r="I360" s="80"/>
      <c r="J360" s="80"/>
      <c r="K360" s="80"/>
      <c r="L360" s="80"/>
      <c r="M360" s="80"/>
    </row>
    <row r="361">
      <c r="G361" s="80"/>
      <c r="H361" s="80"/>
      <c r="I361" s="80"/>
      <c r="J361" s="80"/>
      <c r="K361" s="80"/>
      <c r="L361" s="80"/>
      <c r="M361" s="80"/>
    </row>
    <row r="362">
      <c r="G362" s="80"/>
      <c r="H362" s="80"/>
      <c r="I362" s="80"/>
      <c r="J362" s="80"/>
      <c r="K362" s="80"/>
      <c r="L362" s="80"/>
      <c r="M362" s="80"/>
    </row>
    <row r="363">
      <c r="G363" s="80"/>
      <c r="H363" s="80"/>
      <c r="I363" s="80"/>
      <c r="J363" s="80"/>
      <c r="K363" s="80"/>
      <c r="L363" s="80"/>
      <c r="M363" s="80"/>
    </row>
    <row r="364">
      <c r="G364" s="80"/>
      <c r="H364" s="80"/>
      <c r="I364" s="80"/>
      <c r="J364" s="80"/>
      <c r="K364" s="80"/>
      <c r="L364" s="80"/>
      <c r="M364" s="80"/>
    </row>
    <row r="365">
      <c r="G365" s="80"/>
      <c r="H365" s="80"/>
      <c r="I365" s="80"/>
      <c r="J365" s="80"/>
      <c r="K365" s="80"/>
      <c r="L365" s="80"/>
      <c r="M365" s="80"/>
    </row>
    <row r="366">
      <c r="G366" s="80"/>
      <c r="H366" s="80"/>
      <c r="I366" s="80"/>
      <c r="J366" s="80"/>
      <c r="K366" s="80"/>
      <c r="L366" s="80"/>
      <c r="M366" s="80"/>
    </row>
    <row r="367">
      <c r="G367" s="80"/>
      <c r="H367" s="80"/>
      <c r="I367" s="80"/>
      <c r="J367" s="80"/>
      <c r="K367" s="80"/>
      <c r="L367" s="80"/>
      <c r="M367" s="80"/>
    </row>
    <row r="368">
      <c r="G368" s="80"/>
      <c r="H368" s="80"/>
      <c r="I368" s="80"/>
      <c r="J368" s="80"/>
      <c r="K368" s="80"/>
      <c r="L368" s="80"/>
      <c r="M368" s="80"/>
    </row>
    <row r="369">
      <c r="G369" s="80"/>
      <c r="H369" s="80"/>
      <c r="I369" s="80"/>
      <c r="J369" s="80"/>
      <c r="K369" s="80"/>
      <c r="L369" s="80"/>
      <c r="M369" s="80"/>
    </row>
    <row r="370">
      <c r="G370" s="80"/>
      <c r="H370" s="80"/>
      <c r="I370" s="80"/>
      <c r="J370" s="80"/>
      <c r="K370" s="80"/>
      <c r="L370" s="80"/>
      <c r="M370" s="80"/>
    </row>
    <row r="371">
      <c r="G371" s="80"/>
      <c r="H371" s="80"/>
      <c r="I371" s="80"/>
      <c r="J371" s="80"/>
      <c r="K371" s="80"/>
      <c r="L371" s="80"/>
      <c r="M371" s="80"/>
    </row>
    <row r="372">
      <c r="G372" s="80"/>
      <c r="H372" s="80"/>
      <c r="I372" s="80"/>
      <c r="J372" s="80"/>
      <c r="K372" s="80"/>
      <c r="L372" s="80"/>
      <c r="M372" s="80"/>
    </row>
    <row r="373">
      <c r="G373" s="80"/>
      <c r="H373" s="80"/>
      <c r="I373" s="80"/>
      <c r="J373" s="80"/>
      <c r="K373" s="80"/>
      <c r="L373" s="80"/>
      <c r="M373" s="80"/>
    </row>
    <row r="374">
      <c r="G374" s="80"/>
      <c r="H374" s="80"/>
      <c r="I374" s="80"/>
      <c r="J374" s="80"/>
      <c r="K374" s="80"/>
      <c r="L374" s="80"/>
      <c r="M374" s="80"/>
    </row>
    <row r="375">
      <c r="G375" s="80"/>
      <c r="H375" s="80"/>
      <c r="I375" s="80"/>
      <c r="J375" s="80"/>
      <c r="K375" s="80"/>
      <c r="L375" s="80"/>
      <c r="M375" s="80"/>
    </row>
    <row r="376">
      <c r="G376" s="80"/>
      <c r="H376" s="80"/>
      <c r="I376" s="80"/>
      <c r="J376" s="80"/>
      <c r="K376" s="80"/>
      <c r="L376" s="80"/>
      <c r="M376" s="80"/>
    </row>
    <row r="377">
      <c r="G377" s="80"/>
      <c r="H377" s="80"/>
      <c r="I377" s="80"/>
      <c r="J377" s="80"/>
      <c r="K377" s="80"/>
      <c r="L377" s="80"/>
      <c r="M377" s="80"/>
    </row>
    <row r="378">
      <c r="G378" s="80"/>
      <c r="H378" s="80"/>
      <c r="I378" s="80"/>
      <c r="J378" s="80"/>
      <c r="K378" s="80"/>
      <c r="L378" s="80"/>
      <c r="M378" s="80"/>
    </row>
    <row r="379">
      <c r="G379" s="80"/>
      <c r="H379" s="80"/>
      <c r="I379" s="80"/>
      <c r="J379" s="80"/>
      <c r="K379" s="80"/>
      <c r="L379" s="80"/>
      <c r="M379" s="80"/>
    </row>
    <row r="380">
      <c r="G380" s="80"/>
      <c r="H380" s="80"/>
      <c r="I380" s="80"/>
      <c r="J380" s="80"/>
      <c r="K380" s="80"/>
      <c r="L380" s="80"/>
      <c r="M380" s="80"/>
    </row>
    <row r="381">
      <c r="G381" s="80"/>
      <c r="H381" s="80"/>
      <c r="I381" s="80"/>
      <c r="J381" s="80"/>
      <c r="K381" s="80"/>
      <c r="L381" s="80"/>
      <c r="M381" s="80"/>
    </row>
    <row r="382">
      <c r="G382" s="80"/>
      <c r="H382" s="80"/>
      <c r="I382" s="80"/>
      <c r="J382" s="80"/>
      <c r="K382" s="80"/>
      <c r="L382" s="80"/>
      <c r="M382" s="80"/>
    </row>
    <row r="383">
      <c r="G383" s="80"/>
      <c r="H383" s="80"/>
      <c r="I383" s="80"/>
      <c r="J383" s="80"/>
      <c r="K383" s="80"/>
      <c r="L383" s="80"/>
      <c r="M383" s="80"/>
    </row>
    <row r="384">
      <c r="G384" s="80"/>
      <c r="H384" s="80"/>
      <c r="I384" s="80"/>
      <c r="J384" s="80"/>
      <c r="K384" s="80"/>
      <c r="L384" s="80"/>
      <c r="M384" s="80"/>
    </row>
    <row r="385">
      <c r="G385" s="80"/>
      <c r="H385" s="80"/>
      <c r="I385" s="80"/>
      <c r="J385" s="80"/>
      <c r="K385" s="80"/>
      <c r="L385" s="80"/>
      <c r="M385" s="80"/>
    </row>
    <row r="386">
      <c r="G386" s="80"/>
      <c r="H386" s="80"/>
      <c r="I386" s="80"/>
      <c r="J386" s="80"/>
      <c r="K386" s="80"/>
      <c r="L386" s="80"/>
      <c r="M386" s="80"/>
    </row>
    <row r="387">
      <c r="G387" s="80"/>
      <c r="H387" s="80"/>
      <c r="I387" s="80"/>
      <c r="J387" s="80"/>
      <c r="K387" s="80"/>
      <c r="L387" s="80"/>
      <c r="M387" s="80"/>
    </row>
    <row r="388">
      <c r="G388" s="80"/>
      <c r="H388" s="80"/>
      <c r="I388" s="80"/>
      <c r="J388" s="80"/>
      <c r="K388" s="80"/>
      <c r="L388" s="80"/>
      <c r="M388" s="80"/>
    </row>
    <row r="389">
      <c r="G389" s="80"/>
      <c r="H389" s="80"/>
      <c r="I389" s="80"/>
      <c r="J389" s="80"/>
      <c r="K389" s="80"/>
      <c r="L389" s="80"/>
      <c r="M389" s="80"/>
    </row>
    <row r="390">
      <c r="G390" s="80"/>
      <c r="H390" s="80"/>
      <c r="I390" s="80"/>
      <c r="J390" s="80"/>
      <c r="K390" s="80"/>
      <c r="L390" s="80"/>
      <c r="M390" s="80"/>
    </row>
    <row r="391">
      <c r="G391" s="80"/>
      <c r="H391" s="80"/>
      <c r="I391" s="80"/>
      <c r="J391" s="80"/>
      <c r="K391" s="80"/>
      <c r="L391" s="80"/>
      <c r="M391" s="80"/>
    </row>
    <row r="392">
      <c r="G392" s="80"/>
      <c r="H392" s="80"/>
      <c r="I392" s="80"/>
      <c r="J392" s="80"/>
      <c r="K392" s="80"/>
      <c r="L392" s="80"/>
      <c r="M392" s="80"/>
    </row>
    <row r="393">
      <c r="G393" s="80"/>
      <c r="H393" s="80"/>
      <c r="I393" s="80"/>
      <c r="J393" s="80"/>
      <c r="K393" s="80"/>
      <c r="L393" s="80"/>
      <c r="M393" s="80"/>
    </row>
    <row r="394">
      <c r="G394" s="80"/>
      <c r="H394" s="80"/>
      <c r="I394" s="80"/>
      <c r="J394" s="80"/>
      <c r="K394" s="80"/>
      <c r="L394" s="80"/>
      <c r="M394" s="80"/>
    </row>
    <row r="395">
      <c r="G395" s="80"/>
      <c r="H395" s="80"/>
      <c r="I395" s="80"/>
      <c r="J395" s="80"/>
      <c r="K395" s="80"/>
      <c r="L395" s="80"/>
      <c r="M395" s="80"/>
    </row>
    <row r="396">
      <c r="G396" s="80"/>
      <c r="H396" s="80"/>
      <c r="I396" s="80"/>
      <c r="J396" s="80"/>
      <c r="K396" s="80"/>
      <c r="L396" s="80"/>
      <c r="M396" s="80"/>
    </row>
    <row r="397">
      <c r="G397" s="80"/>
      <c r="H397" s="80"/>
      <c r="I397" s="80"/>
      <c r="J397" s="80"/>
      <c r="K397" s="80"/>
      <c r="L397" s="80"/>
      <c r="M397" s="80"/>
    </row>
    <row r="398">
      <c r="G398" s="80"/>
      <c r="H398" s="80"/>
      <c r="I398" s="80"/>
      <c r="J398" s="80"/>
      <c r="K398" s="80"/>
      <c r="L398" s="80"/>
      <c r="M398" s="80"/>
    </row>
    <row r="399">
      <c r="G399" s="80"/>
      <c r="H399" s="80"/>
      <c r="I399" s="80"/>
      <c r="J399" s="80"/>
      <c r="K399" s="80"/>
      <c r="L399" s="80"/>
      <c r="M399" s="80"/>
    </row>
    <row r="400">
      <c r="G400" s="80"/>
      <c r="H400" s="80"/>
      <c r="I400" s="80"/>
      <c r="J400" s="80"/>
      <c r="K400" s="80"/>
      <c r="L400" s="80"/>
      <c r="M400" s="80"/>
    </row>
    <row r="401">
      <c r="G401" s="80"/>
      <c r="H401" s="80"/>
      <c r="I401" s="80"/>
      <c r="J401" s="80"/>
      <c r="K401" s="80"/>
      <c r="L401" s="80"/>
      <c r="M401" s="80"/>
    </row>
    <row r="402">
      <c r="G402" s="80"/>
      <c r="H402" s="80"/>
      <c r="I402" s="80"/>
      <c r="J402" s="80"/>
      <c r="K402" s="80"/>
      <c r="L402" s="80"/>
      <c r="M402" s="80"/>
    </row>
    <row r="403">
      <c r="G403" s="80"/>
      <c r="H403" s="80"/>
      <c r="I403" s="80"/>
      <c r="J403" s="80"/>
      <c r="K403" s="80"/>
      <c r="L403" s="80"/>
      <c r="M403" s="80"/>
    </row>
    <row r="404">
      <c r="G404" s="80"/>
      <c r="H404" s="80"/>
      <c r="I404" s="80"/>
      <c r="J404" s="80"/>
      <c r="K404" s="80"/>
      <c r="L404" s="80"/>
      <c r="M404" s="80"/>
    </row>
    <row r="405">
      <c r="G405" s="80"/>
      <c r="H405" s="80"/>
      <c r="I405" s="80"/>
      <c r="J405" s="80"/>
      <c r="K405" s="80"/>
      <c r="L405" s="80"/>
      <c r="M405" s="80"/>
    </row>
    <row r="406">
      <c r="G406" s="80"/>
      <c r="H406" s="80"/>
      <c r="I406" s="80"/>
      <c r="J406" s="80"/>
      <c r="K406" s="80"/>
      <c r="L406" s="80"/>
      <c r="M406" s="80"/>
    </row>
    <row r="407">
      <c r="G407" s="80"/>
      <c r="H407" s="80"/>
      <c r="I407" s="80"/>
      <c r="J407" s="80"/>
      <c r="K407" s="80"/>
      <c r="L407" s="80"/>
      <c r="M407" s="80"/>
    </row>
    <row r="408">
      <c r="G408" s="80"/>
      <c r="H408" s="80"/>
      <c r="I408" s="80"/>
      <c r="J408" s="80"/>
      <c r="K408" s="80"/>
      <c r="L408" s="80"/>
      <c r="M408" s="80"/>
    </row>
    <row r="409">
      <c r="G409" s="80"/>
      <c r="H409" s="80"/>
      <c r="I409" s="80"/>
      <c r="J409" s="80"/>
      <c r="K409" s="80"/>
      <c r="L409" s="80"/>
      <c r="M409" s="80"/>
    </row>
    <row r="410">
      <c r="G410" s="80"/>
      <c r="H410" s="80"/>
      <c r="I410" s="80"/>
      <c r="J410" s="80"/>
      <c r="K410" s="80"/>
      <c r="L410" s="80"/>
      <c r="M410" s="80"/>
    </row>
    <row r="411">
      <c r="G411" s="80"/>
      <c r="H411" s="80"/>
      <c r="I411" s="80"/>
      <c r="J411" s="80"/>
      <c r="K411" s="80"/>
      <c r="L411" s="80"/>
      <c r="M411" s="80"/>
    </row>
    <row r="412">
      <c r="G412" s="80"/>
      <c r="H412" s="80"/>
      <c r="I412" s="80"/>
      <c r="J412" s="80"/>
      <c r="K412" s="80"/>
      <c r="L412" s="80"/>
      <c r="M412" s="80"/>
    </row>
    <row r="413">
      <c r="G413" s="80"/>
      <c r="H413" s="80"/>
      <c r="I413" s="80"/>
      <c r="J413" s="80"/>
      <c r="K413" s="80"/>
      <c r="L413" s="80"/>
      <c r="M413" s="80"/>
    </row>
    <row r="414">
      <c r="G414" s="80"/>
      <c r="H414" s="80"/>
      <c r="I414" s="80"/>
      <c r="J414" s="80"/>
      <c r="K414" s="80"/>
      <c r="L414" s="80"/>
      <c r="M414" s="80"/>
    </row>
    <row r="415">
      <c r="G415" s="80"/>
      <c r="H415" s="80"/>
      <c r="I415" s="80"/>
      <c r="J415" s="80"/>
      <c r="K415" s="80"/>
      <c r="L415" s="80"/>
      <c r="M415" s="80"/>
    </row>
    <row r="416">
      <c r="G416" s="80"/>
      <c r="H416" s="80"/>
      <c r="I416" s="80"/>
      <c r="J416" s="80"/>
      <c r="K416" s="80"/>
      <c r="L416" s="80"/>
      <c r="M416" s="80"/>
    </row>
    <row r="417">
      <c r="G417" s="80"/>
      <c r="H417" s="80"/>
      <c r="I417" s="80"/>
      <c r="J417" s="80"/>
      <c r="K417" s="80"/>
      <c r="L417" s="80"/>
      <c r="M417" s="80"/>
    </row>
    <row r="418">
      <c r="G418" s="80"/>
      <c r="H418" s="80"/>
      <c r="I418" s="80"/>
      <c r="J418" s="80"/>
      <c r="K418" s="80"/>
      <c r="L418" s="80"/>
      <c r="M418" s="80"/>
    </row>
    <row r="419">
      <c r="G419" s="80"/>
      <c r="H419" s="80"/>
      <c r="I419" s="80"/>
      <c r="J419" s="80"/>
      <c r="K419" s="80"/>
      <c r="L419" s="80"/>
      <c r="M419" s="80"/>
    </row>
    <row r="420">
      <c r="G420" s="80"/>
      <c r="H420" s="80"/>
      <c r="I420" s="80"/>
      <c r="J420" s="80"/>
      <c r="K420" s="80"/>
      <c r="L420" s="80"/>
      <c r="M420" s="80"/>
    </row>
    <row r="421">
      <c r="G421" s="80"/>
      <c r="H421" s="80"/>
      <c r="I421" s="80"/>
      <c r="J421" s="80"/>
      <c r="K421" s="80"/>
      <c r="L421" s="80"/>
      <c r="M421" s="80"/>
    </row>
    <row r="422">
      <c r="G422" s="80"/>
      <c r="H422" s="80"/>
      <c r="I422" s="80"/>
      <c r="J422" s="80"/>
      <c r="K422" s="80"/>
      <c r="L422" s="80"/>
      <c r="M422" s="80"/>
    </row>
    <row r="423">
      <c r="G423" s="80"/>
      <c r="H423" s="80"/>
      <c r="I423" s="80"/>
      <c r="J423" s="80"/>
      <c r="K423" s="80"/>
      <c r="L423" s="80"/>
      <c r="M423" s="80"/>
    </row>
    <row r="424">
      <c r="G424" s="80"/>
      <c r="H424" s="80"/>
      <c r="I424" s="80"/>
      <c r="J424" s="80"/>
      <c r="K424" s="80"/>
      <c r="L424" s="80"/>
      <c r="M424" s="80"/>
    </row>
    <row r="425">
      <c r="G425" s="80"/>
      <c r="H425" s="80"/>
      <c r="I425" s="80"/>
      <c r="J425" s="80"/>
      <c r="K425" s="80"/>
      <c r="L425" s="80"/>
      <c r="M425" s="80"/>
    </row>
    <row r="426">
      <c r="G426" s="80"/>
      <c r="H426" s="80"/>
      <c r="I426" s="80"/>
      <c r="J426" s="80"/>
      <c r="K426" s="80"/>
      <c r="L426" s="80"/>
      <c r="M426" s="80"/>
    </row>
    <row r="427">
      <c r="G427" s="80"/>
      <c r="H427" s="80"/>
      <c r="I427" s="80"/>
      <c r="J427" s="80"/>
      <c r="K427" s="80"/>
      <c r="L427" s="80"/>
      <c r="M427" s="80"/>
    </row>
    <row r="428">
      <c r="G428" s="80"/>
      <c r="H428" s="80"/>
      <c r="I428" s="80"/>
      <c r="J428" s="80"/>
      <c r="K428" s="80"/>
      <c r="L428" s="80"/>
      <c r="M428" s="80"/>
    </row>
    <row r="429">
      <c r="G429" s="80"/>
      <c r="H429" s="80"/>
      <c r="I429" s="80"/>
      <c r="J429" s="80"/>
      <c r="K429" s="80"/>
      <c r="L429" s="80"/>
      <c r="M429" s="80"/>
    </row>
    <row r="430">
      <c r="G430" s="80"/>
      <c r="H430" s="80"/>
      <c r="I430" s="80"/>
      <c r="J430" s="80"/>
      <c r="K430" s="80"/>
      <c r="L430" s="80"/>
      <c r="M430" s="80"/>
    </row>
    <row r="431">
      <c r="G431" s="80"/>
      <c r="H431" s="80"/>
      <c r="I431" s="80"/>
      <c r="J431" s="80"/>
      <c r="K431" s="80"/>
      <c r="L431" s="80"/>
      <c r="M431" s="80"/>
    </row>
    <row r="432">
      <c r="G432" s="80"/>
      <c r="H432" s="80"/>
      <c r="I432" s="80"/>
      <c r="J432" s="80"/>
      <c r="K432" s="80"/>
      <c r="L432" s="80"/>
      <c r="M432" s="80"/>
    </row>
    <row r="433">
      <c r="G433" s="80"/>
      <c r="H433" s="80"/>
      <c r="I433" s="80"/>
      <c r="J433" s="80"/>
      <c r="K433" s="80"/>
      <c r="L433" s="80"/>
      <c r="M433" s="80"/>
    </row>
    <row r="434">
      <c r="G434" s="80"/>
      <c r="H434" s="80"/>
      <c r="I434" s="80"/>
      <c r="J434" s="80"/>
      <c r="K434" s="80"/>
      <c r="L434" s="80"/>
      <c r="M434" s="80"/>
    </row>
    <row r="435">
      <c r="G435" s="80"/>
      <c r="H435" s="80"/>
      <c r="I435" s="80"/>
      <c r="J435" s="80"/>
      <c r="K435" s="80"/>
      <c r="L435" s="80"/>
      <c r="M435" s="80"/>
    </row>
    <row r="436">
      <c r="G436" s="80"/>
      <c r="H436" s="80"/>
      <c r="I436" s="80"/>
      <c r="J436" s="80"/>
      <c r="K436" s="80"/>
      <c r="L436" s="80"/>
      <c r="M436" s="80"/>
    </row>
    <row r="437">
      <c r="G437" s="80"/>
      <c r="H437" s="80"/>
      <c r="I437" s="80"/>
      <c r="J437" s="80"/>
      <c r="K437" s="80"/>
      <c r="L437" s="80"/>
      <c r="M437" s="80"/>
    </row>
    <row r="438">
      <c r="G438" s="80"/>
      <c r="H438" s="80"/>
      <c r="I438" s="80"/>
      <c r="J438" s="80"/>
      <c r="K438" s="80"/>
      <c r="L438" s="80"/>
      <c r="M438" s="80"/>
    </row>
    <row r="439">
      <c r="G439" s="80"/>
      <c r="H439" s="80"/>
      <c r="I439" s="80"/>
      <c r="J439" s="80"/>
      <c r="K439" s="80"/>
      <c r="L439" s="80"/>
      <c r="M439" s="80"/>
    </row>
    <row r="440">
      <c r="G440" s="80"/>
      <c r="H440" s="80"/>
      <c r="I440" s="80"/>
      <c r="J440" s="80"/>
      <c r="K440" s="80"/>
      <c r="L440" s="80"/>
      <c r="M440" s="80"/>
    </row>
    <row r="441">
      <c r="G441" s="80"/>
      <c r="H441" s="80"/>
      <c r="I441" s="80"/>
      <c r="J441" s="80"/>
      <c r="K441" s="80"/>
      <c r="L441" s="80"/>
      <c r="M441" s="80"/>
    </row>
    <row r="442">
      <c r="G442" s="80"/>
      <c r="H442" s="80"/>
      <c r="I442" s="80"/>
      <c r="J442" s="80"/>
      <c r="K442" s="80"/>
      <c r="L442" s="80"/>
      <c r="M442" s="80"/>
    </row>
    <row r="443">
      <c r="G443" s="80"/>
      <c r="H443" s="80"/>
      <c r="I443" s="80"/>
      <c r="J443" s="80"/>
      <c r="K443" s="80"/>
      <c r="L443" s="80"/>
      <c r="M443" s="80"/>
    </row>
    <row r="444">
      <c r="G444" s="80"/>
      <c r="H444" s="80"/>
      <c r="I444" s="80"/>
      <c r="J444" s="80"/>
      <c r="K444" s="80"/>
      <c r="L444" s="80"/>
      <c r="M444" s="80"/>
    </row>
    <row r="445">
      <c r="G445" s="80"/>
      <c r="H445" s="80"/>
      <c r="I445" s="80"/>
      <c r="J445" s="80"/>
      <c r="K445" s="80"/>
      <c r="L445" s="80"/>
      <c r="M445" s="80"/>
    </row>
    <row r="446">
      <c r="G446" s="80"/>
      <c r="H446" s="80"/>
      <c r="I446" s="80"/>
      <c r="J446" s="80"/>
      <c r="K446" s="80"/>
      <c r="L446" s="80"/>
      <c r="M446" s="80"/>
    </row>
    <row r="447">
      <c r="G447" s="80"/>
      <c r="H447" s="80"/>
      <c r="I447" s="80"/>
      <c r="J447" s="80"/>
      <c r="K447" s="80"/>
      <c r="L447" s="80"/>
      <c r="M447" s="80"/>
    </row>
    <row r="448">
      <c r="G448" s="80"/>
      <c r="H448" s="80"/>
      <c r="I448" s="80"/>
      <c r="J448" s="80"/>
      <c r="K448" s="80"/>
      <c r="L448" s="80"/>
      <c r="M448" s="80"/>
    </row>
    <row r="449">
      <c r="G449" s="80"/>
      <c r="H449" s="80"/>
      <c r="I449" s="80"/>
      <c r="J449" s="80"/>
      <c r="K449" s="80"/>
      <c r="L449" s="80"/>
      <c r="M449" s="80"/>
    </row>
    <row r="450">
      <c r="G450" s="80"/>
      <c r="H450" s="80"/>
      <c r="I450" s="80"/>
      <c r="J450" s="80"/>
      <c r="K450" s="80"/>
      <c r="L450" s="80"/>
      <c r="M450" s="80"/>
    </row>
    <row r="451">
      <c r="G451" s="80"/>
      <c r="H451" s="80"/>
      <c r="I451" s="80"/>
      <c r="J451" s="80"/>
      <c r="K451" s="80"/>
      <c r="L451" s="80"/>
      <c r="M451" s="80"/>
    </row>
    <row r="452">
      <c r="G452" s="80"/>
      <c r="H452" s="80"/>
      <c r="I452" s="80"/>
      <c r="J452" s="80"/>
      <c r="K452" s="80"/>
      <c r="L452" s="80"/>
      <c r="M452" s="80"/>
    </row>
    <row r="453">
      <c r="G453" s="80"/>
      <c r="H453" s="80"/>
      <c r="I453" s="80"/>
      <c r="J453" s="80"/>
      <c r="K453" s="80"/>
      <c r="L453" s="80"/>
      <c r="M453" s="80"/>
    </row>
    <row r="454">
      <c r="G454" s="80"/>
      <c r="H454" s="80"/>
      <c r="I454" s="80"/>
      <c r="J454" s="80"/>
      <c r="K454" s="80"/>
      <c r="L454" s="80"/>
      <c r="M454" s="80"/>
    </row>
    <row r="455">
      <c r="G455" s="80"/>
      <c r="H455" s="80"/>
      <c r="I455" s="80"/>
      <c r="J455" s="80"/>
      <c r="K455" s="80"/>
      <c r="L455" s="80"/>
      <c r="M455" s="80"/>
    </row>
    <row r="456">
      <c r="G456" s="80"/>
      <c r="H456" s="80"/>
      <c r="I456" s="80"/>
      <c r="J456" s="80"/>
      <c r="K456" s="80"/>
      <c r="L456" s="80"/>
      <c r="M456" s="80"/>
    </row>
    <row r="457">
      <c r="G457" s="80"/>
      <c r="H457" s="80"/>
      <c r="I457" s="80"/>
      <c r="J457" s="80"/>
      <c r="K457" s="80"/>
      <c r="L457" s="80"/>
      <c r="M457" s="80"/>
    </row>
    <row r="458">
      <c r="G458" s="80"/>
      <c r="H458" s="80"/>
      <c r="I458" s="80"/>
      <c r="J458" s="80"/>
      <c r="K458" s="80"/>
      <c r="L458" s="80"/>
      <c r="M458" s="80"/>
    </row>
    <row r="459">
      <c r="G459" s="80"/>
      <c r="H459" s="80"/>
      <c r="I459" s="80"/>
      <c r="J459" s="80"/>
      <c r="K459" s="80"/>
      <c r="L459" s="80"/>
      <c r="M459" s="80"/>
    </row>
    <row r="460">
      <c r="G460" s="80"/>
      <c r="H460" s="80"/>
      <c r="I460" s="80"/>
      <c r="J460" s="80"/>
      <c r="K460" s="80"/>
      <c r="L460" s="80"/>
      <c r="M460" s="80"/>
    </row>
    <row r="461">
      <c r="G461" s="80"/>
      <c r="H461" s="80"/>
      <c r="I461" s="80"/>
      <c r="J461" s="80"/>
      <c r="K461" s="80"/>
      <c r="L461" s="80"/>
      <c r="M461" s="80"/>
    </row>
    <row r="462">
      <c r="G462" s="80"/>
      <c r="H462" s="80"/>
      <c r="I462" s="80"/>
      <c r="J462" s="80"/>
      <c r="K462" s="80"/>
      <c r="L462" s="80"/>
      <c r="M462" s="80"/>
    </row>
    <row r="463">
      <c r="G463" s="80"/>
      <c r="H463" s="80"/>
      <c r="I463" s="80"/>
      <c r="J463" s="80"/>
      <c r="K463" s="80"/>
      <c r="L463" s="80"/>
      <c r="M463" s="80"/>
    </row>
    <row r="464">
      <c r="G464" s="80"/>
      <c r="H464" s="80"/>
      <c r="I464" s="80"/>
      <c r="J464" s="80"/>
      <c r="K464" s="80"/>
      <c r="L464" s="80"/>
      <c r="M464" s="80"/>
    </row>
    <row r="465">
      <c r="G465" s="80"/>
      <c r="H465" s="80"/>
      <c r="I465" s="80"/>
      <c r="J465" s="80"/>
      <c r="K465" s="80"/>
      <c r="L465" s="80"/>
      <c r="M465" s="80"/>
    </row>
    <row r="466">
      <c r="G466" s="80"/>
      <c r="H466" s="80"/>
      <c r="I466" s="80"/>
      <c r="J466" s="80"/>
      <c r="K466" s="80"/>
      <c r="L466" s="80"/>
      <c r="M466" s="80"/>
    </row>
    <row r="467">
      <c r="G467" s="80"/>
      <c r="H467" s="80"/>
      <c r="I467" s="80"/>
      <c r="J467" s="80"/>
      <c r="K467" s="80"/>
      <c r="L467" s="80"/>
      <c r="M467" s="80"/>
    </row>
    <row r="468">
      <c r="G468" s="80"/>
      <c r="H468" s="80"/>
      <c r="I468" s="80"/>
      <c r="J468" s="80"/>
      <c r="K468" s="80"/>
      <c r="L468" s="80"/>
      <c r="M468" s="80"/>
    </row>
    <row r="469">
      <c r="G469" s="80"/>
      <c r="H469" s="80"/>
      <c r="I469" s="80"/>
      <c r="J469" s="80"/>
      <c r="K469" s="80"/>
      <c r="L469" s="80"/>
      <c r="M469" s="80"/>
    </row>
    <row r="470">
      <c r="G470" s="80"/>
      <c r="H470" s="80"/>
      <c r="I470" s="80"/>
      <c r="J470" s="80"/>
      <c r="K470" s="80"/>
      <c r="L470" s="80"/>
      <c r="M470" s="80"/>
    </row>
    <row r="471">
      <c r="G471" s="80"/>
      <c r="H471" s="80"/>
      <c r="I471" s="80"/>
      <c r="J471" s="80"/>
      <c r="K471" s="80"/>
      <c r="L471" s="80"/>
      <c r="M471" s="80"/>
    </row>
    <row r="472">
      <c r="G472" s="80"/>
      <c r="H472" s="80"/>
      <c r="I472" s="80"/>
      <c r="J472" s="80"/>
      <c r="K472" s="80"/>
      <c r="L472" s="80"/>
      <c r="M472" s="80"/>
    </row>
    <row r="473">
      <c r="G473" s="80"/>
      <c r="H473" s="80"/>
      <c r="I473" s="80"/>
      <c r="J473" s="80"/>
      <c r="K473" s="80"/>
      <c r="L473" s="80"/>
      <c r="M473" s="80"/>
    </row>
    <row r="474">
      <c r="G474" s="80"/>
      <c r="H474" s="80"/>
      <c r="I474" s="80"/>
      <c r="J474" s="80"/>
      <c r="K474" s="80"/>
      <c r="L474" s="80"/>
      <c r="M474" s="80"/>
    </row>
    <row r="475">
      <c r="G475" s="80"/>
      <c r="H475" s="80"/>
      <c r="I475" s="80"/>
      <c r="J475" s="80"/>
      <c r="K475" s="80"/>
      <c r="L475" s="80"/>
      <c r="M475" s="80"/>
    </row>
    <row r="476">
      <c r="G476" s="80"/>
      <c r="H476" s="80"/>
      <c r="I476" s="80"/>
      <c r="J476" s="80"/>
      <c r="K476" s="80"/>
      <c r="L476" s="80"/>
      <c r="M476" s="80"/>
    </row>
    <row r="477">
      <c r="G477" s="80"/>
      <c r="H477" s="80"/>
      <c r="I477" s="80"/>
      <c r="J477" s="80"/>
      <c r="K477" s="80"/>
      <c r="L477" s="80"/>
      <c r="M477" s="80"/>
    </row>
    <row r="478">
      <c r="G478" s="80"/>
      <c r="H478" s="80"/>
      <c r="I478" s="80"/>
      <c r="J478" s="80"/>
      <c r="K478" s="80"/>
      <c r="L478" s="80"/>
      <c r="M478" s="80"/>
    </row>
    <row r="479">
      <c r="G479" s="80"/>
      <c r="H479" s="80"/>
      <c r="I479" s="80"/>
      <c r="J479" s="80"/>
      <c r="K479" s="80"/>
      <c r="L479" s="80"/>
      <c r="M479" s="80"/>
    </row>
    <row r="480">
      <c r="G480" s="80"/>
      <c r="H480" s="80"/>
      <c r="I480" s="80"/>
      <c r="J480" s="80"/>
      <c r="K480" s="80"/>
      <c r="L480" s="80"/>
      <c r="M480" s="80"/>
    </row>
    <row r="481">
      <c r="G481" s="80"/>
      <c r="H481" s="80"/>
      <c r="I481" s="80"/>
      <c r="J481" s="80"/>
      <c r="K481" s="80"/>
      <c r="L481" s="80"/>
      <c r="M481" s="80"/>
    </row>
    <row r="482">
      <c r="G482" s="80"/>
      <c r="H482" s="80"/>
      <c r="I482" s="80"/>
      <c r="J482" s="80"/>
      <c r="K482" s="80"/>
      <c r="L482" s="80"/>
      <c r="M482" s="80"/>
    </row>
    <row r="483">
      <c r="G483" s="80"/>
      <c r="H483" s="80"/>
      <c r="I483" s="80"/>
      <c r="J483" s="80"/>
      <c r="K483" s="80"/>
      <c r="L483" s="80"/>
      <c r="M483" s="80"/>
    </row>
    <row r="484">
      <c r="G484" s="80"/>
      <c r="H484" s="80"/>
      <c r="I484" s="80"/>
      <c r="J484" s="80"/>
      <c r="K484" s="80"/>
      <c r="L484" s="80"/>
      <c r="M484" s="80"/>
    </row>
    <row r="485">
      <c r="G485" s="80"/>
      <c r="H485" s="80"/>
      <c r="I485" s="80"/>
      <c r="J485" s="80"/>
      <c r="K485" s="80"/>
      <c r="L485" s="80"/>
      <c r="M485" s="80"/>
    </row>
    <row r="486">
      <c r="G486" s="80"/>
      <c r="H486" s="80"/>
      <c r="I486" s="80"/>
      <c r="J486" s="80"/>
      <c r="K486" s="80"/>
      <c r="L486" s="80"/>
      <c r="M486" s="80"/>
    </row>
    <row r="487">
      <c r="G487" s="80"/>
      <c r="H487" s="80"/>
      <c r="I487" s="80"/>
      <c r="J487" s="80"/>
      <c r="K487" s="80"/>
      <c r="L487" s="80"/>
      <c r="M487" s="80"/>
    </row>
    <row r="488">
      <c r="G488" s="80"/>
      <c r="H488" s="80"/>
      <c r="I488" s="80"/>
      <c r="J488" s="80"/>
      <c r="K488" s="80"/>
      <c r="L488" s="80"/>
      <c r="M488" s="80"/>
    </row>
    <row r="489">
      <c r="G489" s="80"/>
      <c r="H489" s="80"/>
      <c r="I489" s="80"/>
      <c r="J489" s="80"/>
      <c r="K489" s="80"/>
      <c r="L489" s="80"/>
      <c r="M489" s="80"/>
    </row>
    <row r="490">
      <c r="G490" s="80"/>
      <c r="H490" s="80"/>
      <c r="I490" s="80"/>
      <c r="J490" s="80"/>
      <c r="K490" s="80"/>
      <c r="L490" s="80"/>
      <c r="M490" s="80"/>
    </row>
    <row r="491">
      <c r="G491" s="80"/>
      <c r="H491" s="80"/>
      <c r="I491" s="80"/>
      <c r="J491" s="80"/>
      <c r="K491" s="80"/>
      <c r="L491" s="80"/>
      <c r="M491" s="80"/>
    </row>
    <row r="492">
      <c r="G492" s="80"/>
      <c r="H492" s="80"/>
      <c r="I492" s="80"/>
      <c r="J492" s="80"/>
      <c r="K492" s="80"/>
      <c r="L492" s="80"/>
      <c r="M492" s="80"/>
    </row>
    <row r="493">
      <c r="G493" s="80"/>
      <c r="H493" s="80"/>
      <c r="I493" s="80"/>
      <c r="J493" s="80"/>
      <c r="K493" s="80"/>
      <c r="L493" s="80"/>
      <c r="M493" s="80"/>
    </row>
    <row r="494">
      <c r="G494" s="80"/>
      <c r="H494" s="80"/>
      <c r="I494" s="80"/>
      <c r="J494" s="80"/>
      <c r="K494" s="80"/>
      <c r="L494" s="80"/>
      <c r="M494" s="80"/>
    </row>
    <row r="495">
      <c r="G495" s="80"/>
      <c r="H495" s="80"/>
      <c r="I495" s="80"/>
      <c r="J495" s="80"/>
      <c r="K495" s="80"/>
      <c r="L495" s="80"/>
      <c r="M495" s="80"/>
    </row>
    <row r="496">
      <c r="G496" s="80"/>
      <c r="H496" s="80"/>
      <c r="I496" s="80"/>
      <c r="J496" s="80"/>
      <c r="K496" s="80"/>
      <c r="L496" s="80"/>
      <c r="M496" s="80"/>
    </row>
    <row r="497">
      <c r="G497" s="80"/>
      <c r="H497" s="80"/>
      <c r="I497" s="80"/>
      <c r="J497" s="80"/>
      <c r="K497" s="80"/>
      <c r="L497" s="80"/>
      <c r="M497" s="80"/>
    </row>
    <row r="498">
      <c r="G498" s="80"/>
      <c r="H498" s="80"/>
      <c r="I498" s="80"/>
      <c r="J498" s="80"/>
      <c r="K498" s="80"/>
      <c r="L498" s="80"/>
      <c r="M498" s="80"/>
    </row>
    <row r="499">
      <c r="G499" s="80"/>
      <c r="H499" s="80"/>
      <c r="I499" s="80"/>
      <c r="J499" s="80"/>
      <c r="K499" s="80"/>
      <c r="L499" s="80"/>
      <c r="M499" s="80"/>
    </row>
    <row r="500">
      <c r="G500" s="80"/>
      <c r="H500" s="80"/>
      <c r="I500" s="80"/>
      <c r="J500" s="80"/>
      <c r="K500" s="80"/>
      <c r="L500" s="80"/>
      <c r="M500" s="80"/>
    </row>
    <row r="501">
      <c r="G501" s="80"/>
      <c r="H501" s="80"/>
      <c r="I501" s="80"/>
      <c r="J501" s="80"/>
      <c r="K501" s="80"/>
      <c r="L501" s="80"/>
      <c r="M501" s="80"/>
    </row>
    <row r="502">
      <c r="G502" s="80"/>
      <c r="H502" s="80"/>
      <c r="I502" s="80"/>
      <c r="J502" s="80"/>
      <c r="K502" s="80"/>
      <c r="L502" s="80"/>
      <c r="M502" s="80"/>
    </row>
    <row r="503">
      <c r="G503" s="80"/>
      <c r="H503" s="80"/>
      <c r="I503" s="80"/>
      <c r="J503" s="80"/>
      <c r="K503" s="80"/>
      <c r="L503" s="80"/>
      <c r="M503" s="80"/>
    </row>
    <row r="504">
      <c r="G504" s="80"/>
      <c r="H504" s="80"/>
      <c r="I504" s="80"/>
      <c r="J504" s="80"/>
      <c r="K504" s="80"/>
      <c r="L504" s="80"/>
      <c r="M504" s="80"/>
    </row>
    <row r="505">
      <c r="G505" s="80"/>
      <c r="H505" s="80"/>
      <c r="I505" s="80"/>
      <c r="J505" s="80"/>
      <c r="K505" s="80"/>
      <c r="L505" s="80"/>
      <c r="M505" s="80"/>
    </row>
    <row r="506">
      <c r="G506" s="80"/>
      <c r="H506" s="80"/>
      <c r="I506" s="80"/>
      <c r="J506" s="80"/>
      <c r="K506" s="80"/>
      <c r="L506" s="80"/>
      <c r="M506" s="80"/>
    </row>
    <row r="507">
      <c r="G507" s="80"/>
      <c r="H507" s="80"/>
      <c r="I507" s="80"/>
      <c r="J507" s="80"/>
      <c r="K507" s="80"/>
      <c r="L507" s="80"/>
      <c r="M507" s="80"/>
    </row>
    <row r="508">
      <c r="G508" s="80"/>
      <c r="H508" s="80"/>
      <c r="I508" s="80"/>
      <c r="J508" s="80"/>
      <c r="K508" s="80"/>
      <c r="L508" s="80"/>
      <c r="M508" s="80"/>
    </row>
    <row r="509">
      <c r="G509" s="80"/>
      <c r="H509" s="80"/>
      <c r="I509" s="80"/>
      <c r="J509" s="80"/>
      <c r="K509" s="80"/>
      <c r="L509" s="80"/>
      <c r="M509" s="80"/>
    </row>
    <row r="510">
      <c r="G510" s="80"/>
      <c r="H510" s="80"/>
      <c r="I510" s="80"/>
      <c r="J510" s="80"/>
      <c r="K510" s="80"/>
      <c r="L510" s="80"/>
      <c r="M510" s="80"/>
    </row>
    <row r="511">
      <c r="G511" s="80"/>
      <c r="H511" s="80"/>
      <c r="I511" s="80"/>
      <c r="J511" s="80"/>
      <c r="K511" s="80"/>
      <c r="L511" s="80"/>
      <c r="M511" s="80"/>
    </row>
    <row r="512">
      <c r="G512" s="80"/>
      <c r="H512" s="80"/>
      <c r="I512" s="80"/>
      <c r="J512" s="80"/>
      <c r="K512" s="80"/>
      <c r="L512" s="80"/>
      <c r="M512" s="80"/>
    </row>
    <row r="513">
      <c r="G513" s="80"/>
      <c r="H513" s="80"/>
      <c r="I513" s="80"/>
      <c r="J513" s="80"/>
      <c r="K513" s="80"/>
      <c r="L513" s="80"/>
      <c r="M513" s="80"/>
    </row>
    <row r="514">
      <c r="G514" s="80"/>
      <c r="H514" s="80"/>
      <c r="I514" s="80"/>
      <c r="J514" s="80"/>
      <c r="K514" s="80"/>
      <c r="L514" s="80"/>
      <c r="M514" s="80"/>
    </row>
    <row r="515">
      <c r="G515" s="80"/>
      <c r="H515" s="80"/>
      <c r="I515" s="80"/>
      <c r="J515" s="80"/>
      <c r="K515" s="80"/>
      <c r="L515" s="80"/>
      <c r="M515" s="80"/>
    </row>
    <row r="516">
      <c r="G516" s="80"/>
      <c r="H516" s="80"/>
      <c r="I516" s="80"/>
      <c r="J516" s="80"/>
      <c r="K516" s="80"/>
      <c r="L516" s="80"/>
      <c r="M516" s="80"/>
    </row>
    <row r="517">
      <c r="G517" s="80"/>
      <c r="H517" s="80"/>
      <c r="I517" s="80"/>
      <c r="J517" s="80"/>
      <c r="K517" s="80"/>
      <c r="L517" s="80"/>
      <c r="M517" s="80"/>
    </row>
    <row r="518">
      <c r="G518" s="80"/>
      <c r="H518" s="80"/>
      <c r="I518" s="80"/>
      <c r="J518" s="80"/>
      <c r="K518" s="80"/>
      <c r="L518" s="80"/>
      <c r="M518" s="80"/>
    </row>
    <row r="519">
      <c r="G519" s="80"/>
      <c r="H519" s="80"/>
      <c r="I519" s="80"/>
      <c r="J519" s="80"/>
      <c r="K519" s="80"/>
      <c r="L519" s="80"/>
      <c r="M519" s="80"/>
    </row>
    <row r="520">
      <c r="G520" s="80"/>
      <c r="H520" s="80"/>
      <c r="I520" s="80"/>
      <c r="J520" s="80"/>
      <c r="K520" s="80"/>
      <c r="L520" s="80"/>
      <c r="M520" s="80"/>
    </row>
    <row r="521">
      <c r="G521" s="80"/>
      <c r="H521" s="80"/>
      <c r="I521" s="80"/>
      <c r="J521" s="80"/>
      <c r="K521" s="80"/>
      <c r="L521" s="80"/>
      <c r="M521" s="80"/>
    </row>
    <row r="522">
      <c r="G522" s="80"/>
      <c r="H522" s="80"/>
      <c r="I522" s="80"/>
      <c r="J522" s="80"/>
      <c r="K522" s="80"/>
      <c r="L522" s="80"/>
      <c r="M522" s="80"/>
    </row>
    <row r="523">
      <c r="G523" s="80"/>
      <c r="H523" s="80"/>
      <c r="I523" s="80"/>
      <c r="J523" s="80"/>
      <c r="K523" s="80"/>
      <c r="L523" s="80"/>
      <c r="M523" s="80"/>
    </row>
    <row r="524">
      <c r="G524" s="80"/>
      <c r="H524" s="80"/>
      <c r="I524" s="80"/>
      <c r="J524" s="80"/>
      <c r="K524" s="80"/>
      <c r="L524" s="80"/>
      <c r="M524" s="80"/>
    </row>
    <row r="525">
      <c r="G525" s="80"/>
      <c r="H525" s="80"/>
      <c r="I525" s="80"/>
      <c r="J525" s="80"/>
      <c r="K525" s="80"/>
      <c r="L525" s="80"/>
      <c r="M525" s="80"/>
    </row>
    <row r="526">
      <c r="G526" s="80"/>
      <c r="H526" s="80"/>
      <c r="I526" s="80"/>
      <c r="J526" s="80"/>
      <c r="K526" s="80"/>
      <c r="L526" s="80"/>
      <c r="M526" s="80"/>
    </row>
    <row r="527">
      <c r="G527" s="80"/>
      <c r="H527" s="80"/>
      <c r="I527" s="80"/>
      <c r="J527" s="80"/>
      <c r="K527" s="80"/>
      <c r="L527" s="80"/>
      <c r="M527" s="80"/>
    </row>
    <row r="528">
      <c r="G528" s="80"/>
      <c r="H528" s="80"/>
      <c r="I528" s="80"/>
      <c r="J528" s="80"/>
      <c r="K528" s="80"/>
      <c r="L528" s="80"/>
      <c r="M528" s="80"/>
    </row>
    <row r="529">
      <c r="G529" s="80"/>
      <c r="H529" s="80"/>
      <c r="I529" s="80"/>
      <c r="J529" s="80"/>
      <c r="K529" s="80"/>
      <c r="L529" s="80"/>
      <c r="M529" s="80"/>
    </row>
    <row r="530">
      <c r="G530" s="80"/>
      <c r="H530" s="80"/>
      <c r="I530" s="80"/>
      <c r="J530" s="80"/>
      <c r="K530" s="80"/>
      <c r="L530" s="80"/>
      <c r="M530" s="80"/>
    </row>
    <row r="531">
      <c r="G531" s="80"/>
      <c r="H531" s="80"/>
      <c r="I531" s="80"/>
      <c r="J531" s="80"/>
      <c r="K531" s="80"/>
      <c r="L531" s="80"/>
      <c r="M531" s="80"/>
    </row>
    <row r="532">
      <c r="G532" s="80"/>
      <c r="H532" s="80"/>
      <c r="I532" s="80"/>
      <c r="J532" s="80"/>
      <c r="K532" s="80"/>
      <c r="L532" s="80"/>
      <c r="M532" s="80"/>
    </row>
    <row r="533">
      <c r="G533" s="80"/>
      <c r="H533" s="80"/>
      <c r="I533" s="80"/>
      <c r="J533" s="80"/>
      <c r="K533" s="80"/>
      <c r="L533" s="80"/>
      <c r="M533" s="80"/>
    </row>
    <row r="534">
      <c r="G534" s="80"/>
      <c r="H534" s="80"/>
      <c r="I534" s="80"/>
      <c r="J534" s="80"/>
      <c r="K534" s="80"/>
      <c r="L534" s="80"/>
      <c r="M534" s="80"/>
    </row>
    <row r="535">
      <c r="G535" s="80"/>
      <c r="H535" s="80"/>
      <c r="I535" s="80"/>
      <c r="J535" s="80"/>
      <c r="K535" s="80"/>
      <c r="L535" s="80"/>
      <c r="M535" s="80"/>
    </row>
    <row r="536">
      <c r="G536" s="80"/>
      <c r="H536" s="80"/>
      <c r="I536" s="80"/>
      <c r="J536" s="80"/>
      <c r="K536" s="80"/>
      <c r="L536" s="80"/>
      <c r="M536" s="80"/>
    </row>
    <row r="537">
      <c r="G537" s="80"/>
      <c r="H537" s="80"/>
      <c r="I537" s="80"/>
      <c r="J537" s="80"/>
      <c r="K537" s="80"/>
      <c r="L537" s="80"/>
      <c r="M537" s="80"/>
    </row>
    <row r="538">
      <c r="G538" s="80"/>
      <c r="H538" s="80"/>
      <c r="I538" s="80"/>
      <c r="J538" s="80"/>
      <c r="K538" s="80"/>
      <c r="L538" s="80"/>
      <c r="M538" s="80"/>
    </row>
    <row r="539">
      <c r="G539" s="80"/>
      <c r="H539" s="80"/>
      <c r="I539" s="80"/>
      <c r="J539" s="80"/>
      <c r="K539" s="80"/>
      <c r="L539" s="80"/>
      <c r="M539" s="80"/>
    </row>
    <row r="540">
      <c r="G540" s="80"/>
      <c r="H540" s="80"/>
      <c r="I540" s="80"/>
      <c r="J540" s="80"/>
      <c r="K540" s="80"/>
      <c r="L540" s="80"/>
      <c r="M540" s="80"/>
    </row>
    <row r="541">
      <c r="G541" s="80"/>
      <c r="H541" s="80"/>
      <c r="I541" s="80"/>
      <c r="J541" s="80"/>
      <c r="K541" s="80"/>
      <c r="L541" s="80"/>
      <c r="M541" s="80"/>
    </row>
    <row r="542">
      <c r="G542" s="80"/>
      <c r="H542" s="80"/>
      <c r="I542" s="80"/>
      <c r="J542" s="80"/>
      <c r="K542" s="80"/>
      <c r="L542" s="80"/>
      <c r="M542" s="80"/>
    </row>
    <row r="543">
      <c r="G543" s="80"/>
      <c r="H543" s="80"/>
      <c r="I543" s="80"/>
      <c r="J543" s="80"/>
      <c r="K543" s="80"/>
      <c r="L543" s="80"/>
      <c r="M543" s="80"/>
    </row>
    <row r="544">
      <c r="G544" s="80"/>
      <c r="H544" s="80"/>
      <c r="I544" s="80"/>
      <c r="J544" s="80"/>
      <c r="K544" s="80"/>
      <c r="L544" s="80"/>
      <c r="M544" s="80"/>
    </row>
    <row r="545">
      <c r="G545" s="80"/>
      <c r="H545" s="80"/>
      <c r="I545" s="80"/>
      <c r="J545" s="80"/>
      <c r="K545" s="80"/>
      <c r="L545" s="80"/>
      <c r="M545" s="80"/>
    </row>
    <row r="546">
      <c r="G546" s="80"/>
      <c r="H546" s="80"/>
      <c r="I546" s="80"/>
      <c r="J546" s="80"/>
      <c r="K546" s="80"/>
      <c r="L546" s="80"/>
      <c r="M546" s="80"/>
    </row>
    <row r="547">
      <c r="G547" s="80"/>
      <c r="H547" s="80"/>
      <c r="I547" s="80"/>
      <c r="J547" s="80"/>
      <c r="K547" s="80"/>
      <c r="L547" s="80"/>
      <c r="M547" s="80"/>
    </row>
    <row r="548">
      <c r="G548" s="80"/>
      <c r="H548" s="80"/>
      <c r="I548" s="80"/>
      <c r="J548" s="80"/>
      <c r="K548" s="80"/>
      <c r="L548" s="80"/>
      <c r="M548" s="80"/>
    </row>
    <row r="549">
      <c r="G549" s="80"/>
      <c r="H549" s="80"/>
      <c r="I549" s="80"/>
      <c r="J549" s="80"/>
      <c r="K549" s="80"/>
      <c r="L549" s="80"/>
      <c r="M549" s="80"/>
    </row>
    <row r="550">
      <c r="G550" s="80"/>
      <c r="H550" s="80"/>
      <c r="I550" s="80"/>
      <c r="J550" s="80"/>
      <c r="K550" s="80"/>
      <c r="L550" s="80"/>
      <c r="M550" s="80"/>
    </row>
    <row r="551">
      <c r="G551" s="80"/>
      <c r="H551" s="80"/>
      <c r="I551" s="80"/>
      <c r="J551" s="80"/>
      <c r="K551" s="80"/>
      <c r="L551" s="80"/>
      <c r="M551" s="80"/>
    </row>
    <row r="552">
      <c r="G552" s="80"/>
      <c r="H552" s="80"/>
      <c r="I552" s="80"/>
      <c r="J552" s="80"/>
      <c r="K552" s="80"/>
      <c r="L552" s="80"/>
      <c r="M552" s="80"/>
    </row>
    <row r="553">
      <c r="G553" s="80"/>
      <c r="H553" s="80"/>
      <c r="I553" s="80"/>
      <c r="J553" s="80"/>
      <c r="K553" s="80"/>
      <c r="L553" s="80"/>
      <c r="M553" s="80"/>
    </row>
    <row r="554">
      <c r="G554" s="80"/>
      <c r="H554" s="80"/>
      <c r="I554" s="80"/>
      <c r="J554" s="80"/>
      <c r="K554" s="80"/>
      <c r="L554" s="80"/>
      <c r="M554" s="80"/>
    </row>
    <row r="555">
      <c r="G555" s="80"/>
      <c r="H555" s="80"/>
      <c r="I555" s="80"/>
      <c r="J555" s="80"/>
      <c r="K555" s="80"/>
      <c r="L555" s="80"/>
      <c r="M555" s="80"/>
    </row>
    <row r="556">
      <c r="G556" s="80"/>
      <c r="H556" s="80"/>
      <c r="I556" s="80"/>
      <c r="J556" s="80"/>
      <c r="K556" s="80"/>
      <c r="L556" s="80"/>
      <c r="M556" s="80"/>
    </row>
    <row r="557">
      <c r="G557" s="80"/>
      <c r="H557" s="80"/>
      <c r="I557" s="80"/>
      <c r="J557" s="80"/>
      <c r="K557" s="80"/>
      <c r="L557" s="80"/>
      <c r="M557" s="80"/>
    </row>
    <row r="558">
      <c r="G558" s="80"/>
      <c r="H558" s="80"/>
      <c r="I558" s="80"/>
      <c r="J558" s="80"/>
      <c r="K558" s="80"/>
      <c r="L558" s="80"/>
      <c r="M558" s="80"/>
    </row>
    <row r="559">
      <c r="G559" s="80"/>
      <c r="H559" s="80"/>
      <c r="I559" s="80"/>
      <c r="J559" s="80"/>
      <c r="K559" s="80"/>
      <c r="L559" s="80"/>
      <c r="M559" s="80"/>
    </row>
    <row r="560">
      <c r="G560" s="80"/>
      <c r="H560" s="80"/>
      <c r="I560" s="80"/>
      <c r="J560" s="80"/>
      <c r="K560" s="80"/>
      <c r="L560" s="80"/>
      <c r="M560" s="80"/>
    </row>
    <row r="561">
      <c r="G561" s="80"/>
      <c r="H561" s="80"/>
      <c r="I561" s="80"/>
      <c r="J561" s="80"/>
      <c r="K561" s="80"/>
      <c r="L561" s="80"/>
      <c r="M561" s="80"/>
    </row>
    <row r="562">
      <c r="G562" s="80"/>
      <c r="H562" s="80"/>
      <c r="I562" s="80"/>
      <c r="J562" s="80"/>
      <c r="K562" s="80"/>
      <c r="L562" s="80"/>
      <c r="M562" s="80"/>
    </row>
    <row r="563">
      <c r="G563" s="80"/>
      <c r="H563" s="80"/>
      <c r="I563" s="80"/>
      <c r="J563" s="80"/>
      <c r="K563" s="80"/>
      <c r="L563" s="80"/>
      <c r="M563" s="80"/>
    </row>
    <row r="564">
      <c r="G564" s="80"/>
      <c r="H564" s="80"/>
      <c r="I564" s="80"/>
      <c r="J564" s="80"/>
      <c r="K564" s="80"/>
      <c r="L564" s="80"/>
      <c r="M564" s="80"/>
    </row>
    <row r="565">
      <c r="G565" s="80"/>
      <c r="H565" s="80"/>
      <c r="I565" s="80"/>
      <c r="J565" s="80"/>
      <c r="K565" s="80"/>
      <c r="L565" s="80"/>
      <c r="M565" s="80"/>
    </row>
    <row r="566">
      <c r="G566" s="80"/>
      <c r="H566" s="80"/>
      <c r="I566" s="80"/>
      <c r="J566" s="80"/>
      <c r="K566" s="80"/>
      <c r="L566" s="80"/>
      <c r="M566" s="80"/>
    </row>
    <row r="567">
      <c r="G567" s="80"/>
      <c r="H567" s="80"/>
      <c r="I567" s="80"/>
      <c r="J567" s="80"/>
      <c r="K567" s="80"/>
      <c r="L567" s="80"/>
      <c r="M567" s="80"/>
    </row>
    <row r="568">
      <c r="G568" s="80"/>
      <c r="H568" s="80"/>
      <c r="I568" s="80"/>
      <c r="J568" s="80"/>
      <c r="K568" s="80"/>
      <c r="L568" s="80"/>
      <c r="M568" s="80"/>
    </row>
    <row r="569">
      <c r="G569" s="80"/>
      <c r="H569" s="80"/>
      <c r="I569" s="80"/>
      <c r="J569" s="80"/>
      <c r="K569" s="80"/>
      <c r="L569" s="80"/>
      <c r="M569" s="80"/>
    </row>
    <row r="570">
      <c r="G570" s="80"/>
      <c r="H570" s="80"/>
      <c r="I570" s="80"/>
      <c r="J570" s="80"/>
      <c r="K570" s="80"/>
      <c r="L570" s="80"/>
      <c r="M570" s="80"/>
    </row>
    <row r="571">
      <c r="G571" s="80"/>
      <c r="H571" s="80"/>
      <c r="I571" s="80"/>
      <c r="J571" s="80"/>
      <c r="K571" s="80"/>
      <c r="L571" s="80"/>
      <c r="M571" s="80"/>
    </row>
    <row r="572">
      <c r="G572" s="80"/>
      <c r="H572" s="80"/>
      <c r="I572" s="80"/>
      <c r="J572" s="80"/>
      <c r="K572" s="80"/>
      <c r="L572" s="80"/>
      <c r="M572" s="80"/>
    </row>
    <row r="573">
      <c r="G573" s="80"/>
      <c r="H573" s="80"/>
      <c r="I573" s="80"/>
      <c r="J573" s="80"/>
      <c r="K573" s="80"/>
      <c r="L573" s="80"/>
      <c r="M573" s="80"/>
    </row>
    <row r="574">
      <c r="G574" s="80"/>
      <c r="H574" s="80"/>
      <c r="I574" s="80"/>
      <c r="J574" s="80"/>
      <c r="K574" s="80"/>
      <c r="L574" s="80"/>
      <c r="M574" s="80"/>
    </row>
    <row r="575">
      <c r="G575" s="80"/>
      <c r="H575" s="80"/>
      <c r="I575" s="80"/>
      <c r="J575" s="80"/>
      <c r="K575" s="80"/>
      <c r="L575" s="80"/>
      <c r="M575" s="80"/>
    </row>
    <row r="576">
      <c r="G576" s="80"/>
      <c r="H576" s="80"/>
      <c r="I576" s="80"/>
      <c r="J576" s="80"/>
      <c r="K576" s="80"/>
      <c r="L576" s="80"/>
      <c r="M576" s="80"/>
    </row>
    <row r="577">
      <c r="G577" s="80"/>
      <c r="H577" s="80"/>
      <c r="I577" s="80"/>
      <c r="J577" s="80"/>
      <c r="K577" s="80"/>
      <c r="L577" s="80"/>
      <c r="M577" s="80"/>
    </row>
    <row r="578">
      <c r="G578" s="80"/>
      <c r="H578" s="80"/>
      <c r="I578" s="80"/>
      <c r="J578" s="80"/>
      <c r="K578" s="80"/>
      <c r="L578" s="80"/>
      <c r="M578" s="80"/>
    </row>
    <row r="579">
      <c r="G579" s="80"/>
      <c r="H579" s="80"/>
      <c r="I579" s="80"/>
      <c r="J579" s="80"/>
      <c r="K579" s="80"/>
      <c r="L579" s="80"/>
      <c r="M579" s="80"/>
    </row>
    <row r="580">
      <c r="G580" s="80"/>
      <c r="H580" s="80"/>
      <c r="I580" s="80"/>
      <c r="J580" s="80"/>
      <c r="K580" s="80"/>
      <c r="L580" s="80"/>
      <c r="M580" s="80"/>
    </row>
    <row r="581">
      <c r="G581" s="80"/>
      <c r="H581" s="80"/>
      <c r="I581" s="80"/>
      <c r="J581" s="80"/>
      <c r="K581" s="80"/>
      <c r="L581" s="80"/>
      <c r="M581" s="80"/>
    </row>
    <row r="582">
      <c r="G582" s="80"/>
      <c r="H582" s="80"/>
      <c r="I582" s="80"/>
      <c r="J582" s="80"/>
      <c r="K582" s="80"/>
      <c r="L582" s="80"/>
      <c r="M582" s="80"/>
    </row>
    <row r="583">
      <c r="G583" s="80"/>
      <c r="H583" s="80"/>
      <c r="I583" s="80"/>
      <c r="J583" s="80"/>
      <c r="K583" s="80"/>
      <c r="L583" s="80"/>
      <c r="M583" s="80"/>
    </row>
    <row r="584">
      <c r="G584" s="80"/>
      <c r="H584" s="80"/>
      <c r="I584" s="80"/>
      <c r="J584" s="80"/>
      <c r="K584" s="80"/>
      <c r="L584" s="80"/>
      <c r="M584" s="80"/>
    </row>
    <row r="585">
      <c r="G585" s="80"/>
      <c r="H585" s="80"/>
      <c r="I585" s="80"/>
      <c r="J585" s="80"/>
      <c r="K585" s="80"/>
      <c r="L585" s="80"/>
      <c r="M585" s="80"/>
    </row>
    <row r="586">
      <c r="G586" s="80"/>
      <c r="H586" s="80"/>
      <c r="I586" s="80"/>
      <c r="J586" s="80"/>
      <c r="K586" s="80"/>
      <c r="L586" s="80"/>
      <c r="M586" s="80"/>
    </row>
    <row r="587">
      <c r="G587" s="80"/>
      <c r="H587" s="80"/>
      <c r="I587" s="80"/>
      <c r="J587" s="80"/>
      <c r="K587" s="80"/>
      <c r="L587" s="80"/>
      <c r="M587" s="80"/>
    </row>
    <row r="588">
      <c r="G588" s="80"/>
      <c r="H588" s="80"/>
      <c r="I588" s="80"/>
      <c r="J588" s="80"/>
      <c r="K588" s="80"/>
      <c r="L588" s="80"/>
      <c r="M588" s="80"/>
    </row>
    <row r="589">
      <c r="G589" s="80"/>
      <c r="H589" s="80"/>
      <c r="I589" s="80"/>
      <c r="J589" s="80"/>
      <c r="K589" s="80"/>
      <c r="L589" s="80"/>
      <c r="M589" s="80"/>
    </row>
    <row r="590">
      <c r="G590" s="80"/>
      <c r="H590" s="80"/>
      <c r="I590" s="80"/>
      <c r="J590" s="80"/>
      <c r="K590" s="80"/>
      <c r="L590" s="80"/>
      <c r="M590" s="80"/>
    </row>
    <row r="591">
      <c r="G591" s="80"/>
      <c r="H591" s="80"/>
      <c r="I591" s="80"/>
      <c r="J591" s="80"/>
      <c r="K591" s="80"/>
      <c r="L591" s="80"/>
      <c r="M591" s="80"/>
    </row>
    <row r="592">
      <c r="G592" s="80"/>
      <c r="H592" s="80"/>
      <c r="I592" s="80"/>
      <c r="J592" s="80"/>
      <c r="K592" s="80"/>
      <c r="L592" s="80"/>
      <c r="M592" s="80"/>
    </row>
    <row r="593">
      <c r="G593" s="80"/>
      <c r="H593" s="80"/>
      <c r="I593" s="80"/>
      <c r="J593" s="80"/>
      <c r="K593" s="80"/>
      <c r="L593" s="80"/>
      <c r="M593" s="80"/>
    </row>
    <row r="594">
      <c r="G594" s="80"/>
      <c r="H594" s="80"/>
      <c r="I594" s="80"/>
      <c r="J594" s="80"/>
      <c r="K594" s="80"/>
      <c r="L594" s="80"/>
      <c r="M594" s="80"/>
    </row>
    <row r="595">
      <c r="G595" s="80"/>
      <c r="H595" s="80"/>
      <c r="I595" s="80"/>
      <c r="J595" s="80"/>
      <c r="K595" s="80"/>
      <c r="L595" s="80"/>
      <c r="M595" s="80"/>
    </row>
    <row r="596">
      <c r="G596" s="80"/>
      <c r="H596" s="80"/>
      <c r="I596" s="80"/>
      <c r="J596" s="80"/>
      <c r="K596" s="80"/>
      <c r="L596" s="80"/>
      <c r="M596" s="80"/>
    </row>
    <row r="597">
      <c r="G597" s="80"/>
      <c r="H597" s="80"/>
      <c r="I597" s="80"/>
      <c r="J597" s="80"/>
      <c r="K597" s="80"/>
      <c r="L597" s="80"/>
      <c r="M597" s="80"/>
    </row>
    <row r="598">
      <c r="G598" s="80"/>
      <c r="H598" s="80"/>
      <c r="I598" s="80"/>
      <c r="J598" s="80"/>
      <c r="K598" s="80"/>
      <c r="L598" s="80"/>
      <c r="M598" s="80"/>
    </row>
    <row r="599">
      <c r="G599" s="80"/>
      <c r="H599" s="80"/>
      <c r="I599" s="80"/>
      <c r="J599" s="80"/>
      <c r="K599" s="80"/>
      <c r="L599" s="80"/>
      <c r="M599" s="80"/>
    </row>
    <row r="600">
      <c r="G600" s="80"/>
      <c r="H600" s="80"/>
      <c r="I600" s="80"/>
      <c r="J600" s="80"/>
      <c r="K600" s="80"/>
      <c r="L600" s="80"/>
      <c r="M600" s="80"/>
    </row>
    <row r="601">
      <c r="G601" s="80"/>
      <c r="H601" s="80"/>
      <c r="I601" s="80"/>
      <c r="J601" s="80"/>
      <c r="K601" s="80"/>
      <c r="L601" s="80"/>
      <c r="M601" s="80"/>
    </row>
    <row r="602">
      <c r="G602" s="80"/>
      <c r="H602" s="80"/>
      <c r="I602" s="80"/>
      <c r="J602" s="80"/>
      <c r="K602" s="80"/>
      <c r="L602" s="80"/>
      <c r="M602" s="80"/>
    </row>
    <row r="603">
      <c r="G603" s="80"/>
      <c r="H603" s="80"/>
      <c r="I603" s="80"/>
      <c r="J603" s="80"/>
      <c r="K603" s="80"/>
      <c r="L603" s="80"/>
      <c r="M603" s="80"/>
    </row>
    <row r="604">
      <c r="G604" s="80"/>
      <c r="H604" s="80"/>
      <c r="I604" s="80"/>
      <c r="J604" s="80"/>
      <c r="K604" s="80"/>
      <c r="L604" s="80"/>
      <c r="M604" s="80"/>
    </row>
    <row r="605">
      <c r="G605" s="80"/>
      <c r="H605" s="80"/>
      <c r="I605" s="80"/>
      <c r="J605" s="80"/>
      <c r="K605" s="80"/>
      <c r="L605" s="80"/>
      <c r="M605" s="80"/>
    </row>
    <row r="606">
      <c r="G606" s="80"/>
      <c r="H606" s="80"/>
      <c r="I606" s="80"/>
      <c r="J606" s="80"/>
      <c r="K606" s="80"/>
      <c r="L606" s="80"/>
      <c r="M606" s="80"/>
    </row>
    <row r="607">
      <c r="G607" s="80"/>
      <c r="H607" s="80"/>
      <c r="I607" s="80"/>
      <c r="J607" s="80"/>
      <c r="K607" s="80"/>
      <c r="L607" s="80"/>
      <c r="M607" s="80"/>
    </row>
    <row r="608">
      <c r="G608" s="80"/>
      <c r="H608" s="80"/>
      <c r="I608" s="80"/>
      <c r="J608" s="80"/>
      <c r="K608" s="80"/>
      <c r="L608" s="80"/>
      <c r="M608" s="80"/>
    </row>
    <row r="609">
      <c r="G609" s="80"/>
      <c r="H609" s="80"/>
      <c r="I609" s="80"/>
      <c r="J609" s="80"/>
      <c r="K609" s="80"/>
      <c r="L609" s="80"/>
      <c r="M609" s="80"/>
    </row>
    <row r="610">
      <c r="G610" s="80"/>
      <c r="H610" s="80"/>
      <c r="I610" s="80"/>
      <c r="J610" s="80"/>
      <c r="K610" s="80"/>
      <c r="L610" s="80"/>
      <c r="M610" s="80"/>
    </row>
    <row r="611">
      <c r="G611" s="80"/>
      <c r="H611" s="80"/>
      <c r="I611" s="80"/>
      <c r="J611" s="80"/>
      <c r="K611" s="80"/>
      <c r="L611" s="80"/>
      <c r="M611" s="80"/>
    </row>
    <row r="612">
      <c r="G612" s="80"/>
      <c r="H612" s="80"/>
      <c r="I612" s="80"/>
      <c r="J612" s="80"/>
      <c r="K612" s="80"/>
      <c r="L612" s="80"/>
      <c r="M612" s="80"/>
    </row>
    <row r="613">
      <c r="G613" s="80"/>
      <c r="H613" s="80"/>
      <c r="I613" s="80"/>
      <c r="J613" s="80"/>
      <c r="K613" s="80"/>
      <c r="L613" s="80"/>
      <c r="M613" s="80"/>
    </row>
    <row r="614">
      <c r="G614" s="80"/>
      <c r="H614" s="80"/>
      <c r="I614" s="80"/>
      <c r="J614" s="80"/>
      <c r="K614" s="80"/>
      <c r="L614" s="80"/>
      <c r="M614" s="80"/>
    </row>
    <row r="615">
      <c r="G615" s="80"/>
      <c r="H615" s="80"/>
      <c r="I615" s="80"/>
      <c r="J615" s="80"/>
      <c r="K615" s="80"/>
      <c r="L615" s="80"/>
      <c r="M615" s="80"/>
    </row>
    <row r="616">
      <c r="G616" s="80"/>
      <c r="H616" s="80"/>
      <c r="I616" s="80"/>
      <c r="J616" s="80"/>
      <c r="K616" s="80"/>
      <c r="L616" s="80"/>
      <c r="M616" s="80"/>
    </row>
    <row r="617">
      <c r="G617" s="80"/>
      <c r="H617" s="80"/>
      <c r="I617" s="80"/>
      <c r="J617" s="80"/>
      <c r="K617" s="80"/>
      <c r="L617" s="80"/>
      <c r="M617" s="80"/>
    </row>
    <row r="618">
      <c r="G618" s="80"/>
      <c r="H618" s="80"/>
      <c r="I618" s="80"/>
      <c r="J618" s="80"/>
      <c r="K618" s="80"/>
      <c r="L618" s="80"/>
      <c r="M618" s="80"/>
    </row>
    <row r="619">
      <c r="G619" s="80"/>
      <c r="H619" s="80"/>
      <c r="I619" s="80"/>
      <c r="J619" s="80"/>
      <c r="K619" s="80"/>
      <c r="L619" s="80"/>
      <c r="M619" s="80"/>
    </row>
    <row r="620">
      <c r="G620" s="80"/>
      <c r="H620" s="80"/>
      <c r="I620" s="80"/>
      <c r="J620" s="80"/>
      <c r="K620" s="80"/>
      <c r="L620" s="80"/>
      <c r="M620" s="80"/>
    </row>
    <row r="621">
      <c r="G621" s="80"/>
      <c r="H621" s="80"/>
      <c r="I621" s="80"/>
      <c r="J621" s="80"/>
      <c r="K621" s="80"/>
      <c r="L621" s="80"/>
      <c r="M621" s="80"/>
    </row>
    <row r="622">
      <c r="G622" s="80"/>
      <c r="H622" s="80"/>
      <c r="I622" s="80"/>
      <c r="J622" s="80"/>
      <c r="K622" s="80"/>
      <c r="L622" s="80"/>
      <c r="M622" s="80"/>
    </row>
    <row r="623">
      <c r="G623" s="80"/>
      <c r="H623" s="80"/>
      <c r="I623" s="80"/>
      <c r="J623" s="80"/>
      <c r="K623" s="80"/>
      <c r="L623" s="80"/>
      <c r="M623" s="80"/>
    </row>
    <row r="624">
      <c r="G624" s="80"/>
      <c r="H624" s="80"/>
      <c r="I624" s="80"/>
      <c r="J624" s="80"/>
      <c r="K624" s="80"/>
      <c r="L624" s="80"/>
      <c r="M624" s="80"/>
    </row>
    <row r="625">
      <c r="G625" s="80"/>
      <c r="H625" s="80"/>
      <c r="I625" s="80"/>
      <c r="J625" s="80"/>
      <c r="K625" s="80"/>
      <c r="L625" s="80"/>
      <c r="M625" s="80"/>
    </row>
    <row r="626">
      <c r="G626" s="80"/>
      <c r="H626" s="80"/>
      <c r="I626" s="80"/>
      <c r="J626" s="80"/>
      <c r="K626" s="80"/>
      <c r="L626" s="80"/>
      <c r="M626" s="80"/>
    </row>
    <row r="627">
      <c r="G627" s="80"/>
      <c r="H627" s="80"/>
      <c r="I627" s="80"/>
      <c r="J627" s="80"/>
      <c r="K627" s="80"/>
      <c r="L627" s="80"/>
      <c r="M627" s="80"/>
    </row>
    <row r="628">
      <c r="G628" s="80"/>
      <c r="H628" s="80"/>
      <c r="I628" s="80"/>
      <c r="J628" s="80"/>
      <c r="K628" s="80"/>
      <c r="L628" s="80"/>
      <c r="M628" s="80"/>
    </row>
    <row r="629">
      <c r="G629" s="80"/>
      <c r="H629" s="80"/>
      <c r="I629" s="80"/>
      <c r="J629" s="80"/>
      <c r="K629" s="80"/>
      <c r="L629" s="80"/>
      <c r="M629" s="80"/>
    </row>
    <row r="630">
      <c r="G630" s="80"/>
      <c r="H630" s="80"/>
      <c r="I630" s="80"/>
      <c r="J630" s="80"/>
      <c r="K630" s="80"/>
      <c r="L630" s="80"/>
      <c r="M630" s="80"/>
    </row>
    <row r="631">
      <c r="G631" s="80"/>
      <c r="H631" s="80"/>
      <c r="I631" s="80"/>
      <c r="J631" s="80"/>
      <c r="K631" s="80"/>
      <c r="L631" s="80"/>
      <c r="M631" s="80"/>
    </row>
    <row r="632">
      <c r="G632" s="80"/>
      <c r="H632" s="80"/>
      <c r="I632" s="80"/>
      <c r="J632" s="80"/>
      <c r="K632" s="80"/>
      <c r="L632" s="80"/>
      <c r="M632" s="80"/>
    </row>
    <row r="633">
      <c r="G633" s="80"/>
      <c r="H633" s="80"/>
      <c r="I633" s="80"/>
      <c r="J633" s="80"/>
      <c r="K633" s="80"/>
      <c r="L633" s="80"/>
      <c r="M633" s="80"/>
    </row>
    <row r="634">
      <c r="G634" s="80"/>
      <c r="H634" s="80"/>
      <c r="I634" s="80"/>
      <c r="J634" s="80"/>
      <c r="K634" s="80"/>
      <c r="L634" s="80"/>
      <c r="M634" s="80"/>
    </row>
    <row r="635">
      <c r="G635" s="80"/>
      <c r="H635" s="80"/>
      <c r="I635" s="80"/>
      <c r="J635" s="80"/>
      <c r="K635" s="80"/>
      <c r="L635" s="80"/>
      <c r="M635" s="80"/>
    </row>
    <row r="636">
      <c r="G636" s="80"/>
      <c r="H636" s="80"/>
      <c r="I636" s="80"/>
      <c r="J636" s="80"/>
      <c r="K636" s="80"/>
      <c r="L636" s="80"/>
      <c r="M636" s="80"/>
    </row>
    <row r="637">
      <c r="G637" s="80"/>
      <c r="H637" s="80"/>
      <c r="I637" s="80"/>
      <c r="J637" s="80"/>
      <c r="K637" s="80"/>
      <c r="L637" s="80"/>
      <c r="M637" s="80"/>
    </row>
    <row r="638">
      <c r="G638" s="80"/>
      <c r="H638" s="80"/>
      <c r="I638" s="80"/>
      <c r="J638" s="80"/>
      <c r="K638" s="80"/>
      <c r="L638" s="80"/>
      <c r="M638" s="80"/>
    </row>
    <row r="639">
      <c r="G639" s="80"/>
      <c r="H639" s="80"/>
      <c r="I639" s="80"/>
      <c r="J639" s="80"/>
      <c r="K639" s="80"/>
      <c r="L639" s="80"/>
      <c r="M639" s="80"/>
    </row>
    <row r="640">
      <c r="G640" s="80"/>
      <c r="H640" s="80"/>
      <c r="I640" s="80"/>
      <c r="J640" s="80"/>
      <c r="K640" s="80"/>
      <c r="L640" s="80"/>
      <c r="M640" s="80"/>
    </row>
    <row r="641">
      <c r="G641" s="80"/>
      <c r="H641" s="80"/>
      <c r="I641" s="80"/>
      <c r="J641" s="80"/>
      <c r="K641" s="80"/>
      <c r="L641" s="80"/>
      <c r="M641" s="80"/>
    </row>
    <row r="642">
      <c r="G642" s="80"/>
      <c r="H642" s="80"/>
      <c r="I642" s="80"/>
      <c r="J642" s="80"/>
      <c r="K642" s="80"/>
      <c r="L642" s="80"/>
      <c r="M642" s="80"/>
    </row>
    <row r="643">
      <c r="G643" s="80"/>
      <c r="H643" s="80"/>
      <c r="I643" s="80"/>
      <c r="J643" s="80"/>
      <c r="K643" s="80"/>
      <c r="L643" s="80"/>
      <c r="M643" s="80"/>
    </row>
    <row r="644">
      <c r="G644" s="80"/>
      <c r="H644" s="80"/>
      <c r="I644" s="80"/>
      <c r="J644" s="80"/>
      <c r="K644" s="80"/>
      <c r="L644" s="80"/>
      <c r="M644" s="80"/>
    </row>
    <row r="645">
      <c r="G645" s="80"/>
      <c r="H645" s="80"/>
      <c r="I645" s="80"/>
      <c r="J645" s="80"/>
      <c r="K645" s="80"/>
      <c r="L645" s="80"/>
      <c r="M645" s="80"/>
    </row>
    <row r="646">
      <c r="G646" s="80"/>
      <c r="H646" s="80"/>
      <c r="I646" s="80"/>
      <c r="J646" s="80"/>
      <c r="K646" s="80"/>
      <c r="L646" s="80"/>
      <c r="M646" s="80"/>
    </row>
    <row r="647">
      <c r="G647" s="80"/>
      <c r="H647" s="80"/>
      <c r="I647" s="80"/>
      <c r="J647" s="80"/>
      <c r="K647" s="80"/>
      <c r="L647" s="80"/>
      <c r="M647" s="80"/>
    </row>
    <row r="648">
      <c r="G648" s="80"/>
      <c r="H648" s="80"/>
      <c r="I648" s="80"/>
      <c r="J648" s="80"/>
      <c r="K648" s="80"/>
      <c r="L648" s="80"/>
      <c r="M648" s="80"/>
    </row>
    <row r="649">
      <c r="G649" s="80"/>
      <c r="H649" s="80"/>
      <c r="I649" s="80"/>
      <c r="J649" s="80"/>
      <c r="K649" s="80"/>
      <c r="L649" s="80"/>
      <c r="M649" s="80"/>
    </row>
    <row r="650">
      <c r="G650" s="80"/>
      <c r="H650" s="80"/>
      <c r="I650" s="80"/>
      <c r="J650" s="80"/>
      <c r="K650" s="80"/>
      <c r="L650" s="80"/>
      <c r="M650" s="80"/>
    </row>
    <row r="651">
      <c r="G651" s="80"/>
      <c r="H651" s="80"/>
      <c r="I651" s="80"/>
      <c r="J651" s="80"/>
      <c r="K651" s="80"/>
      <c r="L651" s="80"/>
      <c r="M651" s="80"/>
    </row>
    <row r="652">
      <c r="G652" s="80"/>
      <c r="H652" s="80"/>
      <c r="I652" s="80"/>
      <c r="J652" s="80"/>
      <c r="K652" s="80"/>
      <c r="L652" s="80"/>
      <c r="M652" s="80"/>
    </row>
    <row r="653">
      <c r="G653" s="80"/>
      <c r="H653" s="80"/>
      <c r="I653" s="80"/>
      <c r="J653" s="80"/>
      <c r="K653" s="80"/>
      <c r="L653" s="80"/>
      <c r="M653" s="80"/>
    </row>
    <row r="654">
      <c r="G654" s="80"/>
      <c r="H654" s="80"/>
      <c r="I654" s="80"/>
      <c r="J654" s="80"/>
      <c r="K654" s="80"/>
      <c r="L654" s="80"/>
      <c r="M654" s="80"/>
    </row>
    <row r="655">
      <c r="G655" s="80"/>
      <c r="H655" s="80"/>
      <c r="I655" s="80"/>
      <c r="J655" s="80"/>
      <c r="K655" s="80"/>
      <c r="L655" s="80"/>
      <c r="M655" s="80"/>
    </row>
    <row r="656">
      <c r="G656" s="80"/>
      <c r="H656" s="80"/>
      <c r="I656" s="80"/>
      <c r="J656" s="80"/>
      <c r="K656" s="80"/>
      <c r="L656" s="80"/>
      <c r="M656" s="80"/>
    </row>
    <row r="657">
      <c r="G657" s="80"/>
      <c r="H657" s="80"/>
      <c r="I657" s="80"/>
      <c r="J657" s="80"/>
      <c r="K657" s="80"/>
      <c r="L657" s="80"/>
      <c r="M657" s="80"/>
    </row>
    <row r="658">
      <c r="G658" s="80"/>
      <c r="H658" s="80"/>
      <c r="I658" s="80"/>
      <c r="J658" s="80"/>
      <c r="K658" s="80"/>
      <c r="L658" s="80"/>
      <c r="M658" s="80"/>
    </row>
    <row r="659">
      <c r="G659" s="80"/>
      <c r="H659" s="80"/>
      <c r="I659" s="80"/>
      <c r="J659" s="80"/>
      <c r="K659" s="80"/>
      <c r="L659" s="80"/>
      <c r="M659" s="80"/>
    </row>
    <row r="660">
      <c r="G660" s="80"/>
      <c r="H660" s="80"/>
      <c r="I660" s="80"/>
      <c r="J660" s="80"/>
      <c r="K660" s="80"/>
      <c r="L660" s="80"/>
      <c r="M660" s="80"/>
    </row>
    <row r="661">
      <c r="G661" s="80"/>
      <c r="H661" s="80"/>
      <c r="I661" s="80"/>
      <c r="J661" s="80"/>
      <c r="K661" s="80"/>
      <c r="L661" s="80"/>
      <c r="M661" s="80"/>
    </row>
    <row r="662">
      <c r="G662" s="80"/>
      <c r="H662" s="80"/>
      <c r="I662" s="80"/>
      <c r="J662" s="80"/>
      <c r="K662" s="80"/>
      <c r="L662" s="80"/>
      <c r="M662" s="80"/>
    </row>
    <row r="663">
      <c r="G663" s="80"/>
      <c r="H663" s="80"/>
      <c r="I663" s="80"/>
      <c r="J663" s="80"/>
      <c r="K663" s="80"/>
      <c r="L663" s="80"/>
      <c r="M663" s="80"/>
    </row>
    <row r="664">
      <c r="G664" s="80"/>
      <c r="H664" s="80"/>
      <c r="I664" s="80"/>
      <c r="J664" s="80"/>
      <c r="K664" s="80"/>
      <c r="L664" s="80"/>
      <c r="M664" s="80"/>
    </row>
    <row r="665">
      <c r="G665" s="80"/>
      <c r="H665" s="80"/>
      <c r="I665" s="80"/>
      <c r="J665" s="80"/>
      <c r="K665" s="80"/>
      <c r="L665" s="80"/>
      <c r="M665" s="80"/>
    </row>
    <row r="666">
      <c r="G666" s="80"/>
      <c r="H666" s="80"/>
      <c r="I666" s="80"/>
      <c r="J666" s="80"/>
      <c r="K666" s="80"/>
      <c r="L666" s="80"/>
      <c r="M666" s="80"/>
    </row>
    <row r="667">
      <c r="G667" s="80"/>
      <c r="H667" s="80"/>
      <c r="I667" s="80"/>
      <c r="J667" s="80"/>
      <c r="K667" s="80"/>
      <c r="L667" s="80"/>
      <c r="M667" s="80"/>
    </row>
    <row r="668">
      <c r="G668" s="80"/>
      <c r="H668" s="80"/>
      <c r="I668" s="80"/>
      <c r="J668" s="80"/>
      <c r="K668" s="80"/>
      <c r="L668" s="80"/>
      <c r="M668" s="80"/>
    </row>
    <row r="669">
      <c r="G669" s="80"/>
      <c r="H669" s="80"/>
      <c r="I669" s="80"/>
      <c r="J669" s="80"/>
      <c r="K669" s="80"/>
      <c r="L669" s="80"/>
      <c r="M669" s="80"/>
    </row>
    <row r="670">
      <c r="G670" s="80"/>
      <c r="H670" s="80"/>
      <c r="I670" s="80"/>
      <c r="J670" s="80"/>
      <c r="K670" s="80"/>
      <c r="L670" s="80"/>
      <c r="M670" s="80"/>
    </row>
    <row r="671">
      <c r="G671" s="80"/>
      <c r="H671" s="80"/>
      <c r="I671" s="80"/>
      <c r="J671" s="80"/>
      <c r="K671" s="80"/>
      <c r="L671" s="80"/>
      <c r="M671" s="80"/>
    </row>
    <row r="672">
      <c r="G672" s="80"/>
      <c r="H672" s="80"/>
      <c r="I672" s="80"/>
      <c r="J672" s="80"/>
      <c r="K672" s="80"/>
      <c r="L672" s="80"/>
      <c r="M672" s="80"/>
    </row>
    <row r="673">
      <c r="G673" s="80"/>
      <c r="H673" s="80"/>
      <c r="I673" s="80"/>
      <c r="J673" s="80"/>
      <c r="K673" s="80"/>
      <c r="L673" s="80"/>
      <c r="M673" s="80"/>
    </row>
    <row r="674">
      <c r="G674" s="80"/>
      <c r="H674" s="80"/>
      <c r="I674" s="80"/>
      <c r="J674" s="80"/>
      <c r="K674" s="80"/>
      <c r="L674" s="80"/>
      <c r="M674" s="80"/>
    </row>
    <row r="675">
      <c r="G675" s="80"/>
      <c r="H675" s="80"/>
      <c r="I675" s="80"/>
      <c r="J675" s="80"/>
      <c r="K675" s="80"/>
      <c r="L675" s="80"/>
      <c r="M675" s="80"/>
    </row>
    <row r="676">
      <c r="G676" s="80"/>
      <c r="H676" s="80"/>
      <c r="I676" s="80"/>
      <c r="J676" s="80"/>
      <c r="K676" s="80"/>
      <c r="L676" s="80"/>
      <c r="M676" s="80"/>
    </row>
    <row r="677">
      <c r="G677" s="80"/>
      <c r="H677" s="80"/>
      <c r="I677" s="80"/>
      <c r="J677" s="80"/>
      <c r="K677" s="80"/>
      <c r="L677" s="80"/>
      <c r="M677" s="80"/>
    </row>
    <row r="678">
      <c r="G678" s="80"/>
      <c r="H678" s="80"/>
      <c r="I678" s="80"/>
      <c r="J678" s="80"/>
      <c r="K678" s="80"/>
      <c r="L678" s="80"/>
      <c r="M678" s="80"/>
    </row>
    <row r="679">
      <c r="G679" s="80"/>
      <c r="H679" s="80"/>
      <c r="I679" s="80"/>
      <c r="J679" s="80"/>
      <c r="K679" s="80"/>
      <c r="L679" s="80"/>
      <c r="M679" s="80"/>
    </row>
    <row r="680">
      <c r="G680" s="80"/>
      <c r="H680" s="80"/>
      <c r="I680" s="80"/>
      <c r="J680" s="80"/>
      <c r="K680" s="80"/>
      <c r="L680" s="80"/>
      <c r="M680" s="80"/>
    </row>
    <row r="681">
      <c r="G681" s="80"/>
      <c r="H681" s="80"/>
      <c r="I681" s="80"/>
      <c r="J681" s="80"/>
      <c r="K681" s="80"/>
      <c r="L681" s="80"/>
      <c r="M681" s="80"/>
    </row>
    <row r="682">
      <c r="G682" s="80"/>
      <c r="H682" s="80"/>
      <c r="I682" s="80"/>
      <c r="J682" s="80"/>
      <c r="K682" s="80"/>
      <c r="L682" s="80"/>
      <c r="M682" s="80"/>
    </row>
    <row r="683">
      <c r="G683" s="80"/>
      <c r="H683" s="80"/>
      <c r="I683" s="80"/>
      <c r="J683" s="80"/>
      <c r="K683" s="80"/>
      <c r="L683" s="80"/>
      <c r="M683" s="80"/>
    </row>
    <row r="684">
      <c r="G684" s="80"/>
      <c r="H684" s="80"/>
      <c r="I684" s="80"/>
      <c r="J684" s="80"/>
      <c r="K684" s="80"/>
      <c r="L684" s="80"/>
      <c r="M684" s="80"/>
    </row>
    <row r="685">
      <c r="G685" s="80"/>
      <c r="H685" s="80"/>
      <c r="I685" s="80"/>
      <c r="J685" s="80"/>
      <c r="K685" s="80"/>
      <c r="L685" s="80"/>
      <c r="M685" s="80"/>
    </row>
    <row r="686">
      <c r="G686" s="80"/>
      <c r="H686" s="80"/>
      <c r="I686" s="80"/>
      <c r="J686" s="80"/>
      <c r="K686" s="80"/>
      <c r="L686" s="80"/>
      <c r="M686" s="80"/>
    </row>
    <row r="687">
      <c r="G687" s="80"/>
      <c r="H687" s="80"/>
      <c r="I687" s="80"/>
      <c r="J687" s="80"/>
      <c r="K687" s="80"/>
      <c r="L687" s="80"/>
      <c r="M687" s="80"/>
    </row>
    <row r="688">
      <c r="G688" s="80"/>
      <c r="H688" s="80"/>
      <c r="I688" s="80"/>
      <c r="J688" s="80"/>
      <c r="K688" s="80"/>
      <c r="L688" s="80"/>
      <c r="M688" s="80"/>
    </row>
    <row r="689">
      <c r="G689" s="80"/>
      <c r="H689" s="80"/>
      <c r="I689" s="80"/>
      <c r="J689" s="80"/>
      <c r="K689" s="80"/>
      <c r="L689" s="80"/>
      <c r="M689" s="80"/>
    </row>
    <row r="690">
      <c r="G690" s="80"/>
      <c r="H690" s="80"/>
      <c r="I690" s="80"/>
      <c r="J690" s="80"/>
      <c r="K690" s="80"/>
      <c r="L690" s="80"/>
      <c r="M690" s="80"/>
    </row>
    <row r="691">
      <c r="G691" s="80"/>
      <c r="H691" s="80"/>
      <c r="I691" s="80"/>
      <c r="J691" s="80"/>
      <c r="K691" s="80"/>
      <c r="L691" s="80"/>
      <c r="M691" s="80"/>
    </row>
    <row r="692">
      <c r="G692" s="80"/>
      <c r="H692" s="80"/>
      <c r="I692" s="80"/>
      <c r="J692" s="80"/>
      <c r="K692" s="80"/>
      <c r="L692" s="80"/>
      <c r="M692" s="80"/>
    </row>
    <row r="693">
      <c r="G693" s="80"/>
      <c r="H693" s="80"/>
      <c r="I693" s="80"/>
      <c r="J693" s="80"/>
      <c r="K693" s="80"/>
      <c r="L693" s="80"/>
      <c r="M693" s="80"/>
    </row>
    <row r="694">
      <c r="G694" s="80"/>
      <c r="H694" s="80"/>
      <c r="I694" s="80"/>
      <c r="J694" s="80"/>
      <c r="K694" s="80"/>
      <c r="L694" s="80"/>
      <c r="M694" s="80"/>
    </row>
    <row r="695">
      <c r="G695" s="80"/>
      <c r="H695" s="80"/>
      <c r="I695" s="80"/>
      <c r="J695" s="80"/>
      <c r="K695" s="80"/>
      <c r="L695" s="80"/>
      <c r="M695" s="80"/>
    </row>
    <row r="696">
      <c r="G696" s="80"/>
      <c r="H696" s="80"/>
      <c r="I696" s="80"/>
      <c r="J696" s="80"/>
      <c r="K696" s="80"/>
      <c r="L696" s="80"/>
      <c r="M696" s="80"/>
    </row>
    <row r="697">
      <c r="G697" s="80"/>
      <c r="H697" s="80"/>
      <c r="I697" s="80"/>
      <c r="J697" s="80"/>
      <c r="K697" s="80"/>
      <c r="L697" s="80"/>
      <c r="M697" s="80"/>
    </row>
    <row r="698">
      <c r="G698" s="80"/>
      <c r="H698" s="80"/>
      <c r="I698" s="80"/>
      <c r="J698" s="80"/>
      <c r="K698" s="80"/>
      <c r="L698" s="80"/>
      <c r="M698" s="80"/>
    </row>
    <row r="699">
      <c r="G699" s="80"/>
      <c r="H699" s="80"/>
      <c r="I699" s="80"/>
      <c r="J699" s="80"/>
      <c r="K699" s="80"/>
      <c r="L699" s="80"/>
      <c r="M699" s="80"/>
    </row>
    <row r="700">
      <c r="G700" s="80"/>
      <c r="H700" s="80"/>
      <c r="I700" s="80"/>
      <c r="J700" s="80"/>
      <c r="K700" s="80"/>
      <c r="L700" s="80"/>
      <c r="M700" s="80"/>
    </row>
    <row r="701">
      <c r="G701" s="80"/>
      <c r="H701" s="80"/>
      <c r="I701" s="80"/>
      <c r="J701" s="80"/>
      <c r="K701" s="80"/>
      <c r="L701" s="80"/>
      <c r="M701" s="80"/>
    </row>
    <row r="702">
      <c r="G702" s="80"/>
      <c r="H702" s="80"/>
      <c r="I702" s="80"/>
      <c r="J702" s="80"/>
      <c r="K702" s="80"/>
      <c r="L702" s="80"/>
      <c r="M702" s="80"/>
    </row>
    <row r="703">
      <c r="G703" s="80"/>
      <c r="H703" s="80"/>
      <c r="I703" s="80"/>
      <c r="J703" s="80"/>
      <c r="K703" s="80"/>
      <c r="L703" s="80"/>
      <c r="M703" s="80"/>
    </row>
    <row r="704">
      <c r="G704" s="80"/>
      <c r="H704" s="80"/>
      <c r="I704" s="80"/>
      <c r="J704" s="80"/>
      <c r="K704" s="80"/>
      <c r="L704" s="80"/>
      <c r="M704" s="80"/>
    </row>
    <row r="705">
      <c r="G705" s="80"/>
      <c r="H705" s="80"/>
      <c r="I705" s="80"/>
      <c r="J705" s="80"/>
      <c r="K705" s="80"/>
      <c r="L705" s="80"/>
      <c r="M705" s="80"/>
    </row>
    <row r="706">
      <c r="G706" s="80"/>
      <c r="H706" s="80"/>
      <c r="I706" s="80"/>
      <c r="J706" s="80"/>
      <c r="K706" s="80"/>
      <c r="L706" s="80"/>
      <c r="M706" s="80"/>
    </row>
    <row r="707">
      <c r="G707" s="80"/>
      <c r="H707" s="80"/>
      <c r="I707" s="80"/>
      <c r="J707" s="80"/>
      <c r="K707" s="80"/>
      <c r="L707" s="80"/>
      <c r="M707" s="80"/>
    </row>
    <row r="708">
      <c r="G708" s="80"/>
      <c r="H708" s="80"/>
      <c r="I708" s="80"/>
      <c r="J708" s="80"/>
      <c r="K708" s="80"/>
      <c r="L708" s="80"/>
      <c r="M708" s="80"/>
    </row>
    <row r="709">
      <c r="G709" s="80"/>
      <c r="H709" s="80"/>
      <c r="I709" s="80"/>
      <c r="J709" s="80"/>
      <c r="K709" s="80"/>
      <c r="L709" s="80"/>
      <c r="M709" s="80"/>
    </row>
    <row r="710">
      <c r="G710" s="80"/>
      <c r="H710" s="80"/>
      <c r="I710" s="80"/>
      <c r="J710" s="80"/>
      <c r="K710" s="80"/>
      <c r="L710" s="80"/>
      <c r="M710" s="80"/>
    </row>
    <row r="711">
      <c r="G711" s="80"/>
      <c r="H711" s="80"/>
      <c r="I711" s="80"/>
      <c r="J711" s="80"/>
      <c r="K711" s="80"/>
      <c r="L711" s="80"/>
      <c r="M711" s="80"/>
    </row>
    <row r="712">
      <c r="G712" s="80"/>
      <c r="H712" s="80"/>
      <c r="I712" s="80"/>
      <c r="J712" s="80"/>
      <c r="K712" s="80"/>
      <c r="L712" s="80"/>
      <c r="M712" s="80"/>
    </row>
    <row r="713">
      <c r="G713" s="80"/>
      <c r="H713" s="80"/>
      <c r="I713" s="80"/>
      <c r="J713" s="80"/>
      <c r="K713" s="80"/>
      <c r="L713" s="80"/>
      <c r="M713" s="80"/>
    </row>
    <row r="714">
      <c r="G714" s="80"/>
      <c r="H714" s="80"/>
      <c r="I714" s="80"/>
      <c r="J714" s="80"/>
      <c r="K714" s="80"/>
      <c r="L714" s="80"/>
      <c r="M714" s="80"/>
    </row>
    <row r="715">
      <c r="G715" s="80"/>
      <c r="H715" s="80"/>
      <c r="I715" s="80"/>
      <c r="J715" s="80"/>
      <c r="K715" s="80"/>
      <c r="L715" s="80"/>
      <c r="M715" s="80"/>
    </row>
    <row r="716">
      <c r="G716" s="80"/>
      <c r="H716" s="80"/>
      <c r="I716" s="80"/>
      <c r="J716" s="80"/>
      <c r="K716" s="80"/>
      <c r="L716" s="80"/>
      <c r="M716" s="80"/>
    </row>
    <row r="717">
      <c r="G717" s="80"/>
      <c r="H717" s="80"/>
      <c r="I717" s="80"/>
      <c r="J717" s="80"/>
      <c r="K717" s="80"/>
      <c r="L717" s="80"/>
      <c r="M717" s="80"/>
    </row>
    <row r="718">
      <c r="G718" s="80"/>
      <c r="H718" s="80"/>
      <c r="I718" s="80"/>
      <c r="J718" s="80"/>
      <c r="K718" s="80"/>
      <c r="L718" s="80"/>
      <c r="M718" s="80"/>
    </row>
    <row r="719">
      <c r="G719" s="80"/>
      <c r="H719" s="80"/>
      <c r="I719" s="80"/>
      <c r="J719" s="80"/>
      <c r="K719" s="80"/>
      <c r="L719" s="80"/>
      <c r="M719" s="80"/>
    </row>
    <row r="720">
      <c r="G720" s="80"/>
      <c r="H720" s="80"/>
      <c r="I720" s="80"/>
      <c r="J720" s="80"/>
      <c r="K720" s="80"/>
      <c r="L720" s="80"/>
      <c r="M720" s="80"/>
    </row>
    <row r="721">
      <c r="G721" s="80"/>
      <c r="H721" s="80"/>
      <c r="I721" s="80"/>
      <c r="J721" s="80"/>
      <c r="K721" s="80"/>
      <c r="L721" s="80"/>
      <c r="M721" s="80"/>
    </row>
    <row r="722">
      <c r="G722" s="80"/>
      <c r="H722" s="80"/>
      <c r="I722" s="80"/>
      <c r="J722" s="80"/>
      <c r="K722" s="80"/>
      <c r="L722" s="80"/>
      <c r="M722" s="80"/>
    </row>
    <row r="723">
      <c r="G723" s="80"/>
      <c r="H723" s="80"/>
      <c r="I723" s="80"/>
      <c r="J723" s="80"/>
      <c r="K723" s="80"/>
      <c r="L723" s="80"/>
      <c r="M723" s="80"/>
    </row>
    <row r="724">
      <c r="G724" s="80"/>
      <c r="H724" s="80"/>
      <c r="I724" s="80"/>
      <c r="J724" s="80"/>
      <c r="K724" s="80"/>
      <c r="L724" s="80"/>
      <c r="M724" s="80"/>
    </row>
    <row r="725">
      <c r="G725" s="80"/>
      <c r="H725" s="80"/>
      <c r="I725" s="80"/>
      <c r="J725" s="80"/>
      <c r="K725" s="80"/>
      <c r="L725" s="80"/>
      <c r="M725" s="80"/>
    </row>
    <row r="726">
      <c r="G726" s="80"/>
      <c r="H726" s="80"/>
      <c r="I726" s="80"/>
      <c r="J726" s="80"/>
      <c r="K726" s="80"/>
      <c r="L726" s="80"/>
      <c r="M726" s="80"/>
    </row>
    <row r="727">
      <c r="G727" s="80"/>
      <c r="H727" s="80"/>
      <c r="I727" s="80"/>
      <c r="J727" s="80"/>
      <c r="K727" s="80"/>
      <c r="L727" s="80"/>
      <c r="M727" s="80"/>
    </row>
    <row r="728">
      <c r="G728" s="80"/>
      <c r="H728" s="80"/>
      <c r="I728" s="80"/>
      <c r="J728" s="80"/>
      <c r="K728" s="80"/>
      <c r="L728" s="80"/>
      <c r="M728" s="80"/>
    </row>
    <row r="729">
      <c r="G729" s="80"/>
      <c r="H729" s="80"/>
      <c r="I729" s="80"/>
      <c r="J729" s="80"/>
      <c r="K729" s="80"/>
      <c r="L729" s="80"/>
      <c r="M729" s="80"/>
    </row>
    <row r="730">
      <c r="G730" s="80"/>
      <c r="H730" s="80"/>
      <c r="I730" s="80"/>
      <c r="J730" s="80"/>
      <c r="K730" s="80"/>
      <c r="L730" s="80"/>
      <c r="M730" s="80"/>
    </row>
    <row r="731">
      <c r="G731" s="80"/>
      <c r="H731" s="80"/>
      <c r="I731" s="80"/>
      <c r="J731" s="80"/>
      <c r="K731" s="80"/>
      <c r="L731" s="80"/>
      <c r="M731" s="80"/>
    </row>
    <row r="732">
      <c r="G732" s="80"/>
      <c r="H732" s="80"/>
      <c r="I732" s="80"/>
      <c r="J732" s="80"/>
      <c r="K732" s="80"/>
      <c r="L732" s="80"/>
      <c r="M732" s="80"/>
    </row>
    <row r="733">
      <c r="G733" s="80"/>
      <c r="H733" s="80"/>
      <c r="I733" s="80"/>
      <c r="J733" s="80"/>
      <c r="K733" s="80"/>
      <c r="L733" s="80"/>
      <c r="M733" s="80"/>
    </row>
    <row r="734">
      <c r="G734" s="80"/>
      <c r="H734" s="80"/>
      <c r="I734" s="80"/>
      <c r="J734" s="80"/>
      <c r="K734" s="80"/>
      <c r="L734" s="80"/>
      <c r="M734" s="80"/>
    </row>
    <row r="735">
      <c r="G735" s="80"/>
      <c r="H735" s="80"/>
      <c r="I735" s="80"/>
      <c r="J735" s="80"/>
      <c r="K735" s="80"/>
      <c r="L735" s="80"/>
      <c r="M735" s="80"/>
    </row>
    <row r="736">
      <c r="G736" s="80"/>
      <c r="H736" s="80"/>
      <c r="I736" s="80"/>
      <c r="J736" s="80"/>
      <c r="K736" s="80"/>
      <c r="L736" s="80"/>
      <c r="M736" s="80"/>
    </row>
    <row r="737">
      <c r="G737" s="80"/>
      <c r="H737" s="80"/>
      <c r="I737" s="80"/>
      <c r="J737" s="80"/>
      <c r="K737" s="80"/>
      <c r="L737" s="80"/>
      <c r="M737" s="80"/>
    </row>
    <row r="738">
      <c r="G738" s="80"/>
      <c r="H738" s="80"/>
      <c r="I738" s="80"/>
      <c r="J738" s="80"/>
      <c r="K738" s="80"/>
      <c r="L738" s="80"/>
      <c r="M738" s="80"/>
    </row>
    <row r="739">
      <c r="G739" s="80"/>
      <c r="H739" s="80"/>
      <c r="I739" s="80"/>
      <c r="J739" s="80"/>
      <c r="K739" s="80"/>
      <c r="L739" s="80"/>
      <c r="M739" s="80"/>
    </row>
    <row r="740">
      <c r="G740" s="80"/>
      <c r="H740" s="80"/>
      <c r="I740" s="80"/>
      <c r="J740" s="80"/>
      <c r="K740" s="80"/>
      <c r="L740" s="80"/>
      <c r="M740" s="80"/>
    </row>
    <row r="741">
      <c r="G741" s="80"/>
      <c r="H741" s="80"/>
      <c r="I741" s="80"/>
      <c r="J741" s="80"/>
      <c r="K741" s="80"/>
      <c r="L741" s="80"/>
      <c r="M741" s="80"/>
    </row>
    <row r="742">
      <c r="G742" s="80"/>
      <c r="H742" s="80"/>
      <c r="I742" s="80"/>
      <c r="J742" s="80"/>
      <c r="K742" s="80"/>
      <c r="L742" s="80"/>
      <c r="M742" s="80"/>
    </row>
    <row r="743">
      <c r="G743" s="80"/>
      <c r="H743" s="80"/>
      <c r="I743" s="80"/>
      <c r="J743" s="80"/>
      <c r="K743" s="80"/>
      <c r="L743" s="80"/>
      <c r="M743" s="80"/>
    </row>
    <row r="744">
      <c r="G744" s="80"/>
      <c r="H744" s="80"/>
      <c r="I744" s="80"/>
      <c r="J744" s="80"/>
      <c r="K744" s="80"/>
      <c r="L744" s="80"/>
      <c r="M744" s="80"/>
    </row>
    <row r="745">
      <c r="G745" s="80"/>
      <c r="H745" s="80"/>
      <c r="I745" s="80"/>
      <c r="J745" s="80"/>
      <c r="K745" s="80"/>
      <c r="L745" s="80"/>
      <c r="M745" s="80"/>
    </row>
    <row r="746">
      <c r="G746" s="80"/>
      <c r="H746" s="80"/>
      <c r="I746" s="80"/>
      <c r="J746" s="80"/>
      <c r="K746" s="80"/>
      <c r="L746" s="80"/>
      <c r="M746" s="80"/>
    </row>
    <row r="747">
      <c r="G747" s="80"/>
      <c r="H747" s="80"/>
      <c r="I747" s="80"/>
      <c r="J747" s="80"/>
      <c r="K747" s="80"/>
      <c r="L747" s="80"/>
      <c r="M747" s="80"/>
    </row>
    <row r="748">
      <c r="G748" s="80"/>
      <c r="H748" s="80"/>
      <c r="I748" s="80"/>
      <c r="J748" s="80"/>
      <c r="K748" s="80"/>
      <c r="L748" s="80"/>
      <c r="M748" s="80"/>
    </row>
    <row r="749">
      <c r="G749" s="80"/>
      <c r="H749" s="80"/>
      <c r="I749" s="80"/>
      <c r="J749" s="80"/>
      <c r="K749" s="80"/>
      <c r="L749" s="80"/>
      <c r="M749" s="80"/>
    </row>
    <row r="750">
      <c r="G750" s="80"/>
      <c r="H750" s="80"/>
      <c r="I750" s="80"/>
      <c r="J750" s="80"/>
      <c r="K750" s="80"/>
      <c r="L750" s="80"/>
      <c r="M750" s="80"/>
    </row>
    <row r="751">
      <c r="G751" s="80"/>
      <c r="H751" s="80"/>
      <c r="I751" s="80"/>
      <c r="J751" s="80"/>
      <c r="K751" s="80"/>
      <c r="L751" s="80"/>
      <c r="M751" s="80"/>
    </row>
    <row r="752">
      <c r="G752" s="80"/>
      <c r="H752" s="80"/>
      <c r="I752" s="80"/>
      <c r="J752" s="80"/>
      <c r="K752" s="80"/>
      <c r="L752" s="80"/>
      <c r="M752" s="80"/>
    </row>
    <row r="753">
      <c r="G753" s="80"/>
      <c r="H753" s="80"/>
      <c r="I753" s="80"/>
      <c r="J753" s="80"/>
      <c r="K753" s="80"/>
      <c r="L753" s="80"/>
      <c r="M753" s="80"/>
    </row>
    <row r="754">
      <c r="G754" s="80"/>
      <c r="H754" s="80"/>
      <c r="I754" s="80"/>
      <c r="J754" s="80"/>
      <c r="K754" s="80"/>
      <c r="L754" s="80"/>
      <c r="M754" s="80"/>
    </row>
    <row r="755">
      <c r="G755" s="80"/>
      <c r="H755" s="80"/>
      <c r="I755" s="80"/>
      <c r="J755" s="80"/>
      <c r="K755" s="80"/>
      <c r="L755" s="80"/>
      <c r="M755" s="80"/>
    </row>
    <row r="756">
      <c r="G756" s="80"/>
      <c r="H756" s="80"/>
      <c r="I756" s="80"/>
      <c r="J756" s="80"/>
      <c r="K756" s="80"/>
      <c r="L756" s="80"/>
      <c r="M756" s="80"/>
    </row>
    <row r="757">
      <c r="G757" s="80"/>
      <c r="H757" s="80"/>
      <c r="I757" s="80"/>
      <c r="J757" s="80"/>
      <c r="K757" s="80"/>
      <c r="L757" s="80"/>
      <c r="M757" s="80"/>
    </row>
    <row r="758">
      <c r="G758" s="80"/>
      <c r="H758" s="80"/>
      <c r="I758" s="80"/>
      <c r="J758" s="80"/>
      <c r="K758" s="80"/>
      <c r="L758" s="80"/>
      <c r="M758" s="80"/>
    </row>
    <row r="759">
      <c r="G759" s="80"/>
      <c r="H759" s="80"/>
      <c r="I759" s="80"/>
      <c r="J759" s="80"/>
      <c r="K759" s="80"/>
      <c r="L759" s="80"/>
      <c r="M759" s="80"/>
    </row>
    <row r="760">
      <c r="G760" s="80"/>
      <c r="H760" s="80"/>
      <c r="I760" s="80"/>
      <c r="J760" s="80"/>
      <c r="K760" s="80"/>
      <c r="L760" s="80"/>
      <c r="M760" s="80"/>
    </row>
    <row r="761">
      <c r="G761" s="80"/>
      <c r="H761" s="80"/>
      <c r="I761" s="80"/>
      <c r="J761" s="80"/>
      <c r="K761" s="80"/>
      <c r="L761" s="80"/>
      <c r="M761" s="80"/>
    </row>
    <row r="762">
      <c r="G762" s="80"/>
      <c r="H762" s="80"/>
      <c r="I762" s="80"/>
      <c r="J762" s="80"/>
      <c r="K762" s="80"/>
      <c r="L762" s="80"/>
      <c r="M762" s="80"/>
    </row>
    <row r="763">
      <c r="G763" s="80"/>
      <c r="H763" s="80"/>
      <c r="I763" s="80"/>
      <c r="J763" s="80"/>
      <c r="K763" s="80"/>
      <c r="L763" s="80"/>
      <c r="M763" s="80"/>
    </row>
    <row r="764">
      <c r="G764" s="80"/>
      <c r="H764" s="80"/>
      <c r="I764" s="80"/>
      <c r="J764" s="80"/>
      <c r="K764" s="80"/>
      <c r="L764" s="80"/>
      <c r="M764" s="80"/>
    </row>
    <row r="765">
      <c r="G765" s="80"/>
      <c r="H765" s="80"/>
      <c r="I765" s="80"/>
      <c r="J765" s="80"/>
      <c r="K765" s="80"/>
      <c r="L765" s="80"/>
      <c r="M765" s="80"/>
    </row>
    <row r="766">
      <c r="G766" s="80"/>
      <c r="H766" s="80"/>
      <c r="I766" s="80"/>
      <c r="J766" s="80"/>
      <c r="K766" s="80"/>
      <c r="L766" s="80"/>
      <c r="M766" s="80"/>
    </row>
    <row r="767">
      <c r="G767" s="80"/>
      <c r="H767" s="80"/>
      <c r="I767" s="80"/>
      <c r="J767" s="80"/>
      <c r="K767" s="80"/>
      <c r="L767" s="80"/>
      <c r="M767" s="80"/>
    </row>
    <row r="768">
      <c r="G768" s="80"/>
      <c r="H768" s="80"/>
      <c r="I768" s="80"/>
      <c r="J768" s="80"/>
      <c r="K768" s="80"/>
      <c r="L768" s="80"/>
      <c r="M768" s="80"/>
    </row>
    <row r="769">
      <c r="G769" s="80"/>
      <c r="H769" s="80"/>
      <c r="I769" s="80"/>
      <c r="J769" s="80"/>
      <c r="K769" s="80"/>
      <c r="L769" s="80"/>
      <c r="M769" s="80"/>
    </row>
    <row r="770">
      <c r="G770" s="80"/>
      <c r="H770" s="80"/>
      <c r="I770" s="80"/>
      <c r="J770" s="80"/>
      <c r="K770" s="80"/>
      <c r="L770" s="80"/>
      <c r="M770" s="80"/>
    </row>
    <row r="771">
      <c r="G771" s="80"/>
      <c r="H771" s="80"/>
      <c r="I771" s="80"/>
      <c r="J771" s="80"/>
      <c r="K771" s="80"/>
      <c r="L771" s="80"/>
      <c r="M771" s="80"/>
    </row>
    <row r="772">
      <c r="G772" s="80"/>
      <c r="H772" s="80"/>
      <c r="I772" s="80"/>
      <c r="J772" s="80"/>
      <c r="K772" s="80"/>
      <c r="L772" s="80"/>
      <c r="M772" s="80"/>
    </row>
    <row r="773">
      <c r="G773" s="80"/>
      <c r="H773" s="80"/>
      <c r="I773" s="80"/>
      <c r="J773" s="80"/>
      <c r="K773" s="80"/>
      <c r="L773" s="80"/>
      <c r="M773" s="80"/>
    </row>
    <row r="774">
      <c r="G774" s="80"/>
      <c r="H774" s="80"/>
      <c r="I774" s="80"/>
      <c r="J774" s="80"/>
      <c r="K774" s="80"/>
      <c r="L774" s="80"/>
      <c r="M774" s="80"/>
    </row>
    <row r="775">
      <c r="G775" s="80"/>
      <c r="H775" s="80"/>
      <c r="I775" s="80"/>
      <c r="J775" s="80"/>
      <c r="K775" s="80"/>
      <c r="L775" s="80"/>
      <c r="M775" s="80"/>
    </row>
    <row r="776">
      <c r="G776" s="80"/>
      <c r="H776" s="80"/>
      <c r="I776" s="80"/>
      <c r="J776" s="80"/>
      <c r="K776" s="80"/>
      <c r="L776" s="80"/>
      <c r="M776" s="80"/>
    </row>
    <row r="777">
      <c r="G777" s="80"/>
      <c r="H777" s="80"/>
      <c r="I777" s="80"/>
      <c r="J777" s="80"/>
      <c r="K777" s="80"/>
      <c r="L777" s="80"/>
      <c r="M777" s="80"/>
    </row>
    <row r="778">
      <c r="G778" s="80"/>
      <c r="H778" s="80"/>
      <c r="I778" s="80"/>
      <c r="J778" s="80"/>
      <c r="K778" s="80"/>
      <c r="L778" s="80"/>
      <c r="M778" s="80"/>
    </row>
    <row r="779">
      <c r="G779" s="80"/>
      <c r="H779" s="80"/>
      <c r="I779" s="80"/>
      <c r="J779" s="80"/>
      <c r="K779" s="80"/>
      <c r="L779" s="80"/>
      <c r="M779" s="80"/>
    </row>
    <row r="780">
      <c r="G780" s="80"/>
      <c r="H780" s="80"/>
      <c r="I780" s="80"/>
      <c r="J780" s="80"/>
      <c r="K780" s="80"/>
      <c r="L780" s="80"/>
      <c r="M780" s="80"/>
    </row>
    <row r="781">
      <c r="G781" s="80"/>
      <c r="H781" s="80"/>
      <c r="I781" s="80"/>
      <c r="J781" s="80"/>
      <c r="K781" s="80"/>
      <c r="L781" s="80"/>
      <c r="M781" s="80"/>
    </row>
    <row r="782">
      <c r="G782" s="80"/>
      <c r="H782" s="80"/>
      <c r="I782" s="80"/>
      <c r="J782" s="80"/>
      <c r="K782" s="80"/>
      <c r="L782" s="80"/>
      <c r="M782" s="80"/>
    </row>
    <row r="783">
      <c r="G783" s="80"/>
      <c r="H783" s="80"/>
      <c r="I783" s="80"/>
      <c r="J783" s="80"/>
      <c r="K783" s="80"/>
      <c r="L783" s="80"/>
      <c r="M783" s="80"/>
    </row>
    <row r="784">
      <c r="G784" s="80"/>
      <c r="H784" s="80"/>
      <c r="I784" s="80"/>
      <c r="J784" s="80"/>
      <c r="K784" s="80"/>
      <c r="L784" s="80"/>
      <c r="M784" s="80"/>
    </row>
    <row r="785">
      <c r="G785" s="80"/>
      <c r="H785" s="80"/>
      <c r="I785" s="80"/>
      <c r="J785" s="80"/>
      <c r="K785" s="80"/>
      <c r="L785" s="80"/>
      <c r="M785" s="80"/>
    </row>
    <row r="786">
      <c r="G786" s="80"/>
      <c r="H786" s="80"/>
      <c r="I786" s="80"/>
      <c r="J786" s="80"/>
      <c r="K786" s="80"/>
      <c r="L786" s="80"/>
      <c r="M786" s="80"/>
    </row>
    <row r="787">
      <c r="G787" s="80"/>
      <c r="H787" s="80"/>
      <c r="I787" s="80"/>
      <c r="J787" s="80"/>
      <c r="K787" s="80"/>
      <c r="L787" s="80"/>
      <c r="M787" s="80"/>
    </row>
    <row r="788">
      <c r="G788" s="80"/>
      <c r="H788" s="80"/>
      <c r="I788" s="80"/>
      <c r="J788" s="80"/>
      <c r="K788" s="80"/>
      <c r="L788" s="80"/>
      <c r="M788" s="80"/>
    </row>
    <row r="789">
      <c r="G789" s="80"/>
      <c r="H789" s="80"/>
      <c r="I789" s="80"/>
      <c r="J789" s="80"/>
      <c r="K789" s="80"/>
      <c r="L789" s="80"/>
      <c r="M789" s="80"/>
    </row>
    <row r="790">
      <c r="G790" s="80"/>
      <c r="H790" s="80"/>
      <c r="I790" s="80"/>
      <c r="J790" s="80"/>
      <c r="K790" s="80"/>
      <c r="L790" s="80"/>
      <c r="M790" s="80"/>
    </row>
    <row r="791">
      <c r="G791" s="80"/>
      <c r="H791" s="80"/>
      <c r="I791" s="80"/>
      <c r="J791" s="80"/>
      <c r="K791" s="80"/>
      <c r="L791" s="80"/>
      <c r="M791" s="80"/>
    </row>
    <row r="792">
      <c r="G792" s="80"/>
      <c r="H792" s="80"/>
      <c r="I792" s="80"/>
      <c r="J792" s="80"/>
      <c r="K792" s="80"/>
      <c r="L792" s="80"/>
      <c r="M792" s="80"/>
    </row>
    <row r="793">
      <c r="G793" s="80"/>
      <c r="H793" s="80"/>
      <c r="I793" s="80"/>
      <c r="J793" s="80"/>
      <c r="K793" s="80"/>
      <c r="L793" s="80"/>
      <c r="M793" s="80"/>
    </row>
    <row r="794">
      <c r="G794" s="80"/>
      <c r="H794" s="80"/>
      <c r="I794" s="80"/>
      <c r="J794" s="80"/>
      <c r="K794" s="80"/>
      <c r="L794" s="80"/>
      <c r="M794" s="80"/>
    </row>
    <row r="795">
      <c r="G795" s="80"/>
      <c r="H795" s="80"/>
      <c r="I795" s="80"/>
      <c r="J795" s="80"/>
      <c r="K795" s="80"/>
      <c r="L795" s="80"/>
      <c r="M795" s="80"/>
    </row>
    <row r="796">
      <c r="G796" s="80"/>
      <c r="H796" s="80"/>
      <c r="I796" s="80"/>
      <c r="J796" s="80"/>
      <c r="K796" s="80"/>
      <c r="L796" s="80"/>
      <c r="M796" s="80"/>
    </row>
    <row r="797">
      <c r="G797" s="80"/>
      <c r="H797" s="80"/>
      <c r="I797" s="80"/>
      <c r="J797" s="80"/>
      <c r="K797" s="80"/>
      <c r="L797" s="80"/>
      <c r="M797" s="80"/>
    </row>
    <row r="798">
      <c r="G798" s="80"/>
      <c r="H798" s="80"/>
      <c r="I798" s="80"/>
      <c r="J798" s="80"/>
      <c r="K798" s="80"/>
      <c r="L798" s="80"/>
      <c r="M798" s="80"/>
    </row>
    <row r="799">
      <c r="G799" s="80"/>
      <c r="H799" s="80"/>
      <c r="I799" s="80"/>
      <c r="J799" s="80"/>
      <c r="K799" s="80"/>
      <c r="L799" s="80"/>
      <c r="M799" s="80"/>
    </row>
    <row r="800">
      <c r="G800" s="80"/>
      <c r="H800" s="80"/>
      <c r="I800" s="80"/>
      <c r="J800" s="80"/>
      <c r="K800" s="80"/>
      <c r="L800" s="80"/>
      <c r="M800" s="80"/>
    </row>
    <row r="801">
      <c r="G801" s="80"/>
      <c r="H801" s="80"/>
      <c r="I801" s="80"/>
      <c r="J801" s="80"/>
      <c r="K801" s="80"/>
      <c r="L801" s="80"/>
      <c r="M801" s="80"/>
    </row>
    <row r="802">
      <c r="G802" s="80"/>
      <c r="H802" s="80"/>
      <c r="I802" s="80"/>
      <c r="J802" s="80"/>
      <c r="K802" s="80"/>
      <c r="L802" s="80"/>
      <c r="M802" s="80"/>
    </row>
    <row r="803">
      <c r="G803" s="80"/>
      <c r="H803" s="80"/>
      <c r="I803" s="80"/>
      <c r="J803" s="80"/>
      <c r="K803" s="80"/>
      <c r="L803" s="80"/>
      <c r="M803" s="80"/>
    </row>
    <row r="804">
      <c r="G804" s="80"/>
      <c r="H804" s="80"/>
      <c r="I804" s="80"/>
      <c r="J804" s="80"/>
      <c r="K804" s="80"/>
      <c r="L804" s="80"/>
      <c r="M804" s="80"/>
    </row>
    <row r="805">
      <c r="G805" s="80"/>
      <c r="H805" s="80"/>
      <c r="I805" s="80"/>
      <c r="J805" s="80"/>
      <c r="K805" s="80"/>
      <c r="L805" s="80"/>
      <c r="M805" s="80"/>
    </row>
    <row r="806">
      <c r="G806" s="80"/>
      <c r="H806" s="80"/>
      <c r="I806" s="80"/>
      <c r="J806" s="80"/>
      <c r="K806" s="80"/>
      <c r="L806" s="80"/>
      <c r="M806" s="80"/>
    </row>
    <row r="807">
      <c r="G807" s="80"/>
      <c r="H807" s="80"/>
      <c r="I807" s="80"/>
      <c r="J807" s="80"/>
      <c r="K807" s="80"/>
      <c r="L807" s="80"/>
      <c r="M807" s="80"/>
    </row>
    <row r="808">
      <c r="G808" s="80"/>
      <c r="H808" s="80"/>
      <c r="I808" s="80"/>
      <c r="J808" s="80"/>
      <c r="K808" s="80"/>
      <c r="L808" s="80"/>
      <c r="M808" s="80"/>
    </row>
    <row r="809">
      <c r="G809" s="80"/>
      <c r="H809" s="80"/>
      <c r="I809" s="80"/>
      <c r="J809" s="80"/>
      <c r="K809" s="80"/>
      <c r="L809" s="80"/>
      <c r="M809" s="80"/>
    </row>
    <row r="810">
      <c r="G810" s="80"/>
      <c r="H810" s="80"/>
      <c r="I810" s="80"/>
      <c r="J810" s="80"/>
      <c r="K810" s="80"/>
      <c r="L810" s="80"/>
      <c r="M810" s="80"/>
    </row>
    <row r="811">
      <c r="G811" s="80"/>
      <c r="H811" s="80"/>
      <c r="I811" s="80"/>
      <c r="J811" s="80"/>
      <c r="K811" s="80"/>
      <c r="L811" s="80"/>
      <c r="M811" s="80"/>
    </row>
    <row r="812">
      <c r="G812" s="80"/>
      <c r="H812" s="80"/>
      <c r="I812" s="80"/>
      <c r="J812" s="80"/>
      <c r="K812" s="80"/>
      <c r="L812" s="80"/>
      <c r="M812" s="80"/>
    </row>
    <row r="813">
      <c r="G813" s="80"/>
      <c r="H813" s="80"/>
      <c r="I813" s="80"/>
      <c r="J813" s="80"/>
      <c r="K813" s="80"/>
      <c r="L813" s="80"/>
      <c r="M813" s="80"/>
    </row>
    <row r="814">
      <c r="G814" s="80"/>
      <c r="H814" s="80"/>
      <c r="I814" s="80"/>
      <c r="J814" s="80"/>
      <c r="K814" s="80"/>
      <c r="L814" s="80"/>
      <c r="M814" s="80"/>
    </row>
    <row r="815">
      <c r="G815" s="80"/>
      <c r="H815" s="80"/>
      <c r="I815" s="80"/>
      <c r="J815" s="80"/>
      <c r="K815" s="80"/>
      <c r="L815" s="80"/>
      <c r="M815" s="80"/>
    </row>
    <row r="816">
      <c r="G816" s="80"/>
      <c r="H816" s="80"/>
      <c r="I816" s="80"/>
      <c r="J816" s="80"/>
      <c r="K816" s="80"/>
      <c r="L816" s="80"/>
      <c r="M816" s="80"/>
    </row>
    <row r="817">
      <c r="G817" s="80"/>
      <c r="H817" s="80"/>
      <c r="I817" s="80"/>
      <c r="J817" s="80"/>
      <c r="K817" s="80"/>
      <c r="L817" s="80"/>
      <c r="M817" s="80"/>
    </row>
    <row r="818">
      <c r="G818" s="80"/>
      <c r="H818" s="80"/>
      <c r="I818" s="80"/>
      <c r="J818" s="80"/>
      <c r="K818" s="80"/>
      <c r="L818" s="80"/>
      <c r="M818" s="80"/>
    </row>
    <row r="819">
      <c r="G819" s="80"/>
      <c r="H819" s="80"/>
      <c r="I819" s="80"/>
      <c r="J819" s="80"/>
      <c r="K819" s="80"/>
      <c r="L819" s="80"/>
      <c r="M819" s="80"/>
    </row>
    <row r="820">
      <c r="G820" s="80"/>
      <c r="H820" s="80"/>
      <c r="I820" s="80"/>
      <c r="J820" s="80"/>
      <c r="K820" s="80"/>
      <c r="L820" s="80"/>
      <c r="M820" s="80"/>
    </row>
    <row r="821">
      <c r="G821" s="80"/>
      <c r="H821" s="80"/>
      <c r="I821" s="80"/>
      <c r="J821" s="80"/>
      <c r="K821" s="80"/>
      <c r="L821" s="80"/>
      <c r="M821" s="80"/>
    </row>
    <row r="822">
      <c r="G822" s="80"/>
      <c r="H822" s="80"/>
      <c r="I822" s="80"/>
      <c r="J822" s="80"/>
      <c r="K822" s="80"/>
      <c r="L822" s="80"/>
      <c r="M822" s="80"/>
    </row>
    <row r="823">
      <c r="G823" s="80"/>
      <c r="H823" s="80"/>
      <c r="I823" s="80"/>
      <c r="J823" s="80"/>
      <c r="K823" s="80"/>
      <c r="L823" s="80"/>
      <c r="M823" s="80"/>
    </row>
    <row r="824">
      <c r="G824" s="80"/>
      <c r="H824" s="80"/>
      <c r="I824" s="80"/>
      <c r="J824" s="80"/>
      <c r="K824" s="80"/>
      <c r="L824" s="80"/>
      <c r="M824" s="80"/>
    </row>
    <row r="825">
      <c r="G825" s="80"/>
      <c r="H825" s="80"/>
      <c r="I825" s="80"/>
      <c r="J825" s="80"/>
      <c r="K825" s="80"/>
      <c r="L825" s="80"/>
      <c r="M825" s="80"/>
    </row>
    <row r="826">
      <c r="G826" s="80"/>
      <c r="H826" s="80"/>
      <c r="I826" s="80"/>
      <c r="J826" s="80"/>
      <c r="K826" s="80"/>
      <c r="L826" s="80"/>
      <c r="M826" s="80"/>
    </row>
    <row r="827">
      <c r="G827" s="80"/>
      <c r="H827" s="80"/>
      <c r="I827" s="80"/>
      <c r="J827" s="80"/>
      <c r="K827" s="80"/>
      <c r="L827" s="80"/>
      <c r="M827" s="80"/>
    </row>
    <row r="828">
      <c r="G828" s="80"/>
      <c r="H828" s="80"/>
      <c r="I828" s="80"/>
      <c r="J828" s="80"/>
      <c r="K828" s="80"/>
      <c r="L828" s="80"/>
      <c r="M828" s="80"/>
    </row>
    <row r="829">
      <c r="G829" s="80"/>
      <c r="H829" s="80"/>
      <c r="I829" s="80"/>
      <c r="J829" s="80"/>
      <c r="K829" s="80"/>
      <c r="L829" s="80"/>
      <c r="M829" s="80"/>
    </row>
    <row r="830">
      <c r="G830" s="80"/>
      <c r="H830" s="80"/>
      <c r="I830" s="80"/>
      <c r="J830" s="80"/>
      <c r="K830" s="80"/>
      <c r="L830" s="80"/>
      <c r="M830" s="80"/>
    </row>
    <row r="831">
      <c r="G831" s="80"/>
      <c r="H831" s="80"/>
      <c r="I831" s="80"/>
      <c r="J831" s="80"/>
      <c r="K831" s="80"/>
      <c r="L831" s="80"/>
      <c r="M831" s="80"/>
    </row>
    <row r="832">
      <c r="G832" s="80"/>
      <c r="H832" s="80"/>
      <c r="I832" s="80"/>
      <c r="J832" s="80"/>
      <c r="K832" s="80"/>
      <c r="L832" s="80"/>
      <c r="M832" s="80"/>
    </row>
    <row r="833">
      <c r="G833" s="80"/>
      <c r="H833" s="80"/>
      <c r="I833" s="80"/>
      <c r="J833" s="80"/>
      <c r="K833" s="80"/>
      <c r="L833" s="80"/>
      <c r="M833" s="80"/>
    </row>
    <row r="834">
      <c r="G834" s="80"/>
      <c r="H834" s="80"/>
      <c r="I834" s="80"/>
      <c r="J834" s="80"/>
      <c r="K834" s="80"/>
      <c r="L834" s="80"/>
      <c r="M834" s="80"/>
    </row>
    <row r="835">
      <c r="G835" s="80"/>
      <c r="H835" s="80"/>
      <c r="I835" s="80"/>
      <c r="J835" s="80"/>
      <c r="K835" s="80"/>
      <c r="L835" s="80"/>
      <c r="M835" s="80"/>
    </row>
    <row r="836">
      <c r="G836" s="80"/>
      <c r="H836" s="80"/>
      <c r="I836" s="80"/>
      <c r="J836" s="80"/>
      <c r="K836" s="80"/>
      <c r="L836" s="80"/>
      <c r="M836" s="80"/>
    </row>
    <row r="837">
      <c r="G837" s="80"/>
      <c r="H837" s="80"/>
      <c r="I837" s="80"/>
      <c r="J837" s="80"/>
      <c r="K837" s="80"/>
      <c r="L837" s="80"/>
      <c r="M837" s="80"/>
    </row>
    <row r="838">
      <c r="G838" s="80"/>
      <c r="H838" s="80"/>
      <c r="I838" s="80"/>
      <c r="J838" s="80"/>
      <c r="K838" s="80"/>
      <c r="L838" s="80"/>
      <c r="M838" s="80"/>
    </row>
    <row r="839">
      <c r="G839" s="80"/>
      <c r="H839" s="80"/>
      <c r="I839" s="80"/>
      <c r="J839" s="80"/>
      <c r="K839" s="80"/>
      <c r="L839" s="80"/>
      <c r="M839" s="80"/>
    </row>
    <row r="840">
      <c r="G840" s="80"/>
      <c r="H840" s="80"/>
      <c r="I840" s="80"/>
      <c r="J840" s="80"/>
      <c r="K840" s="80"/>
      <c r="L840" s="80"/>
      <c r="M840" s="80"/>
    </row>
    <row r="841">
      <c r="G841" s="80"/>
      <c r="H841" s="80"/>
      <c r="I841" s="80"/>
      <c r="J841" s="80"/>
      <c r="K841" s="80"/>
      <c r="L841" s="80"/>
      <c r="M841" s="80"/>
    </row>
    <row r="842">
      <c r="G842" s="80"/>
      <c r="H842" s="80"/>
      <c r="I842" s="80"/>
      <c r="J842" s="80"/>
      <c r="K842" s="80"/>
      <c r="L842" s="80"/>
      <c r="M842" s="80"/>
    </row>
    <row r="843">
      <c r="G843" s="80"/>
      <c r="H843" s="80"/>
      <c r="I843" s="80"/>
      <c r="J843" s="80"/>
      <c r="K843" s="80"/>
      <c r="L843" s="80"/>
      <c r="M843" s="80"/>
    </row>
    <row r="844">
      <c r="G844" s="80"/>
      <c r="H844" s="80"/>
      <c r="I844" s="80"/>
      <c r="J844" s="80"/>
      <c r="K844" s="80"/>
      <c r="L844" s="80"/>
      <c r="M844" s="80"/>
    </row>
    <row r="845">
      <c r="G845" s="80"/>
      <c r="H845" s="80"/>
      <c r="I845" s="80"/>
      <c r="J845" s="80"/>
      <c r="K845" s="80"/>
      <c r="L845" s="80"/>
      <c r="M845" s="80"/>
    </row>
    <row r="846">
      <c r="G846" s="80"/>
      <c r="H846" s="80"/>
      <c r="I846" s="80"/>
      <c r="J846" s="80"/>
      <c r="K846" s="80"/>
      <c r="L846" s="80"/>
      <c r="M846" s="80"/>
    </row>
    <row r="847">
      <c r="G847" s="80"/>
      <c r="H847" s="80"/>
      <c r="I847" s="80"/>
      <c r="J847" s="80"/>
      <c r="K847" s="80"/>
      <c r="L847" s="80"/>
      <c r="M847" s="80"/>
    </row>
    <row r="848">
      <c r="G848" s="80"/>
      <c r="H848" s="80"/>
      <c r="I848" s="80"/>
      <c r="J848" s="80"/>
      <c r="K848" s="80"/>
      <c r="L848" s="80"/>
      <c r="M848" s="80"/>
    </row>
    <row r="849">
      <c r="G849" s="80"/>
      <c r="H849" s="80"/>
      <c r="I849" s="80"/>
      <c r="J849" s="80"/>
      <c r="K849" s="80"/>
      <c r="L849" s="80"/>
      <c r="M849" s="80"/>
    </row>
    <row r="850">
      <c r="G850" s="80"/>
      <c r="H850" s="80"/>
      <c r="I850" s="80"/>
      <c r="J850" s="80"/>
      <c r="K850" s="80"/>
      <c r="L850" s="80"/>
      <c r="M850" s="80"/>
    </row>
    <row r="851">
      <c r="G851" s="80"/>
      <c r="H851" s="80"/>
      <c r="I851" s="80"/>
      <c r="J851" s="80"/>
      <c r="K851" s="80"/>
      <c r="L851" s="80"/>
      <c r="M851" s="80"/>
    </row>
    <row r="852">
      <c r="G852" s="80"/>
      <c r="H852" s="80"/>
      <c r="I852" s="80"/>
      <c r="J852" s="80"/>
      <c r="K852" s="80"/>
      <c r="L852" s="80"/>
      <c r="M852" s="80"/>
    </row>
    <row r="853">
      <c r="G853" s="80"/>
      <c r="H853" s="80"/>
      <c r="I853" s="80"/>
      <c r="J853" s="80"/>
      <c r="K853" s="80"/>
      <c r="L853" s="80"/>
      <c r="M853" s="80"/>
    </row>
    <row r="854">
      <c r="G854" s="80"/>
      <c r="H854" s="80"/>
      <c r="I854" s="80"/>
      <c r="J854" s="80"/>
      <c r="K854" s="80"/>
      <c r="L854" s="80"/>
      <c r="M854" s="80"/>
    </row>
    <row r="855">
      <c r="G855" s="80"/>
      <c r="H855" s="80"/>
      <c r="I855" s="80"/>
      <c r="J855" s="80"/>
      <c r="K855" s="80"/>
      <c r="L855" s="80"/>
      <c r="M855" s="80"/>
    </row>
    <row r="856">
      <c r="G856" s="80"/>
      <c r="H856" s="80"/>
      <c r="I856" s="80"/>
      <c r="J856" s="80"/>
      <c r="K856" s="80"/>
      <c r="L856" s="80"/>
      <c r="M856" s="80"/>
    </row>
    <row r="857">
      <c r="G857" s="80"/>
      <c r="H857" s="80"/>
      <c r="I857" s="80"/>
      <c r="J857" s="80"/>
      <c r="K857" s="80"/>
      <c r="L857" s="80"/>
      <c r="M857" s="80"/>
    </row>
    <row r="858">
      <c r="G858" s="80"/>
      <c r="H858" s="80"/>
      <c r="I858" s="80"/>
      <c r="J858" s="80"/>
      <c r="K858" s="80"/>
      <c r="L858" s="80"/>
      <c r="M858" s="80"/>
    </row>
    <row r="859">
      <c r="G859" s="80"/>
      <c r="H859" s="80"/>
      <c r="I859" s="80"/>
      <c r="J859" s="80"/>
      <c r="K859" s="80"/>
      <c r="L859" s="80"/>
      <c r="M859" s="80"/>
    </row>
    <row r="860">
      <c r="G860" s="80"/>
      <c r="H860" s="80"/>
      <c r="I860" s="80"/>
      <c r="J860" s="80"/>
      <c r="K860" s="80"/>
      <c r="L860" s="80"/>
      <c r="M860" s="80"/>
    </row>
    <row r="861">
      <c r="G861" s="80"/>
      <c r="H861" s="80"/>
      <c r="I861" s="80"/>
      <c r="J861" s="80"/>
      <c r="K861" s="80"/>
      <c r="L861" s="80"/>
      <c r="M861" s="80"/>
    </row>
    <row r="862">
      <c r="G862" s="80"/>
      <c r="H862" s="80"/>
      <c r="I862" s="80"/>
      <c r="J862" s="80"/>
      <c r="K862" s="80"/>
      <c r="L862" s="80"/>
      <c r="M862" s="80"/>
    </row>
    <row r="863">
      <c r="G863" s="80"/>
      <c r="H863" s="80"/>
      <c r="I863" s="80"/>
      <c r="J863" s="80"/>
      <c r="K863" s="80"/>
      <c r="L863" s="80"/>
      <c r="M863" s="80"/>
    </row>
    <row r="864">
      <c r="G864" s="80"/>
      <c r="H864" s="80"/>
      <c r="I864" s="80"/>
      <c r="J864" s="80"/>
      <c r="K864" s="80"/>
      <c r="L864" s="80"/>
      <c r="M864" s="80"/>
    </row>
    <row r="865">
      <c r="G865" s="80"/>
      <c r="H865" s="80"/>
      <c r="I865" s="80"/>
      <c r="J865" s="80"/>
      <c r="K865" s="80"/>
      <c r="L865" s="80"/>
      <c r="M865" s="80"/>
    </row>
    <row r="866">
      <c r="G866" s="80"/>
      <c r="H866" s="80"/>
      <c r="I866" s="80"/>
      <c r="J866" s="80"/>
      <c r="K866" s="80"/>
      <c r="L866" s="80"/>
      <c r="M866" s="80"/>
    </row>
    <row r="867">
      <c r="G867" s="80"/>
      <c r="H867" s="80"/>
      <c r="I867" s="80"/>
      <c r="J867" s="80"/>
      <c r="K867" s="80"/>
      <c r="L867" s="80"/>
      <c r="M867" s="80"/>
    </row>
    <row r="868">
      <c r="G868" s="80"/>
      <c r="H868" s="80"/>
      <c r="I868" s="80"/>
      <c r="J868" s="80"/>
      <c r="K868" s="80"/>
      <c r="L868" s="80"/>
      <c r="M868" s="80"/>
    </row>
    <row r="869">
      <c r="G869" s="80"/>
      <c r="H869" s="80"/>
      <c r="I869" s="80"/>
      <c r="J869" s="80"/>
      <c r="K869" s="80"/>
      <c r="L869" s="80"/>
      <c r="M869" s="80"/>
    </row>
    <row r="870">
      <c r="G870" s="80"/>
      <c r="H870" s="80"/>
      <c r="I870" s="80"/>
      <c r="J870" s="80"/>
      <c r="K870" s="80"/>
      <c r="L870" s="80"/>
      <c r="M870" s="80"/>
    </row>
    <row r="871">
      <c r="G871" s="80"/>
      <c r="H871" s="80"/>
      <c r="I871" s="80"/>
      <c r="J871" s="80"/>
      <c r="K871" s="80"/>
      <c r="L871" s="80"/>
      <c r="M871" s="80"/>
    </row>
    <row r="872">
      <c r="G872" s="80"/>
      <c r="H872" s="80"/>
      <c r="I872" s="80"/>
      <c r="J872" s="80"/>
      <c r="K872" s="80"/>
      <c r="L872" s="80"/>
      <c r="M872" s="80"/>
    </row>
    <row r="873">
      <c r="G873" s="80"/>
      <c r="H873" s="80"/>
      <c r="I873" s="80"/>
      <c r="J873" s="80"/>
      <c r="K873" s="80"/>
      <c r="L873" s="80"/>
      <c r="M873" s="80"/>
    </row>
    <row r="874">
      <c r="G874" s="80"/>
      <c r="H874" s="80"/>
      <c r="I874" s="80"/>
      <c r="J874" s="80"/>
      <c r="K874" s="80"/>
      <c r="L874" s="80"/>
      <c r="M874" s="80"/>
    </row>
    <row r="875">
      <c r="G875" s="80"/>
      <c r="H875" s="80"/>
      <c r="I875" s="80"/>
      <c r="J875" s="80"/>
      <c r="K875" s="80"/>
      <c r="L875" s="80"/>
      <c r="M875" s="80"/>
    </row>
    <row r="876">
      <c r="G876" s="80"/>
      <c r="H876" s="80"/>
      <c r="I876" s="80"/>
      <c r="J876" s="80"/>
      <c r="K876" s="80"/>
      <c r="L876" s="80"/>
      <c r="M876" s="80"/>
    </row>
    <row r="877">
      <c r="G877" s="80"/>
      <c r="H877" s="80"/>
      <c r="I877" s="80"/>
      <c r="J877" s="80"/>
      <c r="K877" s="80"/>
      <c r="L877" s="80"/>
      <c r="M877" s="80"/>
    </row>
    <row r="878">
      <c r="G878" s="80"/>
      <c r="H878" s="80"/>
      <c r="I878" s="80"/>
      <c r="J878" s="80"/>
      <c r="K878" s="80"/>
      <c r="L878" s="80"/>
      <c r="M878" s="80"/>
    </row>
    <row r="879">
      <c r="G879" s="80"/>
      <c r="H879" s="80"/>
      <c r="I879" s="80"/>
      <c r="J879" s="80"/>
      <c r="K879" s="80"/>
      <c r="L879" s="80"/>
      <c r="M879" s="80"/>
    </row>
    <row r="880">
      <c r="G880" s="80"/>
      <c r="H880" s="80"/>
      <c r="I880" s="80"/>
      <c r="J880" s="80"/>
      <c r="K880" s="80"/>
      <c r="L880" s="80"/>
      <c r="M880" s="80"/>
    </row>
    <row r="881">
      <c r="G881" s="80"/>
      <c r="H881" s="80"/>
      <c r="I881" s="80"/>
      <c r="J881" s="80"/>
      <c r="K881" s="80"/>
      <c r="L881" s="80"/>
      <c r="M881" s="80"/>
    </row>
    <row r="882">
      <c r="G882" s="80"/>
      <c r="H882" s="80"/>
      <c r="I882" s="80"/>
      <c r="J882" s="80"/>
      <c r="K882" s="80"/>
      <c r="L882" s="80"/>
      <c r="M882" s="80"/>
    </row>
    <row r="883">
      <c r="G883" s="80"/>
      <c r="H883" s="80"/>
      <c r="I883" s="80"/>
      <c r="J883" s="80"/>
      <c r="K883" s="80"/>
      <c r="L883" s="80"/>
      <c r="M883" s="80"/>
    </row>
    <row r="884">
      <c r="G884" s="80"/>
      <c r="H884" s="80"/>
      <c r="I884" s="80"/>
      <c r="J884" s="80"/>
      <c r="K884" s="80"/>
      <c r="L884" s="80"/>
      <c r="M884" s="80"/>
    </row>
    <row r="885">
      <c r="G885" s="80"/>
      <c r="H885" s="80"/>
      <c r="I885" s="80"/>
      <c r="J885" s="80"/>
      <c r="K885" s="80"/>
      <c r="L885" s="80"/>
      <c r="M885" s="80"/>
    </row>
    <row r="886">
      <c r="G886" s="80"/>
      <c r="H886" s="80"/>
      <c r="I886" s="80"/>
      <c r="J886" s="80"/>
      <c r="K886" s="80"/>
      <c r="L886" s="80"/>
      <c r="M886" s="80"/>
    </row>
    <row r="887">
      <c r="G887" s="80"/>
      <c r="H887" s="80"/>
      <c r="I887" s="80"/>
      <c r="J887" s="80"/>
      <c r="K887" s="80"/>
      <c r="L887" s="80"/>
      <c r="M887" s="80"/>
    </row>
    <row r="888">
      <c r="G888" s="80"/>
      <c r="H888" s="80"/>
      <c r="I888" s="80"/>
      <c r="J888" s="80"/>
      <c r="K888" s="80"/>
      <c r="L888" s="80"/>
      <c r="M888" s="80"/>
    </row>
    <row r="889">
      <c r="G889" s="80"/>
      <c r="H889" s="80"/>
      <c r="I889" s="80"/>
      <c r="J889" s="80"/>
      <c r="K889" s="80"/>
      <c r="L889" s="80"/>
      <c r="M889" s="80"/>
    </row>
    <row r="890">
      <c r="G890" s="80"/>
      <c r="H890" s="80"/>
      <c r="I890" s="80"/>
      <c r="J890" s="80"/>
      <c r="K890" s="80"/>
      <c r="L890" s="80"/>
      <c r="M890" s="80"/>
    </row>
    <row r="891">
      <c r="G891" s="80"/>
      <c r="H891" s="80"/>
      <c r="I891" s="80"/>
      <c r="J891" s="80"/>
      <c r="K891" s="80"/>
      <c r="L891" s="80"/>
      <c r="M891" s="80"/>
    </row>
    <row r="892">
      <c r="G892" s="80"/>
      <c r="H892" s="80"/>
      <c r="I892" s="80"/>
      <c r="J892" s="80"/>
      <c r="K892" s="80"/>
      <c r="L892" s="80"/>
      <c r="M892" s="80"/>
    </row>
    <row r="893">
      <c r="G893" s="80"/>
      <c r="H893" s="80"/>
      <c r="I893" s="80"/>
      <c r="J893" s="80"/>
      <c r="K893" s="80"/>
      <c r="L893" s="80"/>
      <c r="M893" s="80"/>
    </row>
    <row r="894">
      <c r="G894" s="80"/>
      <c r="H894" s="80"/>
      <c r="I894" s="80"/>
      <c r="J894" s="80"/>
      <c r="K894" s="80"/>
      <c r="L894" s="80"/>
      <c r="M894" s="80"/>
    </row>
    <row r="895">
      <c r="G895" s="80"/>
      <c r="H895" s="80"/>
      <c r="I895" s="80"/>
      <c r="J895" s="80"/>
      <c r="K895" s="80"/>
      <c r="L895" s="80"/>
      <c r="M895" s="80"/>
    </row>
    <row r="896">
      <c r="G896" s="80"/>
      <c r="H896" s="80"/>
      <c r="I896" s="80"/>
      <c r="J896" s="80"/>
      <c r="K896" s="80"/>
      <c r="L896" s="80"/>
      <c r="M896" s="80"/>
    </row>
    <row r="897">
      <c r="G897" s="80"/>
      <c r="H897" s="80"/>
      <c r="I897" s="80"/>
      <c r="J897" s="80"/>
      <c r="K897" s="80"/>
      <c r="L897" s="80"/>
      <c r="M897" s="80"/>
    </row>
    <row r="898">
      <c r="G898" s="80"/>
      <c r="H898" s="80"/>
      <c r="I898" s="80"/>
      <c r="J898" s="80"/>
      <c r="K898" s="80"/>
      <c r="L898" s="80"/>
      <c r="M898" s="80"/>
    </row>
    <row r="899">
      <c r="G899" s="80"/>
      <c r="H899" s="80"/>
      <c r="I899" s="80"/>
      <c r="J899" s="80"/>
      <c r="K899" s="80"/>
      <c r="L899" s="80"/>
      <c r="M899" s="80"/>
    </row>
    <row r="900">
      <c r="G900" s="80"/>
      <c r="H900" s="80"/>
      <c r="I900" s="80"/>
      <c r="J900" s="80"/>
      <c r="K900" s="80"/>
      <c r="L900" s="80"/>
      <c r="M900" s="80"/>
    </row>
    <row r="901">
      <c r="G901" s="80"/>
      <c r="H901" s="80"/>
      <c r="I901" s="80"/>
      <c r="J901" s="80"/>
      <c r="K901" s="80"/>
      <c r="L901" s="80"/>
      <c r="M901" s="80"/>
    </row>
    <row r="902">
      <c r="G902" s="80"/>
      <c r="H902" s="80"/>
      <c r="I902" s="80"/>
      <c r="J902" s="80"/>
      <c r="K902" s="80"/>
      <c r="L902" s="80"/>
      <c r="M902" s="80"/>
    </row>
    <row r="903">
      <c r="G903" s="80"/>
      <c r="H903" s="80"/>
      <c r="I903" s="80"/>
      <c r="J903" s="80"/>
      <c r="K903" s="80"/>
      <c r="L903" s="80"/>
      <c r="M903" s="80"/>
    </row>
    <row r="904">
      <c r="G904" s="80"/>
      <c r="H904" s="80"/>
      <c r="I904" s="80"/>
      <c r="J904" s="80"/>
      <c r="K904" s="80"/>
      <c r="L904" s="80"/>
      <c r="M904" s="80"/>
    </row>
    <row r="905">
      <c r="G905" s="80"/>
      <c r="H905" s="80"/>
      <c r="I905" s="80"/>
      <c r="J905" s="80"/>
      <c r="K905" s="80"/>
      <c r="L905" s="80"/>
      <c r="M905" s="80"/>
    </row>
    <row r="906">
      <c r="G906" s="80"/>
      <c r="H906" s="80"/>
      <c r="I906" s="80"/>
      <c r="J906" s="80"/>
      <c r="K906" s="80"/>
      <c r="L906" s="80"/>
      <c r="M906" s="80"/>
    </row>
    <row r="907">
      <c r="G907" s="80"/>
      <c r="H907" s="80"/>
      <c r="I907" s="80"/>
      <c r="J907" s="80"/>
      <c r="K907" s="80"/>
      <c r="L907" s="80"/>
      <c r="M907" s="80"/>
    </row>
    <row r="908">
      <c r="G908" s="80"/>
      <c r="H908" s="80"/>
      <c r="I908" s="80"/>
      <c r="J908" s="80"/>
      <c r="K908" s="80"/>
      <c r="L908" s="80"/>
      <c r="M908" s="80"/>
    </row>
    <row r="909">
      <c r="G909" s="80"/>
      <c r="H909" s="80"/>
      <c r="I909" s="80"/>
      <c r="J909" s="80"/>
      <c r="K909" s="80"/>
      <c r="L909" s="80"/>
      <c r="M909" s="80"/>
    </row>
    <row r="910">
      <c r="G910" s="80"/>
      <c r="H910" s="80"/>
      <c r="I910" s="80"/>
      <c r="J910" s="80"/>
      <c r="K910" s="80"/>
      <c r="L910" s="80"/>
      <c r="M910" s="80"/>
    </row>
    <row r="911">
      <c r="G911" s="80"/>
      <c r="H911" s="80"/>
      <c r="I911" s="80"/>
      <c r="J911" s="80"/>
      <c r="K911" s="80"/>
      <c r="L911" s="80"/>
      <c r="M911" s="80"/>
    </row>
    <row r="912">
      <c r="G912" s="80"/>
      <c r="H912" s="80"/>
      <c r="I912" s="80"/>
      <c r="J912" s="80"/>
      <c r="K912" s="80"/>
      <c r="L912" s="80"/>
      <c r="M912" s="80"/>
    </row>
    <row r="913">
      <c r="G913" s="80"/>
      <c r="H913" s="80"/>
      <c r="I913" s="80"/>
      <c r="J913" s="80"/>
      <c r="K913" s="80"/>
      <c r="L913" s="80"/>
      <c r="M913" s="80"/>
    </row>
    <row r="914">
      <c r="G914" s="80"/>
      <c r="H914" s="80"/>
      <c r="I914" s="80"/>
      <c r="J914" s="80"/>
      <c r="K914" s="80"/>
      <c r="L914" s="80"/>
      <c r="M914" s="80"/>
    </row>
    <row r="915">
      <c r="G915" s="80"/>
      <c r="H915" s="80"/>
      <c r="I915" s="80"/>
      <c r="J915" s="80"/>
      <c r="K915" s="80"/>
      <c r="L915" s="80"/>
      <c r="M915" s="80"/>
    </row>
    <row r="916">
      <c r="G916" s="80"/>
      <c r="H916" s="80"/>
      <c r="I916" s="80"/>
      <c r="J916" s="80"/>
      <c r="K916" s="80"/>
      <c r="L916" s="80"/>
      <c r="M916" s="80"/>
    </row>
    <row r="917">
      <c r="G917" s="80"/>
      <c r="H917" s="80"/>
      <c r="I917" s="80"/>
      <c r="J917" s="80"/>
      <c r="K917" s="80"/>
      <c r="L917" s="80"/>
      <c r="M917" s="80"/>
    </row>
    <row r="918">
      <c r="G918" s="80"/>
      <c r="H918" s="80"/>
      <c r="I918" s="80"/>
      <c r="J918" s="80"/>
      <c r="K918" s="80"/>
      <c r="L918" s="80"/>
      <c r="M918" s="80"/>
    </row>
    <row r="919">
      <c r="G919" s="80"/>
      <c r="H919" s="80"/>
      <c r="I919" s="80"/>
      <c r="J919" s="80"/>
      <c r="K919" s="80"/>
      <c r="L919" s="80"/>
      <c r="M919" s="80"/>
    </row>
    <row r="920">
      <c r="G920" s="80"/>
      <c r="H920" s="80"/>
      <c r="I920" s="80"/>
      <c r="J920" s="80"/>
      <c r="K920" s="80"/>
      <c r="L920" s="80"/>
      <c r="M920" s="80"/>
    </row>
    <row r="921">
      <c r="G921" s="80"/>
      <c r="H921" s="80"/>
      <c r="I921" s="80"/>
      <c r="J921" s="80"/>
      <c r="K921" s="80"/>
      <c r="L921" s="80"/>
      <c r="M921" s="80"/>
    </row>
    <row r="922">
      <c r="G922" s="80"/>
      <c r="H922" s="80"/>
      <c r="I922" s="80"/>
      <c r="J922" s="80"/>
      <c r="K922" s="80"/>
      <c r="L922" s="80"/>
      <c r="M922" s="80"/>
    </row>
    <row r="923">
      <c r="G923" s="80"/>
      <c r="H923" s="80"/>
      <c r="I923" s="80"/>
      <c r="J923" s="80"/>
      <c r="K923" s="80"/>
      <c r="L923" s="80"/>
      <c r="M923" s="80"/>
    </row>
    <row r="924">
      <c r="G924" s="80"/>
      <c r="H924" s="80"/>
      <c r="I924" s="80"/>
      <c r="J924" s="80"/>
      <c r="K924" s="80"/>
      <c r="L924" s="80"/>
      <c r="M924" s="80"/>
    </row>
    <row r="925">
      <c r="G925" s="80"/>
      <c r="H925" s="80"/>
      <c r="I925" s="80"/>
      <c r="J925" s="80"/>
      <c r="K925" s="80"/>
      <c r="L925" s="80"/>
      <c r="M925" s="80"/>
    </row>
    <row r="926">
      <c r="G926" s="80"/>
      <c r="H926" s="80"/>
      <c r="I926" s="80"/>
      <c r="J926" s="80"/>
      <c r="K926" s="80"/>
      <c r="L926" s="80"/>
      <c r="M926" s="80"/>
    </row>
    <row r="927">
      <c r="G927" s="80"/>
      <c r="H927" s="80"/>
      <c r="I927" s="80"/>
      <c r="J927" s="80"/>
      <c r="K927" s="80"/>
      <c r="L927" s="80"/>
      <c r="M927" s="80"/>
    </row>
    <row r="928">
      <c r="G928" s="80"/>
      <c r="H928" s="80"/>
      <c r="I928" s="80"/>
      <c r="J928" s="80"/>
      <c r="K928" s="80"/>
      <c r="L928" s="80"/>
      <c r="M928" s="80"/>
    </row>
    <row r="929">
      <c r="G929" s="80"/>
      <c r="H929" s="80"/>
      <c r="I929" s="80"/>
      <c r="J929" s="80"/>
      <c r="K929" s="80"/>
      <c r="L929" s="80"/>
      <c r="M929" s="80"/>
    </row>
    <row r="930">
      <c r="G930" s="80"/>
      <c r="H930" s="80"/>
      <c r="I930" s="80"/>
      <c r="J930" s="80"/>
      <c r="K930" s="80"/>
      <c r="L930" s="80"/>
      <c r="M930" s="80"/>
    </row>
    <row r="931">
      <c r="G931" s="80"/>
      <c r="H931" s="80"/>
      <c r="I931" s="80"/>
      <c r="J931" s="80"/>
      <c r="K931" s="80"/>
      <c r="L931" s="80"/>
      <c r="M931" s="80"/>
    </row>
    <row r="932">
      <c r="G932" s="80"/>
      <c r="H932" s="80"/>
      <c r="I932" s="80"/>
      <c r="J932" s="80"/>
      <c r="K932" s="80"/>
      <c r="L932" s="80"/>
      <c r="M932" s="80"/>
    </row>
    <row r="933">
      <c r="G933" s="80"/>
      <c r="H933" s="80"/>
      <c r="I933" s="80"/>
      <c r="J933" s="80"/>
      <c r="K933" s="80"/>
      <c r="L933" s="80"/>
      <c r="M933" s="80"/>
    </row>
    <row r="934">
      <c r="G934" s="80"/>
      <c r="H934" s="80"/>
      <c r="I934" s="80"/>
      <c r="J934" s="80"/>
      <c r="K934" s="80"/>
      <c r="L934" s="80"/>
      <c r="M934" s="80"/>
    </row>
    <row r="935">
      <c r="G935" s="80"/>
      <c r="H935" s="80"/>
      <c r="I935" s="80"/>
      <c r="J935" s="80"/>
      <c r="K935" s="80"/>
      <c r="L935" s="80"/>
      <c r="M935" s="80"/>
    </row>
    <row r="936">
      <c r="G936" s="80"/>
      <c r="H936" s="80"/>
      <c r="I936" s="80"/>
      <c r="J936" s="80"/>
      <c r="K936" s="80"/>
      <c r="L936" s="80"/>
      <c r="M936" s="80"/>
    </row>
    <row r="937">
      <c r="G937" s="80"/>
      <c r="H937" s="80"/>
      <c r="I937" s="80"/>
      <c r="J937" s="80"/>
      <c r="K937" s="80"/>
      <c r="L937" s="80"/>
      <c r="M937" s="80"/>
    </row>
    <row r="938">
      <c r="G938" s="80"/>
      <c r="H938" s="80"/>
      <c r="I938" s="80"/>
      <c r="J938" s="80"/>
      <c r="K938" s="80"/>
      <c r="L938" s="80"/>
      <c r="M938" s="80"/>
    </row>
    <row r="939">
      <c r="G939" s="80"/>
      <c r="H939" s="80"/>
      <c r="I939" s="80"/>
      <c r="J939" s="80"/>
      <c r="K939" s="80"/>
      <c r="L939" s="80"/>
      <c r="M939" s="80"/>
    </row>
    <row r="940">
      <c r="G940" s="80"/>
      <c r="H940" s="80"/>
      <c r="I940" s="80"/>
      <c r="J940" s="80"/>
      <c r="K940" s="80"/>
      <c r="L940" s="80"/>
      <c r="M940" s="80"/>
    </row>
    <row r="941">
      <c r="G941" s="80"/>
      <c r="H941" s="80"/>
      <c r="I941" s="80"/>
      <c r="J941" s="80"/>
      <c r="K941" s="80"/>
      <c r="L941" s="80"/>
      <c r="M941" s="80"/>
    </row>
    <row r="942">
      <c r="G942" s="80"/>
      <c r="H942" s="80"/>
      <c r="I942" s="80"/>
      <c r="J942" s="80"/>
      <c r="K942" s="80"/>
      <c r="L942" s="80"/>
      <c r="M942" s="80"/>
    </row>
    <row r="943">
      <c r="G943" s="80"/>
      <c r="H943" s="80"/>
      <c r="I943" s="80"/>
      <c r="J943" s="80"/>
      <c r="K943" s="80"/>
      <c r="L943" s="80"/>
      <c r="M943" s="80"/>
    </row>
    <row r="944">
      <c r="G944" s="80"/>
      <c r="H944" s="80"/>
      <c r="I944" s="80"/>
      <c r="J944" s="80"/>
      <c r="K944" s="80"/>
      <c r="L944" s="80"/>
      <c r="M944" s="80"/>
    </row>
    <row r="945">
      <c r="G945" s="80"/>
      <c r="H945" s="80"/>
      <c r="I945" s="80"/>
      <c r="J945" s="80"/>
      <c r="K945" s="80"/>
      <c r="L945" s="80"/>
      <c r="M945" s="80"/>
    </row>
    <row r="946">
      <c r="G946" s="80"/>
      <c r="H946" s="80"/>
      <c r="I946" s="80"/>
      <c r="J946" s="80"/>
      <c r="K946" s="80"/>
      <c r="L946" s="80"/>
      <c r="M946" s="80"/>
    </row>
    <row r="947">
      <c r="G947" s="80"/>
      <c r="H947" s="80"/>
      <c r="I947" s="80"/>
      <c r="J947" s="80"/>
      <c r="K947" s="80"/>
      <c r="L947" s="80"/>
      <c r="M947" s="80"/>
    </row>
    <row r="948">
      <c r="G948" s="80"/>
      <c r="H948" s="80"/>
      <c r="I948" s="80"/>
      <c r="J948" s="80"/>
      <c r="K948" s="80"/>
      <c r="L948" s="80"/>
      <c r="M948" s="80"/>
    </row>
    <row r="949">
      <c r="G949" s="80"/>
      <c r="H949" s="80"/>
      <c r="I949" s="80"/>
      <c r="J949" s="80"/>
      <c r="K949" s="80"/>
      <c r="L949" s="80"/>
      <c r="M949" s="80"/>
    </row>
    <row r="950">
      <c r="G950" s="80"/>
      <c r="H950" s="80"/>
      <c r="I950" s="80"/>
      <c r="J950" s="80"/>
      <c r="K950" s="80"/>
      <c r="L950" s="80"/>
      <c r="M950" s="80"/>
    </row>
    <row r="951">
      <c r="G951" s="80"/>
      <c r="H951" s="80"/>
      <c r="I951" s="80"/>
      <c r="J951" s="80"/>
      <c r="K951" s="80"/>
      <c r="L951" s="80"/>
      <c r="M951" s="80"/>
    </row>
    <row r="952">
      <c r="G952" s="80"/>
      <c r="H952" s="80"/>
      <c r="I952" s="80"/>
      <c r="J952" s="80"/>
      <c r="K952" s="80"/>
      <c r="L952" s="80"/>
      <c r="M952" s="80"/>
    </row>
    <row r="953">
      <c r="G953" s="80"/>
      <c r="H953" s="80"/>
      <c r="I953" s="80"/>
      <c r="J953" s="80"/>
      <c r="K953" s="80"/>
      <c r="L953" s="80"/>
      <c r="M953" s="80"/>
    </row>
    <row r="954">
      <c r="G954" s="80"/>
      <c r="H954" s="80"/>
      <c r="I954" s="80"/>
      <c r="J954" s="80"/>
      <c r="K954" s="80"/>
      <c r="L954" s="80"/>
      <c r="M954" s="80"/>
    </row>
    <row r="955">
      <c r="G955" s="80"/>
      <c r="H955" s="80"/>
      <c r="I955" s="80"/>
      <c r="J955" s="80"/>
      <c r="K955" s="80"/>
      <c r="L955" s="80"/>
      <c r="M955" s="80"/>
    </row>
    <row r="956">
      <c r="G956" s="80"/>
      <c r="H956" s="80"/>
      <c r="I956" s="80"/>
      <c r="J956" s="80"/>
      <c r="K956" s="80"/>
      <c r="L956" s="80"/>
      <c r="M956" s="80"/>
    </row>
    <row r="957">
      <c r="G957" s="80"/>
      <c r="H957" s="80"/>
      <c r="I957" s="80"/>
      <c r="J957" s="80"/>
      <c r="K957" s="80"/>
      <c r="L957" s="80"/>
      <c r="M957" s="80"/>
    </row>
    <row r="958">
      <c r="G958" s="80"/>
      <c r="H958" s="80"/>
      <c r="I958" s="80"/>
      <c r="J958" s="80"/>
      <c r="K958" s="80"/>
      <c r="L958" s="80"/>
      <c r="M958" s="80"/>
    </row>
    <row r="959">
      <c r="G959" s="80"/>
      <c r="H959" s="80"/>
      <c r="I959" s="80"/>
      <c r="J959" s="80"/>
      <c r="K959" s="80"/>
      <c r="L959" s="80"/>
      <c r="M959" s="80"/>
    </row>
    <row r="960">
      <c r="G960" s="80"/>
      <c r="H960" s="80"/>
      <c r="I960" s="80"/>
      <c r="J960" s="80"/>
      <c r="K960" s="80"/>
      <c r="L960" s="80"/>
      <c r="M960" s="80"/>
    </row>
    <row r="961">
      <c r="G961" s="80"/>
      <c r="H961" s="80"/>
      <c r="I961" s="80"/>
      <c r="J961" s="80"/>
      <c r="K961" s="80"/>
      <c r="L961" s="80"/>
      <c r="M961" s="80"/>
    </row>
    <row r="962">
      <c r="G962" s="80"/>
      <c r="H962" s="80"/>
      <c r="I962" s="80"/>
      <c r="J962" s="80"/>
      <c r="K962" s="80"/>
      <c r="L962" s="80"/>
      <c r="M962" s="80"/>
    </row>
    <row r="963">
      <c r="G963" s="80"/>
      <c r="H963" s="80"/>
      <c r="I963" s="80"/>
      <c r="J963" s="80"/>
      <c r="K963" s="80"/>
      <c r="L963" s="80"/>
      <c r="M963" s="80"/>
    </row>
    <row r="964">
      <c r="G964" s="80"/>
      <c r="H964" s="80"/>
      <c r="I964" s="80"/>
      <c r="J964" s="80"/>
      <c r="K964" s="80"/>
      <c r="L964" s="80"/>
      <c r="M964" s="80"/>
    </row>
    <row r="965">
      <c r="G965" s="80"/>
      <c r="H965" s="80"/>
      <c r="I965" s="80"/>
      <c r="J965" s="80"/>
      <c r="K965" s="80"/>
      <c r="L965" s="80"/>
      <c r="M965" s="80"/>
    </row>
    <row r="966">
      <c r="G966" s="80"/>
      <c r="H966" s="80"/>
      <c r="I966" s="80"/>
      <c r="J966" s="80"/>
      <c r="K966" s="80"/>
      <c r="L966" s="80"/>
      <c r="M966" s="80"/>
    </row>
    <row r="967">
      <c r="G967" s="80"/>
      <c r="H967" s="80"/>
      <c r="I967" s="80"/>
      <c r="J967" s="80"/>
      <c r="K967" s="80"/>
      <c r="L967" s="80"/>
      <c r="M967" s="80"/>
    </row>
    <row r="968">
      <c r="G968" s="80"/>
      <c r="H968" s="80"/>
      <c r="I968" s="80"/>
      <c r="J968" s="80"/>
      <c r="K968" s="80"/>
      <c r="L968" s="80"/>
      <c r="M968" s="80"/>
    </row>
    <row r="969">
      <c r="G969" s="80"/>
      <c r="H969" s="80"/>
      <c r="I969" s="80"/>
      <c r="J969" s="80"/>
      <c r="K969" s="80"/>
      <c r="L969" s="80"/>
      <c r="M969" s="80"/>
    </row>
    <row r="970">
      <c r="G970" s="80"/>
      <c r="H970" s="80"/>
      <c r="I970" s="80"/>
      <c r="J970" s="80"/>
      <c r="K970" s="80"/>
      <c r="L970" s="80"/>
      <c r="M970" s="80"/>
    </row>
    <row r="971">
      <c r="G971" s="80"/>
      <c r="H971" s="80"/>
      <c r="I971" s="80"/>
      <c r="J971" s="80"/>
      <c r="K971" s="80"/>
      <c r="L971" s="80"/>
      <c r="M971" s="80"/>
    </row>
    <row r="972">
      <c r="G972" s="80"/>
      <c r="H972" s="80"/>
      <c r="I972" s="80"/>
      <c r="J972" s="80"/>
      <c r="K972" s="80"/>
      <c r="L972" s="80"/>
      <c r="M972" s="8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7.63"/>
    <col customWidth="1" min="3" max="3" width="6.88"/>
    <col customWidth="1" min="4" max="4" width="8.38"/>
    <col customWidth="1" min="5" max="6" width="16.38"/>
    <col customWidth="1" min="7" max="8" width="10.25"/>
    <col customWidth="1" min="9" max="9" width="7.75"/>
    <col customWidth="1" min="10" max="10" width="7.13"/>
    <col customWidth="1" min="15" max="15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655</v>
      </c>
      <c r="H1" s="76" t="s">
        <v>539</v>
      </c>
      <c r="I1" s="76" t="s">
        <v>642</v>
      </c>
      <c r="J1" s="76" t="s">
        <v>643</v>
      </c>
      <c r="K1" s="76" t="s">
        <v>644</v>
      </c>
      <c r="L1" s="76" t="s">
        <v>645</v>
      </c>
      <c r="M1" s="76" t="s">
        <v>646</v>
      </c>
      <c r="N1" s="76" t="s">
        <v>647</v>
      </c>
      <c r="P1" s="1" t="s">
        <v>8</v>
      </c>
    </row>
    <row r="2">
      <c r="A2" s="10">
        <v>75.0</v>
      </c>
      <c r="B2" s="10">
        <v>225.0</v>
      </c>
      <c r="C2" s="10">
        <f t="shared" ref="C2:C3" si="1">B2/A2</f>
        <v>3</v>
      </c>
      <c r="D2" s="10">
        <v>183.0</v>
      </c>
      <c r="E2" s="10" t="s">
        <v>621</v>
      </c>
      <c r="F2" s="10" t="s">
        <v>622</v>
      </c>
      <c r="G2" s="10" t="s">
        <v>656</v>
      </c>
      <c r="H2" s="11">
        <v>0.034722222222222224</v>
      </c>
      <c r="I2" s="11">
        <v>0.0034837962962962965</v>
      </c>
      <c r="J2" s="11">
        <v>0.006006944444444444</v>
      </c>
      <c r="K2" s="11">
        <v>0.003935185185185185</v>
      </c>
      <c r="L2" s="11">
        <v>0.002361111111111111</v>
      </c>
      <c r="M2" s="11">
        <v>0.002928240740740741</v>
      </c>
      <c r="N2" s="11">
        <v>0.0010763888888888889</v>
      </c>
      <c r="O2" s="37" t="str">
        <f>HYPERLINK("https://www.strava.com/activities/1894049351","Strava")</f>
        <v>Strava</v>
      </c>
    </row>
    <row r="3">
      <c r="A3" s="10">
        <v>75.0</v>
      </c>
      <c r="B3" s="10">
        <v>225.0</v>
      </c>
      <c r="C3" s="10">
        <f t="shared" si="1"/>
        <v>3</v>
      </c>
      <c r="D3" s="10">
        <v>183.0</v>
      </c>
      <c r="E3" s="10" t="s">
        <v>657</v>
      </c>
      <c r="F3" s="10" t="s">
        <v>653</v>
      </c>
      <c r="G3" s="10" t="s">
        <v>656</v>
      </c>
      <c r="H3" s="11">
        <v>0.035833333333333335</v>
      </c>
      <c r="I3" s="11">
        <v>0.0036226851851851854</v>
      </c>
      <c r="J3" s="11">
        <v>0.006261574074074074</v>
      </c>
      <c r="K3" s="11">
        <v>0.0038541666666666668</v>
      </c>
      <c r="L3" s="11">
        <v>0.0023148148148148147</v>
      </c>
      <c r="M3" s="11">
        <v>0.0030671296296296297</v>
      </c>
      <c r="N3" s="11">
        <v>0.0011458333333333333</v>
      </c>
      <c r="O3" s="81" t="str">
        <f>HYPERLINK("https://www.strava.com/activities/1894999188","Strava")</f>
        <v>Strava</v>
      </c>
    </row>
    <row r="4">
      <c r="A4" s="10">
        <v>75.0</v>
      </c>
      <c r="B4" s="10">
        <v>225.0</v>
      </c>
      <c r="C4" s="10">
        <v>3.0</v>
      </c>
      <c r="D4" s="10">
        <v>183.0</v>
      </c>
      <c r="E4" s="10" t="s">
        <v>658</v>
      </c>
      <c r="F4" s="10" t="s">
        <v>659</v>
      </c>
      <c r="G4" s="10" t="s">
        <v>656</v>
      </c>
      <c r="H4" s="11">
        <v>0.03564814814814815</v>
      </c>
      <c r="I4" s="11">
        <v>0.003599537037037037</v>
      </c>
      <c r="J4" s="11">
        <v>0.006215277777777778</v>
      </c>
      <c r="K4" s="11">
        <v>0.003969907407407407</v>
      </c>
      <c r="L4" s="11">
        <v>0.0023148148148148147</v>
      </c>
      <c r="M4" s="11">
        <v>0.0030439814814814813</v>
      </c>
      <c r="N4" s="22">
        <v>0.0011342592592592593</v>
      </c>
      <c r="O4" s="81" t="s">
        <v>660</v>
      </c>
      <c r="P4" s="79"/>
    </row>
    <row r="5">
      <c r="A5" s="10">
        <v>75.0</v>
      </c>
      <c r="B5" s="10">
        <v>225.0</v>
      </c>
      <c r="C5" s="10">
        <v>3.0</v>
      </c>
      <c r="D5" s="10">
        <v>183.0</v>
      </c>
      <c r="E5" s="10" t="s">
        <v>56</v>
      </c>
      <c r="F5" s="10" t="s">
        <v>585</v>
      </c>
      <c r="G5" s="10" t="s">
        <v>656</v>
      </c>
      <c r="H5" s="11">
        <v>0.03530092592592592</v>
      </c>
      <c r="I5" s="11">
        <v>0.003553240740740741</v>
      </c>
      <c r="J5" s="11">
        <v>0.006122685185185185</v>
      </c>
      <c r="K5" s="11">
        <v>0.003993055555555555</v>
      </c>
      <c r="L5" s="11">
        <v>0.002384259259259259</v>
      </c>
      <c r="M5" s="11">
        <v>0.0029861111111111113</v>
      </c>
      <c r="N5" s="22">
        <v>0.001099537037037037</v>
      </c>
      <c r="O5" s="81" t="s">
        <v>661</v>
      </c>
      <c r="P5" s="79"/>
    </row>
    <row r="6">
      <c r="A6" s="10">
        <v>75.0</v>
      </c>
      <c r="B6" s="10">
        <v>300.0</v>
      </c>
      <c r="C6" s="10">
        <v>4.0</v>
      </c>
      <c r="D6" s="10">
        <v>183.0</v>
      </c>
      <c r="E6" s="10" t="s">
        <v>56</v>
      </c>
      <c r="F6" s="10" t="s">
        <v>91</v>
      </c>
      <c r="G6" s="10" t="s">
        <v>656</v>
      </c>
      <c r="H6" s="11">
        <v>0.030729166666666665</v>
      </c>
      <c r="I6" s="11">
        <v>0.003136574074074074</v>
      </c>
      <c r="J6" s="11">
        <v>0.005439814814814815</v>
      </c>
      <c r="K6" s="11">
        <v>0.003321759259259259</v>
      </c>
      <c r="L6" s="11">
        <v>0.0018402777777777777</v>
      </c>
      <c r="M6" s="11">
        <v>0.002685185185185185</v>
      </c>
      <c r="N6" s="11">
        <v>0.0010185185185185184</v>
      </c>
      <c r="O6" s="81" t="s">
        <v>662</v>
      </c>
    </row>
    <row r="7">
      <c r="A7" s="10">
        <v>75.0</v>
      </c>
      <c r="B7" s="10">
        <v>300.0</v>
      </c>
      <c r="C7" s="10">
        <v>4.0</v>
      </c>
      <c r="D7" s="10">
        <v>183.0</v>
      </c>
      <c r="E7" s="10" t="s">
        <v>56</v>
      </c>
      <c r="F7" s="10" t="s">
        <v>91</v>
      </c>
      <c r="G7" s="10" t="s">
        <v>663</v>
      </c>
      <c r="H7" s="22">
        <v>0.030740740740740742</v>
      </c>
      <c r="I7" s="22">
        <v>0.003125</v>
      </c>
      <c r="J7" s="11">
        <v>0.00542824074074074</v>
      </c>
      <c r="K7" s="22">
        <v>0.0033333333333333335</v>
      </c>
      <c r="L7" s="11">
        <v>0.001851851851851852</v>
      </c>
      <c r="M7" s="11">
        <v>0.0026967592592592594</v>
      </c>
      <c r="N7" s="22">
        <v>0.0010185185185185184</v>
      </c>
      <c r="O7" s="81" t="s">
        <v>664</v>
      </c>
    </row>
    <row r="8">
      <c r="A8" s="10">
        <v>75.0</v>
      </c>
      <c r="B8" s="10">
        <v>300.0</v>
      </c>
      <c r="C8" s="10">
        <v>4.0</v>
      </c>
      <c r="D8" s="10">
        <v>183.0</v>
      </c>
      <c r="E8" s="10" t="s">
        <v>56</v>
      </c>
      <c r="F8" s="10" t="s">
        <v>91</v>
      </c>
      <c r="G8" s="10" t="s">
        <v>665</v>
      </c>
      <c r="H8" s="11">
        <v>0.030729166666666665</v>
      </c>
      <c r="I8" s="22">
        <v>0.003136574074074074</v>
      </c>
      <c r="J8" s="11">
        <v>0.00542824074074074</v>
      </c>
      <c r="K8" s="10" t="s">
        <v>666</v>
      </c>
      <c r="L8" s="11">
        <v>0.0018402777777777777</v>
      </c>
      <c r="M8" s="11">
        <v>0.0026967592592592594</v>
      </c>
      <c r="N8" s="22">
        <v>0.0010300925925925926</v>
      </c>
      <c r="O8" s="81" t="s">
        <v>667</v>
      </c>
    </row>
    <row r="9">
      <c r="A9" s="10">
        <v>75.0</v>
      </c>
      <c r="B9" s="10">
        <v>300.0</v>
      </c>
      <c r="C9" s="10">
        <v>4.0</v>
      </c>
      <c r="D9" s="10">
        <v>183.0</v>
      </c>
      <c r="E9" s="10" t="s">
        <v>56</v>
      </c>
      <c r="F9" s="10" t="s">
        <v>91</v>
      </c>
      <c r="G9" s="10" t="s">
        <v>668</v>
      </c>
      <c r="H9" s="11">
        <v>0.030740740740740742</v>
      </c>
      <c r="I9" s="22">
        <v>0.003125</v>
      </c>
      <c r="J9" s="11">
        <v>0.00542824074074074</v>
      </c>
      <c r="K9" s="22">
        <v>0.0033333333333333335</v>
      </c>
      <c r="L9" s="11">
        <v>0.001851851851851852</v>
      </c>
      <c r="M9" s="11">
        <v>0.0026967592592592594</v>
      </c>
      <c r="N9" s="22">
        <v>0.0010185185185185184</v>
      </c>
      <c r="O9" s="81" t="s">
        <v>669</v>
      </c>
    </row>
    <row r="10">
      <c r="A10" s="10">
        <v>75.0</v>
      </c>
      <c r="B10" s="10">
        <v>300.0</v>
      </c>
      <c r="C10" s="10">
        <v>4.0</v>
      </c>
      <c r="D10" s="10">
        <v>183.0</v>
      </c>
      <c r="E10" s="10" t="s">
        <v>56</v>
      </c>
      <c r="F10" s="10" t="s">
        <v>91</v>
      </c>
      <c r="G10" s="10" t="s">
        <v>670</v>
      </c>
      <c r="H10" s="11">
        <v>0.030729166666666665</v>
      </c>
      <c r="I10" s="22">
        <v>0.003136574074074074</v>
      </c>
      <c r="J10" s="11">
        <v>0.00542824074074074</v>
      </c>
      <c r="K10" s="22">
        <v>0.0033333333333333335</v>
      </c>
      <c r="L10" s="11">
        <v>0.001851851851851852</v>
      </c>
      <c r="M10" s="11">
        <v>0.0026967592592592594</v>
      </c>
      <c r="N10" s="22">
        <v>0.0010185185185185184</v>
      </c>
      <c r="O10" s="81" t="s">
        <v>671</v>
      </c>
    </row>
    <row r="11">
      <c r="A11" s="10">
        <v>75.0</v>
      </c>
      <c r="B11" s="10">
        <v>300.0</v>
      </c>
      <c r="C11" s="10">
        <v>4.0</v>
      </c>
      <c r="D11" s="10">
        <v>183.0</v>
      </c>
      <c r="E11" s="10" t="s">
        <v>648</v>
      </c>
      <c r="F11" s="10" t="s">
        <v>351</v>
      </c>
      <c r="G11" s="10" t="s">
        <v>656</v>
      </c>
      <c r="H11" s="11">
        <v>0.03121527777777778</v>
      </c>
      <c r="I11" s="22">
        <v>0.0031944444444444446</v>
      </c>
      <c r="J11" s="11">
        <v>0.005543981481481481</v>
      </c>
      <c r="K11" s="22">
        <v>0.0033449074074074076</v>
      </c>
      <c r="L11" s="11">
        <v>0.0018171296296296297</v>
      </c>
      <c r="M11" s="11">
        <v>0.0027546296296296294</v>
      </c>
      <c r="N11" s="22">
        <v>0.0010532407407407407</v>
      </c>
      <c r="O11" s="81" t="s">
        <v>672</v>
      </c>
    </row>
    <row r="12">
      <c r="A12" s="10">
        <v>75.0</v>
      </c>
      <c r="B12" s="10">
        <v>300.0</v>
      </c>
      <c r="C12" s="10">
        <v>4.0</v>
      </c>
      <c r="D12" s="10">
        <v>183.0</v>
      </c>
      <c r="E12" s="10" t="s">
        <v>648</v>
      </c>
      <c r="F12" s="10" t="s">
        <v>351</v>
      </c>
      <c r="G12" s="10" t="s">
        <v>668</v>
      </c>
      <c r="H12" s="11">
        <v>0.031203703703703702</v>
      </c>
      <c r="I12" s="22">
        <v>0.0031944444444444446</v>
      </c>
      <c r="J12" s="11">
        <v>0.005543981481481481</v>
      </c>
      <c r="K12" s="22">
        <v>0.0033449074074074076</v>
      </c>
      <c r="L12" s="11">
        <v>0.0018171296296296297</v>
      </c>
      <c r="M12" s="11">
        <v>0.002766203703703704</v>
      </c>
      <c r="N12" s="22">
        <v>0.0010532407407407407</v>
      </c>
      <c r="O12" s="81" t="s">
        <v>673</v>
      </c>
    </row>
    <row r="13">
      <c r="A13" s="10">
        <v>75.0</v>
      </c>
      <c r="B13" s="10">
        <v>300.0</v>
      </c>
      <c r="C13" s="10">
        <v>4.0</v>
      </c>
      <c r="D13" s="10">
        <v>183.0</v>
      </c>
      <c r="E13" s="10" t="s">
        <v>648</v>
      </c>
      <c r="F13" s="10" t="s">
        <v>351</v>
      </c>
      <c r="G13" s="10" t="s">
        <v>670</v>
      </c>
      <c r="H13" s="11">
        <v>0.03119212962962963</v>
      </c>
      <c r="I13" s="22">
        <v>0.0031944444444444446</v>
      </c>
      <c r="J13" s="11">
        <v>0.005555555555555556</v>
      </c>
      <c r="K13" s="22">
        <v>0.0033449074074074076</v>
      </c>
      <c r="L13" s="11">
        <v>0.0018171296296296297</v>
      </c>
      <c r="M13" s="11">
        <v>0.0027546296296296294</v>
      </c>
      <c r="N13" s="22">
        <v>0.0010532407407407407</v>
      </c>
      <c r="O13" s="81" t="s">
        <v>674</v>
      </c>
    </row>
    <row r="14">
      <c r="A14" s="10">
        <v>75.0</v>
      </c>
      <c r="B14" s="10">
        <v>300.0</v>
      </c>
      <c r="C14" s="10">
        <v>4.0</v>
      </c>
      <c r="D14" s="10">
        <v>183.0</v>
      </c>
      <c r="E14" s="10" t="s">
        <v>648</v>
      </c>
      <c r="F14" s="10" t="s">
        <v>351</v>
      </c>
      <c r="G14" s="10" t="s">
        <v>675</v>
      </c>
      <c r="H14" s="11">
        <v>0.03121527777777778</v>
      </c>
      <c r="I14" s="11">
        <v>0.0031944444444444446</v>
      </c>
      <c r="J14" s="11">
        <v>0.005543981481481481</v>
      </c>
      <c r="K14" s="11">
        <v>0.0033449074074074076</v>
      </c>
      <c r="L14" s="11">
        <v>0.0018055555555555555</v>
      </c>
      <c r="M14" s="22">
        <v>0.002766203703703704</v>
      </c>
      <c r="N14" s="11">
        <v>0.0010532407407407407</v>
      </c>
      <c r="O14" s="81" t="s">
        <v>676</v>
      </c>
    </row>
    <row r="15">
      <c r="A15" s="10">
        <v>75.0</v>
      </c>
      <c r="B15" s="10">
        <v>300.0</v>
      </c>
      <c r="C15" s="10">
        <v>4.0</v>
      </c>
      <c r="D15" s="10">
        <v>183.0</v>
      </c>
      <c r="E15" s="10" t="s">
        <v>648</v>
      </c>
      <c r="F15" s="10" t="s">
        <v>351</v>
      </c>
      <c r="G15" s="10" t="s">
        <v>656</v>
      </c>
      <c r="H15" s="11">
        <v>0.03121527777777778</v>
      </c>
      <c r="I15" s="11">
        <v>0.0032060185185185186</v>
      </c>
      <c r="J15" s="11">
        <v>0.005543981481481481</v>
      </c>
      <c r="K15" s="11">
        <v>0.0033449074074074076</v>
      </c>
      <c r="L15" s="11">
        <v>0.0018171296296296297</v>
      </c>
      <c r="M15" s="11">
        <v>0.0027546296296296294</v>
      </c>
      <c r="N15" s="11">
        <v>0.0010532407407407407</v>
      </c>
      <c r="O15" s="81" t="s">
        <v>677</v>
      </c>
    </row>
    <row r="16">
      <c r="A16" s="10">
        <v>75.0</v>
      </c>
      <c r="B16" s="10">
        <v>300.0</v>
      </c>
      <c r="C16" s="10">
        <v>4.0</v>
      </c>
      <c r="D16" s="10">
        <v>183.0</v>
      </c>
      <c r="E16" s="10" t="s">
        <v>648</v>
      </c>
      <c r="F16" s="10" t="s">
        <v>351</v>
      </c>
      <c r="G16" s="10" t="s">
        <v>665</v>
      </c>
      <c r="H16" s="11">
        <v>0.03121527777777778</v>
      </c>
      <c r="I16" s="11">
        <v>0.0031944444444444446</v>
      </c>
      <c r="J16" s="11">
        <v>0.005543981481481481</v>
      </c>
      <c r="K16" s="11">
        <v>0.0033449074074074076</v>
      </c>
      <c r="L16" s="11">
        <v>0.0018171296296296297</v>
      </c>
      <c r="M16" s="11">
        <v>0.002766203703703704</v>
      </c>
      <c r="N16" s="11">
        <v>0.0010532407407407407</v>
      </c>
      <c r="O16" s="81" t="s">
        <v>678</v>
      </c>
    </row>
    <row r="17">
      <c r="A17" s="10"/>
      <c r="B17" s="10"/>
      <c r="C17" s="10"/>
      <c r="D17" s="10"/>
      <c r="E17" s="10"/>
      <c r="F17" s="10"/>
      <c r="G17" s="11"/>
      <c r="H17" s="11"/>
      <c r="I17" s="11"/>
      <c r="J17" s="11"/>
      <c r="K17" s="11"/>
      <c r="L17" s="11"/>
      <c r="M17" s="11"/>
      <c r="N17" s="11"/>
    </row>
    <row r="18">
      <c r="F18" s="10"/>
      <c r="G18" s="11"/>
      <c r="H18" s="11"/>
      <c r="I18" s="11"/>
      <c r="J18" s="11"/>
      <c r="K18" s="11"/>
      <c r="L18" s="11"/>
      <c r="M18" s="11"/>
      <c r="N18" s="11"/>
    </row>
    <row r="19">
      <c r="G19" s="11"/>
      <c r="H19" s="11"/>
      <c r="I19" s="11"/>
      <c r="J19" s="11"/>
      <c r="K19" s="11"/>
      <c r="L19" s="11"/>
      <c r="M19" s="11"/>
      <c r="N19" s="11"/>
    </row>
    <row r="20">
      <c r="G20" s="11"/>
      <c r="H20" s="11"/>
      <c r="I20" s="11"/>
      <c r="J20" s="11"/>
      <c r="K20" s="11"/>
      <c r="L20" s="11"/>
      <c r="M20" s="11"/>
      <c r="N20" s="11"/>
    </row>
    <row r="21">
      <c r="G21" s="11"/>
      <c r="H21" s="11"/>
      <c r="I21" s="11"/>
      <c r="J21" s="11"/>
      <c r="K21" s="11"/>
      <c r="L21" s="11"/>
      <c r="M21" s="11"/>
      <c r="N21" s="11"/>
    </row>
    <row r="22">
      <c r="G22" s="11"/>
      <c r="H22" s="11"/>
      <c r="I22" s="11"/>
      <c r="J22" s="11"/>
      <c r="K22" s="11"/>
      <c r="L22" s="11"/>
      <c r="M22" s="11"/>
      <c r="N22" s="11"/>
    </row>
    <row r="23">
      <c r="G23" s="11"/>
      <c r="H23" s="11"/>
      <c r="I23" s="11"/>
      <c r="J23" s="11"/>
      <c r="K23" s="11"/>
      <c r="L23" s="11"/>
      <c r="M23" s="11"/>
      <c r="N23" s="11"/>
    </row>
    <row r="24">
      <c r="G24" s="11"/>
      <c r="H24" s="11"/>
      <c r="I24" s="11"/>
      <c r="J24" s="11"/>
      <c r="K24" s="11"/>
      <c r="L24" s="11"/>
      <c r="M24" s="11"/>
      <c r="N24" s="11"/>
    </row>
    <row r="25">
      <c r="G25" s="11"/>
      <c r="H25" s="11"/>
      <c r="I25" s="11"/>
      <c r="J25" s="11"/>
      <c r="K25" s="11"/>
      <c r="L25" s="11"/>
      <c r="M25" s="11"/>
      <c r="N25" s="11"/>
    </row>
    <row r="26">
      <c r="G26" s="11"/>
      <c r="H26" s="11"/>
      <c r="I26" s="11"/>
      <c r="J26" s="11"/>
      <c r="K26" s="11"/>
      <c r="L26" s="11"/>
      <c r="M26" s="11"/>
      <c r="N26" s="11"/>
    </row>
    <row r="27">
      <c r="G27" s="11"/>
      <c r="H27" s="11"/>
      <c r="I27" s="11"/>
      <c r="J27" s="11"/>
      <c r="K27" s="11"/>
      <c r="L27" s="11"/>
      <c r="M27" s="11"/>
      <c r="N27" s="11"/>
    </row>
    <row r="28">
      <c r="G28" s="11"/>
      <c r="H28" s="11"/>
      <c r="I28" s="11"/>
      <c r="J28" s="11"/>
      <c r="K28" s="11"/>
      <c r="L28" s="11"/>
      <c r="M28" s="11"/>
      <c r="N28" s="11"/>
    </row>
    <row r="29">
      <c r="G29" s="11"/>
      <c r="H29" s="11"/>
      <c r="I29" s="11"/>
      <c r="J29" s="11"/>
      <c r="K29" s="11"/>
      <c r="L29" s="11"/>
      <c r="M29" s="11"/>
      <c r="N29" s="11"/>
    </row>
    <row r="30">
      <c r="G30" s="11"/>
      <c r="H30" s="11"/>
      <c r="I30" s="11"/>
      <c r="J30" s="11"/>
      <c r="K30" s="11"/>
      <c r="L30" s="11"/>
      <c r="M30" s="11"/>
      <c r="N30" s="11"/>
    </row>
    <row r="31">
      <c r="G31" s="11"/>
      <c r="H31" s="11"/>
      <c r="I31" s="11"/>
      <c r="J31" s="11"/>
      <c r="K31" s="11"/>
      <c r="L31" s="11"/>
      <c r="M31" s="11"/>
      <c r="N31" s="11"/>
    </row>
    <row r="32">
      <c r="G32" s="11"/>
      <c r="H32" s="11"/>
      <c r="I32" s="11"/>
      <c r="J32" s="11"/>
      <c r="K32" s="11"/>
      <c r="L32" s="11"/>
      <c r="M32" s="11"/>
      <c r="N32" s="11"/>
    </row>
    <row r="33">
      <c r="G33" s="11"/>
      <c r="H33" s="11"/>
      <c r="I33" s="11"/>
      <c r="J33" s="11"/>
      <c r="K33" s="11"/>
      <c r="L33" s="11"/>
      <c r="M33" s="11"/>
      <c r="N33" s="11"/>
    </row>
    <row r="34">
      <c r="G34" s="11"/>
      <c r="H34" s="11"/>
      <c r="I34" s="11"/>
      <c r="J34" s="11"/>
      <c r="K34" s="11"/>
      <c r="L34" s="11"/>
      <c r="M34" s="11"/>
      <c r="N34" s="11"/>
    </row>
    <row r="35">
      <c r="G35" s="80"/>
      <c r="H35" s="80"/>
      <c r="I35" s="80"/>
      <c r="J35" s="80"/>
      <c r="K35" s="80"/>
      <c r="L35" s="80"/>
      <c r="M35" s="80"/>
      <c r="N35" s="80"/>
    </row>
    <row r="36">
      <c r="G36" s="80"/>
      <c r="H36" s="80"/>
      <c r="I36" s="80"/>
      <c r="J36" s="80"/>
      <c r="K36" s="80"/>
      <c r="L36" s="80"/>
      <c r="M36" s="80"/>
      <c r="N36" s="80"/>
    </row>
    <row r="37">
      <c r="G37" s="80"/>
      <c r="H37" s="80"/>
      <c r="I37" s="80"/>
      <c r="J37" s="80"/>
      <c r="K37" s="80"/>
      <c r="L37" s="80"/>
      <c r="M37" s="80"/>
      <c r="N37" s="80"/>
    </row>
    <row r="38">
      <c r="G38" s="80"/>
      <c r="H38" s="80"/>
      <c r="I38" s="80"/>
      <c r="J38" s="80"/>
      <c r="K38" s="80"/>
      <c r="L38" s="80"/>
      <c r="M38" s="80"/>
      <c r="N38" s="80"/>
    </row>
    <row r="39">
      <c r="G39" s="80"/>
      <c r="H39" s="80"/>
      <c r="I39" s="80"/>
      <c r="J39" s="80"/>
      <c r="K39" s="80"/>
      <c r="L39" s="80"/>
      <c r="M39" s="80"/>
      <c r="N39" s="80"/>
    </row>
    <row r="40">
      <c r="G40" s="80"/>
      <c r="H40" s="80"/>
      <c r="I40" s="80"/>
      <c r="J40" s="80"/>
      <c r="K40" s="80"/>
      <c r="L40" s="80"/>
      <c r="M40" s="80"/>
      <c r="N40" s="80"/>
    </row>
    <row r="41">
      <c r="G41" s="80"/>
      <c r="H41" s="80"/>
      <c r="I41" s="80"/>
      <c r="J41" s="80"/>
      <c r="K41" s="80"/>
      <c r="L41" s="80"/>
      <c r="M41" s="80"/>
      <c r="N41" s="80"/>
    </row>
    <row r="42">
      <c r="G42" s="80"/>
      <c r="H42" s="80"/>
      <c r="I42" s="80"/>
      <c r="J42" s="80"/>
      <c r="K42" s="80"/>
      <c r="L42" s="80"/>
      <c r="M42" s="80"/>
      <c r="N42" s="80"/>
    </row>
    <row r="43">
      <c r="G43" s="80"/>
      <c r="H43" s="80"/>
      <c r="I43" s="80"/>
      <c r="J43" s="80"/>
      <c r="K43" s="80"/>
      <c r="L43" s="80"/>
      <c r="M43" s="80"/>
      <c r="N43" s="80"/>
    </row>
    <row r="44">
      <c r="G44" s="80"/>
      <c r="H44" s="80"/>
      <c r="I44" s="80"/>
      <c r="J44" s="80"/>
      <c r="K44" s="80"/>
      <c r="L44" s="80"/>
      <c r="M44" s="80"/>
      <c r="N44" s="80"/>
    </row>
    <row r="45">
      <c r="G45" s="80"/>
      <c r="H45" s="80"/>
      <c r="I45" s="80"/>
      <c r="J45" s="80"/>
      <c r="K45" s="80"/>
      <c r="L45" s="80"/>
      <c r="M45" s="80"/>
      <c r="N45" s="80"/>
    </row>
    <row r="46">
      <c r="G46" s="80"/>
      <c r="H46" s="80"/>
      <c r="I46" s="80"/>
      <c r="J46" s="80"/>
      <c r="K46" s="80"/>
      <c r="L46" s="80"/>
      <c r="M46" s="80"/>
      <c r="N46" s="80"/>
    </row>
    <row r="47">
      <c r="G47" s="80"/>
      <c r="H47" s="80"/>
      <c r="I47" s="80"/>
      <c r="J47" s="80"/>
      <c r="K47" s="80"/>
      <c r="L47" s="80"/>
      <c r="M47" s="80"/>
      <c r="N47" s="80"/>
    </row>
    <row r="48">
      <c r="G48" s="80"/>
      <c r="H48" s="80"/>
      <c r="I48" s="80"/>
      <c r="J48" s="80"/>
      <c r="K48" s="80"/>
      <c r="L48" s="80"/>
      <c r="M48" s="80"/>
      <c r="N48" s="80"/>
    </row>
    <row r="49">
      <c r="G49" s="80"/>
      <c r="H49" s="80"/>
      <c r="I49" s="80"/>
      <c r="J49" s="80"/>
      <c r="K49" s="80"/>
      <c r="L49" s="80"/>
      <c r="M49" s="80"/>
      <c r="N49" s="80"/>
    </row>
    <row r="50">
      <c r="G50" s="80"/>
      <c r="H50" s="80"/>
      <c r="I50" s="80"/>
      <c r="J50" s="80"/>
      <c r="K50" s="80"/>
      <c r="L50" s="80"/>
      <c r="M50" s="80"/>
      <c r="N50" s="80"/>
    </row>
    <row r="51">
      <c r="G51" s="80"/>
      <c r="H51" s="80"/>
      <c r="I51" s="80"/>
      <c r="J51" s="80"/>
      <c r="K51" s="80"/>
      <c r="L51" s="80"/>
      <c r="M51" s="80"/>
      <c r="N51" s="80"/>
    </row>
    <row r="52">
      <c r="G52" s="80"/>
      <c r="H52" s="80"/>
      <c r="I52" s="80"/>
      <c r="J52" s="80"/>
      <c r="K52" s="80"/>
      <c r="L52" s="80"/>
      <c r="M52" s="80"/>
      <c r="N52" s="80"/>
    </row>
    <row r="53">
      <c r="G53" s="80"/>
      <c r="H53" s="80"/>
      <c r="I53" s="80"/>
      <c r="J53" s="80"/>
      <c r="K53" s="80"/>
      <c r="L53" s="80"/>
      <c r="M53" s="80"/>
      <c r="N53" s="80"/>
    </row>
    <row r="54">
      <c r="G54" s="80"/>
      <c r="H54" s="80"/>
      <c r="I54" s="80"/>
      <c r="J54" s="80"/>
      <c r="K54" s="80"/>
      <c r="L54" s="80"/>
      <c r="M54" s="80"/>
      <c r="N54" s="80"/>
    </row>
    <row r="55">
      <c r="G55" s="80"/>
      <c r="H55" s="80"/>
      <c r="I55" s="80"/>
      <c r="J55" s="80"/>
      <c r="K55" s="80"/>
      <c r="L55" s="80"/>
      <c r="M55" s="80"/>
      <c r="N55" s="80"/>
    </row>
    <row r="56">
      <c r="G56" s="80"/>
      <c r="H56" s="80"/>
      <c r="I56" s="80"/>
      <c r="J56" s="80"/>
      <c r="K56" s="80"/>
      <c r="L56" s="80"/>
      <c r="M56" s="80"/>
      <c r="N56" s="80"/>
    </row>
    <row r="57">
      <c r="G57" s="80"/>
      <c r="H57" s="80"/>
      <c r="I57" s="80"/>
      <c r="J57" s="80"/>
      <c r="K57" s="80"/>
      <c r="L57" s="80"/>
      <c r="M57" s="80"/>
      <c r="N57" s="80"/>
    </row>
    <row r="58">
      <c r="G58" s="80"/>
      <c r="H58" s="80"/>
      <c r="I58" s="80"/>
      <c r="J58" s="80"/>
      <c r="K58" s="80"/>
      <c r="L58" s="80"/>
      <c r="M58" s="80"/>
      <c r="N58" s="80"/>
    </row>
    <row r="59">
      <c r="G59" s="80"/>
      <c r="H59" s="80"/>
      <c r="I59" s="80"/>
      <c r="J59" s="80"/>
      <c r="K59" s="80"/>
      <c r="L59" s="80"/>
      <c r="M59" s="80"/>
      <c r="N59" s="80"/>
    </row>
    <row r="60">
      <c r="G60" s="80"/>
      <c r="H60" s="80"/>
      <c r="I60" s="80"/>
      <c r="J60" s="80"/>
      <c r="K60" s="80"/>
      <c r="L60" s="80"/>
      <c r="M60" s="80"/>
      <c r="N60" s="80"/>
    </row>
    <row r="61">
      <c r="G61" s="80"/>
      <c r="H61" s="80"/>
      <c r="I61" s="80"/>
      <c r="J61" s="80"/>
      <c r="K61" s="80"/>
      <c r="L61" s="80"/>
      <c r="M61" s="80"/>
      <c r="N61" s="80"/>
    </row>
    <row r="62">
      <c r="G62" s="80"/>
      <c r="H62" s="80"/>
      <c r="I62" s="80"/>
      <c r="J62" s="80"/>
      <c r="K62" s="80"/>
      <c r="L62" s="80"/>
      <c r="M62" s="80"/>
      <c r="N62" s="80"/>
    </row>
    <row r="63">
      <c r="G63" s="80"/>
      <c r="H63" s="80"/>
      <c r="I63" s="80"/>
      <c r="J63" s="80"/>
      <c r="K63" s="80"/>
      <c r="L63" s="80"/>
      <c r="M63" s="80"/>
      <c r="N63" s="80"/>
    </row>
    <row r="64">
      <c r="G64" s="80"/>
      <c r="H64" s="80"/>
      <c r="I64" s="80"/>
      <c r="J64" s="80"/>
      <c r="K64" s="80"/>
      <c r="L64" s="80"/>
      <c r="M64" s="80"/>
      <c r="N64" s="80"/>
    </row>
    <row r="65">
      <c r="G65" s="80"/>
      <c r="H65" s="80"/>
      <c r="I65" s="80"/>
      <c r="J65" s="80"/>
      <c r="K65" s="80"/>
      <c r="L65" s="80"/>
      <c r="M65" s="80"/>
      <c r="N65" s="80"/>
    </row>
    <row r="66">
      <c r="G66" s="80"/>
      <c r="H66" s="80"/>
      <c r="I66" s="80"/>
      <c r="J66" s="80"/>
      <c r="K66" s="80"/>
      <c r="L66" s="80"/>
      <c r="M66" s="80"/>
      <c r="N66" s="80"/>
    </row>
    <row r="67">
      <c r="G67" s="80"/>
      <c r="H67" s="80"/>
      <c r="I67" s="80"/>
      <c r="J67" s="80"/>
      <c r="K67" s="80"/>
      <c r="L67" s="80"/>
      <c r="M67" s="80"/>
      <c r="N67" s="80"/>
    </row>
    <row r="68">
      <c r="G68" s="80"/>
      <c r="H68" s="80"/>
      <c r="I68" s="80"/>
      <c r="J68" s="80"/>
      <c r="K68" s="80"/>
      <c r="L68" s="80"/>
      <c r="M68" s="80"/>
      <c r="N68" s="80"/>
    </row>
    <row r="69">
      <c r="G69" s="80"/>
      <c r="H69" s="80"/>
      <c r="I69" s="80"/>
      <c r="J69" s="80"/>
      <c r="K69" s="80"/>
      <c r="L69" s="80"/>
      <c r="M69" s="80"/>
      <c r="N69" s="80"/>
    </row>
    <row r="70">
      <c r="G70" s="80"/>
      <c r="H70" s="80"/>
      <c r="I70" s="80"/>
      <c r="J70" s="80"/>
      <c r="K70" s="80"/>
      <c r="L70" s="80"/>
      <c r="M70" s="80"/>
      <c r="N70" s="80"/>
    </row>
    <row r="71">
      <c r="G71" s="80"/>
      <c r="H71" s="80"/>
      <c r="I71" s="80"/>
      <c r="J71" s="80"/>
      <c r="K71" s="80"/>
      <c r="L71" s="80"/>
      <c r="M71" s="80"/>
      <c r="N71" s="80"/>
    </row>
    <row r="72">
      <c r="G72" s="80"/>
      <c r="H72" s="80"/>
      <c r="I72" s="80"/>
      <c r="J72" s="80"/>
      <c r="K72" s="80"/>
      <c r="L72" s="80"/>
      <c r="M72" s="80"/>
      <c r="N72" s="80"/>
    </row>
    <row r="73">
      <c r="G73" s="80"/>
      <c r="H73" s="80"/>
      <c r="I73" s="80"/>
      <c r="J73" s="80"/>
      <c r="K73" s="80"/>
      <c r="L73" s="80"/>
      <c r="M73" s="80"/>
      <c r="N73" s="80"/>
    </row>
    <row r="74">
      <c r="G74" s="80"/>
      <c r="H74" s="80"/>
      <c r="I74" s="80"/>
      <c r="J74" s="80"/>
      <c r="K74" s="80"/>
      <c r="L74" s="80"/>
      <c r="M74" s="80"/>
      <c r="N74" s="80"/>
    </row>
    <row r="75">
      <c r="G75" s="80"/>
      <c r="H75" s="80"/>
      <c r="I75" s="80"/>
      <c r="J75" s="80"/>
      <c r="K75" s="80"/>
      <c r="L75" s="80"/>
      <c r="M75" s="80"/>
      <c r="N75" s="80"/>
    </row>
    <row r="76">
      <c r="G76" s="80"/>
      <c r="H76" s="80"/>
      <c r="I76" s="80"/>
      <c r="J76" s="80"/>
      <c r="K76" s="80"/>
      <c r="L76" s="80"/>
      <c r="M76" s="80"/>
      <c r="N76" s="80"/>
    </row>
    <row r="77">
      <c r="G77" s="80"/>
      <c r="H77" s="80"/>
      <c r="I77" s="80"/>
      <c r="J77" s="80"/>
      <c r="K77" s="80"/>
      <c r="L77" s="80"/>
      <c r="M77" s="80"/>
      <c r="N77" s="80"/>
    </row>
    <row r="78">
      <c r="G78" s="80"/>
      <c r="H78" s="80"/>
      <c r="I78" s="80"/>
      <c r="J78" s="80"/>
      <c r="K78" s="80"/>
      <c r="L78" s="80"/>
      <c r="M78" s="80"/>
      <c r="N78" s="80"/>
    </row>
    <row r="79">
      <c r="G79" s="80"/>
      <c r="H79" s="80"/>
      <c r="I79" s="80"/>
      <c r="J79" s="80"/>
      <c r="K79" s="80"/>
      <c r="L79" s="80"/>
      <c r="M79" s="80"/>
      <c r="N79" s="80"/>
    </row>
    <row r="80">
      <c r="G80" s="80"/>
      <c r="H80" s="80"/>
      <c r="I80" s="80"/>
      <c r="J80" s="80"/>
      <c r="K80" s="80"/>
      <c r="L80" s="80"/>
      <c r="M80" s="80"/>
      <c r="N80" s="80"/>
    </row>
    <row r="81">
      <c r="G81" s="80"/>
      <c r="H81" s="80"/>
      <c r="I81" s="80"/>
      <c r="J81" s="80"/>
      <c r="K81" s="80"/>
      <c r="L81" s="80"/>
      <c r="M81" s="80"/>
      <c r="N81" s="80"/>
    </row>
    <row r="82">
      <c r="G82" s="80"/>
      <c r="H82" s="80"/>
      <c r="I82" s="80"/>
      <c r="J82" s="80"/>
      <c r="K82" s="80"/>
      <c r="L82" s="80"/>
      <c r="M82" s="80"/>
      <c r="N82" s="80"/>
    </row>
    <row r="83">
      <c r="G83" s="80"/>
      <c r="H83" s="80"/>
      <c r="I83" s="80"/>
      <c r="J83" s="80"/>
      <c r="K83" s="80"/>
      <c r="L83" s="80"/>
      <c r="M83" s="80"/>
      <c r="N83" s="80"/>
    </row>
    <row r="84">
      <c r="G84" s="80"/>
      <c r="H84" s="80"/>
      <c r="I84" s="80"/>
      <c r="J84" s="80"/>
      <c r="K84" s="80"/>
      <c r="L84" s="80"/>
      <c r="M84" s="80"/>
      <c r="N84" s="80"/>
    </row>
    <row r="85">
      <c r="G85" s="80"/>
      <c r="H85" s="80"/>
      <c r="I85" s="80"/>
      <c r="J85" s="80"/>
      <c r="K85" s="80"/>
      <c r="L85" s="80"/>
      <c r="M85" s="80"/>
      <c r="N85" s="80"/>
    </row>
    <row r="86">
      <c r="G86" s="80"/>
      <c r="H86" s="80"/>
      <c r="I86" s="80"/>
      <c r="J86" s="80"/>
      <c r="K86" s="80"/>
      <c r="L86" s="80"/>
      <c r="M86" s="80"/>
      <c r="N86" s="80"/>
    </row>
    <row r="87">
      <c r="G87" s="80"/>
      <c r="H87" s="80"/>
      <c r="I87" s="80"/>
      <c r="J87" s="80"/>
      <c r="K87" s="80"/>
      <c r="L87" s="80"/>
      <c r="M87" s="80"/>
      <c r="N87" s="80"/>
    </row>
    <row r="88">
      <c r="G88" s="80"/>
      <c r="H88" s="80"/>
      <c r="I88" s="80"/>
      <c r="J88" s="80"/>
      <c r="K88" s="80"/>
      <c r="L88" s="80"/>
      <c r="M88" s="80"/>
      <c r="N88" s="80"/>
    </row>
    <row r="89">
      <c r="G89" s="80"/>
      <c r="H89" s="80"/>
      <c r="I89" s="80"/>
      <c r="J89" s="80"/>
      <c r="K89" s="80"/>
      <c r="L89" s="80"/>
      <c r="M89" s="80"/>
      <c r="N89" s="80"/>
    </row>
    <row r="90">
      <c r="G90" s="80"/>
      <c r="H90" s="80"/>
      <c r="I90" s="80"/>
      <c r="J90" s="80"/>
      <c r="K90" s="80"/>
      <c r="L90" s="80"/>
      <c r="M90" s="80"/>
      <c r="N90" s="80"/>
    </row>
    <row r="91">
      <c r="G91" s="80"/>
      <c r="H91" s="80"/>
      <c r="I91" s="80"/>
      <c r="J91" s="80"/>
      <c r="K91" s="80"/>
      <c r="L91" s="80"/>
      <c r="M91" s="80"/>
      <c r="N91" s="80"/>
    </row>
    <row r="92">
      <c r="G92" s="80"/>
      <c r="H92" s="80"/>
      <c r="I92" s="80"/>
      <c r="J92" s="80"/>
      <c r="K92" s="80"/>
      <c r="L92" s="80"/>
      <c r="M92" s="80"/>
      <c r="N92" s="80"/>
    </row>
    <row r="93">
      <c r="G93" s="80"/>
      <c r="H93" s="80"/>
      <c r="I93" s="80"/>
      <c r="J93" s="80"/>
      <c r="K93" s="80"/>
      <c r="L93" s="80"/>
      <c r="M93" s="80"/>
      <c r="N93" s="80"/>
    </row>
    <row r="94">
      <c r="G94" s="80"/>
      <c r="H94" s="80"/>
      <c r="I94" s="80"/>
      <c r="J94" s="80"/>
      <c r="K94" s="80"/>
      <c r="L94" s="80"/>
      <c r="M94" s="80"/>
      <c r="N94" s="80"/>
    </row>
    <row r="95">
      <c r="G95" s="80"/>
      <c r="H95" s="80"/>
      <c r="I95" s="80"/>
      <c r="J95" s="80"/>
      <c r="K95" s="80"/>
      <c r="L95" s="80"/>
      <c r="M95" s="80"/>
      <c r="N95" s="80"/>
    </row>
    <row r="96">
      <c r="G96" s="80"/>
      <c r="H96" s="80"/>
      <c r="I96" s="80"/>
      <c r="J96" s="80"/>
      <c r="K96" s="80"/>
      <c r="L96" s="80"/>
      <c r="M96" s="80"/>
      <c r="N96" s="80"/>
    </row>
    <row r="97">
      <c r="G97" s="80"/>
      <c r="H97" s="80"/>
      <c r="I97" s="80"/>
      <c r="J97" s="80"/>
      <c r="K97" s="80"/>
      <c r="L97" s="80"/>
      <c r="M97" s="80"/>
      <c r="N97" s="80"/>
    </row>
    <row r="98">
      <c r="G98" s="80"/>
      <c r="H98" s="80"/>
      <c r="I98" s="80"/>
      <c r="J98" s="80"/>
      <c r="K98" s="80"/>
      <c r="L98" s="80"/>
      <c r="M98" s="80"/>
      <c r="N98" s="80"/>
    </row>
    <row r="99">
      <c r="G99" s="80"/>
      <c r="H99" s="80"/>
      <c r="I99" s="80"/>
      <c r="J99" s="80"/>
      <c r="K99" s="80"/>
      <c r="L99" s="80"/>
      <c r="M99" s="80"/>
      <c r="N99" s="80"/>
    </row>
    <row r="100">
      <c r="G100" s="80"/>
      <c r="H100" s="80"/>
      <c r="I100" s="80"/>
      <c r="J100" s="80"/>
      <c r="K100" s="80"/>
      <c r="L100" s="80"/>
      <c r="M100" s="80"/>
      <c r="N100" s="80"/>
    </row>
    <row r="101">
      <c r="G101" s="80"/>
      <c r="H101" s="80"/>
      <c r="I101" s="80"/>
      <c r="J101" s="80"/>
      <c r="K101" s="80"/>
      <c r="L101" s="80"/>
      <c r="M101" s="80"/>
      <c r="N101" s="80"/>
    </row>
    <row r="102">
      <c r="G102" s="80"/>
      <c r="H102" s="80"/>
      <c r="I102" s="80"/>
      <c r="J102" s="80"/>
      <c r="K102" s="80"/>
      <c r="L102" s="80"/>
      <c r="M102" s="80"/>
      <c r="N102" s="80"/>
    </row>
    <row r="103">
      <c r="G103" s="80"/>
      <c r="H103" s="80"/>
      <c r="I103" s="80"/>
      <c r="J103" s="80"/>
      <c r="K103" s="80"/>
      <c r="L103" s="80"/>
      <c r="M103" s="80"/>
      <c r="N103" s="80"/>
    </row>
    <row r="104">
      <c r="G104" s="80"/>
      <c r="H104" s="80"/>
      <c r="I104" s="80"/>
      <c r="J104" s="80"/>
      <c r="K104" s="80"/>
      <c r="L104" s="80"/>
      <c r="M104" s="80"/>
      <c r="N104" s="80"/>
    </row>
    <row r="105">
      <c r="G105" s="80"/>
      <c r="H105" s="80"/>
      <c r="I105" s="80"/>
      <c r="J105" s="80"/>
      <c r="K105" s="80"/>
      <c r="L105" s="80"/>
      <c r="M105" s="80"/>
      <c r="N105" s="80"/>
    </row>
    <row r="106">
      <c r="G106" s="80"/>
      <c r="H106" s="80"/>
      <c r="I106" s="80"/>
      <c r="J106" s="80"/>
      <c r="K106" s="80"/>
      <c r="L106" s="80"/>
      <c r="M106" s="80"/>
      <c r="N106" s="80"/>
    </row>
    <row r="107">
      <c r="G107" s="80"/>
      <c r="H107" s="80"/>
      <c r="I107" s="80"/>
      <c r="J107" s="80"/>
      <c r="K107" s="80"/>
      <c r="L107" s="80"/>
      <c r="M107" s="80"/>
      <c r="N107" s="80"/>
    </row>
    <row r="108">
      <c r="G108" s="80"/>
      <c r="H108" s="80"/>
      <c r="I108" s="80"/>
      <c r="J108" s="80"/>
      <c r="K108" s="80"/>
      <c r="L108" s="80"/>
      <c r="M108" s="80"/>
      <c r="N108" s="80"/>
    </row>
    <row r="109">
      <c r="G109" s="80"/>
      <c r="H109" s="80"/>
      <c r="I109" s="80"/>
      <c r="J109" s="80"/>
      <c r="K109" s="80"/>
      <c r="L109" s="80"/>
      <c r="M109" s="80"/>
      <c r="N109" s="80"/>
    </row>
    <row r="110">
      <c r="G110" s="80"/>
      <c r="H110" s="80"/>
      <c r="I110" s="80"/>
      <c r="J110" s="80"/>
      <c r="K110" s="80"/>
      <c r="L110" s="80"/>
      <c r="M110" s="80"/>
      <c r="N110" s="80"/>
    </row>
    <row r="111">
      <c r="G111" s="80"/>
      <c r="H111" s="80"/>
      <c r="I111" s="80"/>
      <c r="J111" s="80"/>
      <c r="K111" s="80"/>
      <c r="L111" s="80"/>
      <c r="M111" s="80"/>
      <c r="N111" s="80"/>
    </row>
    <row r="112">
      <c r="G112" s="80"/>
      <c r="H112" s="80"/>
      <c r="I112" s="80"/>
      <c r="J112" s="80"/>
      <c r="K112" s="80"/>
      <c r="L112" s="80"/>
      <c r="M112" s="80"/>
      <c r="N112" s="80"/>
    </row>
    <row r="113">
      <c r="G113" s="80"/>
      <c r="H113" s="80"/>
      <c r="I113" s="80"/>
      <c r="J113" s="80"/>
      <c r="K113" s="80"/>
      <c r="L113" s="80"/>
      <c r="M113" s="80"/>
      <c r="N113" s="80"/>
    </row>
    <row r="114">
      <c r="G114" s="80"/>
      <c r="H114" s="80"/>
      <c r="I114" s="80"/>
      <c r="J114" s="80"/>
      <c r="K114" s="80"/>
      <c r="L114" s="80"/>
      <c r="M114" s="80"/>
      <c r="N114" s="80"/>
    </row>
    <row r="115">
      <c r="G115" s="80"/>
      <c r="H115" s="80"/>
      <c r="I115" s="80"/>
      <c r="J115" s="80"/>
      <c r="K115" s="80"/>
      <c r="L115" s="80"/>
      <c r="M115" s="80"/>
      <c r="N115" s="80"/>
    </row>
    <row r="116">
      <c r="G116" s="80"/>
      <c r="H116" s="80"/>
      <c r="I116" s="80"/>
      <c r="J116" s="80"/>
      <c r="K116" s="80"/>
      <c r="L116" s="80"/>
      <c r="M116" s="80"/>
      <c r="N116" s="80"/>
    </row>
    <row r="117">
      <c r="G117" s="80"/>
      <c r="H117" s="80"/>
      <c r="I117" s="80"/>
      <c r="J117" s="80"/>
      <c r="K117" s="80"/>
      <c r="L117" s="80"/>
      <c r="M117" s="80"/>
      <c r="N117" s="80"/>
    </row>
    <row r="118">
      <c r="G118" s="80"/>
      <c r="H118" s="80"/>
      <c r="I118" s="80"/>
      <c r="J118" s="80"/>
      <c r="K118" s="80"/>
      <c r="L118" s="80"/>
      <c r="M118" s="80"/>
      <c r="N118" s="80"/>
    </row>
    <row r="119">
      <c r="G119" s="80"/>
      <c r="H119" s="80"/>
      <c r="I119" s="80"/>
      <c r="J119" s="80"/>
      <c r="K119" s="80"/>
      <c r="L119" s="80"/>
      <c r="M119" s="80"/>
      <c r="N119" s="80"/>
    </row>
    <row r="120">
      <c r="G120" s="80"/>
      <c r="H120" s="80"/>
      <c r="I120" s="80"/>
      <c r="J120" s="80"/>
      <c r="K120" s="80"/>
      <c r="L120" s="80"/>
      <c r="M120" s="80"/>
      <c r="N120" s="80"/>
    </row>
    <row r="121">
      <c r="G121" s="80"/>
      <c r="H121" s="80"/>
      <c r="I121" s="80"/>
      <c r="J121" s="80"/>
      <c r="K121" s="80"/>
      <c r="L121" s="80"/>
      <c r="M121" s="80"/>
      <c r="N121" s="80"/>
    </row>
    <row r="122">
      <c r="G122" s="80"/>
      <c r="H122" s="80"/>
      <c r="I122" s="80"/>
      <c r="J122" s="80"/>
      <c r="K122" s="80"/>
      <c r="L122" s="80"/>
      <c r="M122" s="80"/>
      <c r="N122" s="80"/>
    </row>
    <row r="123">
      <c r="G123" s="80"/>
      <c r="H123" s="80"/>
      <c r="I123" s="80"/>
      <c r="J123" s="80"/>
      <c r="K123" s="80"/>
      <c r="L123" s="80"/>
      <c r="M123" s="80"/>
      <c r="N123" s="80"/>
    </row>
    <row r="124">
      <c r="G124" s="80"/>
      <c r="H124" s="80"/>
      <c r="I124" s="80"/>
      <c r="J124" s="80"/>
      <c r="K124" s="80"/>
      <c r="L124" s="80"/>
      <c r="M124" s="80"/>
      <c r="N124" s="80"/>
    </row>
    <row r="125">
      <c r="G125" s="80"/>
      <c r="H125" s="80"/>
      <c r="I125" s="80"/>
      <c r="J125" s="80"/>
      <c r="K125" s="80"/>
      <c r="L125" s="80"/>
      <c r="M125" s="80"/>
      <c r="N125" s="80"/>
    </row>
    <row r="126">
      <c r="G126" s="80"/>
      <c r="H126" s="80"/>
      <c r="I126" s="80"/>
      <c r="J126" s="80"/>
      <c r="K126" s="80"/>
      <c r="L126" s="80"/>
      <c r="M126" s="80"/>
      <c r="N126" s="80"/>
    </row>
    <row r="127">
      <c r="G127" s="80"/>
      <c r="H127" s="80"/>
      <c r="I127" s="80"/>
      <c r="J127" s="80"/>
      <c r="K127" s="80"/>
      <c r="L127" s="80"/>
      <c r="M127" s="80"/>
      <c r="N127" s="80"/>
    </row>
    <row r="128">
      <c r="G128" s="80"/>
      <c r="H128" s="80"/>
      <c r="I128" s="80"/>
      <c r="J128" s="80"/>
      <c r="K128" s="80"/>
      <c r="L128" s="80"/>
      <c r="M128" s="80"/>
      <c r="N128" s="80"/>
    </row>
    <row r="129">
      <c r="G129" s="80"/>
      <c r="H129" s="80"/>
      <c r="I129" s="80"/>
      <c r="J129" s="80"/>
      <c r="K129" s="80"/>
      <c r="L129" s="80"/>
      <c r="M129" s="80"/>
      <c r="N129" s="80"/>
    </row>
    <row r="130">
      <c r="G130" s="80"/>
      <c r="H130" s="80"/>
      <c r="I130" s="80"/>
      <c r="J130" s="80"/>
      <c r="K130" s="80"/>
      <c r="L130" s="80"/>
      <c r="M130" s="80"/>
      <c r="N130" s="80"/>
    </row>
    <row r="131">
      <c r="G131" s="80"/>
      <c r="H131" s="80"/>
      <c r="I131" s="80"/>
      <c r="J131" s="80"/>
      <c r="K131" s="80"/>
      <c r="L131" s="80"/>
      <c r="M131" s="80"/>
      <c r="N131" s="80"/>
    </row>
    <row r="132">
      <c r="G132" s="80"/>
      <c r="H132" s="80"/>
      <c r="I132" s="80"/>
      <c r="J132" s="80"/>
      <c r="K132" s="80"/>
      <c r="L132" s="80"/>
      <c r="M132" s="80"/>
      <c r="N132" s="80"/>
    </row>
    <row r="133">
      <c r="G133" s="80"/>
      <c r="H133" s="80"/>
      <c r="I133" s="80"/>
      <c r="J133" s="80"/>
      <c r="K133" s="80"/>
      <c r="L133" s="80"/>
      <c r="M133" s="80"/>
      <c r="N133" s="80"/>
    </row>
    <row r="134">
      <c r="G134" s="80"/>
      <c r="H134" s="80"/>
      <c r="I134" s="80"/>
      <c r="J134" s="80"/>
      <c r="K134" s="80"/>
      <c r="L134" s="80"/>
      <c r="M134" s="80"/>
      <c r="N134" s="80"/>
    </row>
    <row r="135">
      <c r="G135" s="80"/>
      <c r="H135" s="80"/>
      <c r="I135" s="80"/>
      <c r="J135" s="80"/>
      <c r="K135" s="80"/>
      <c r="L135" s="80"/>
      <c r="M135" s="80"/>
      <c r="N135" s="80"/>
    </row>
    <row r="136">
      <c r="G136" s="80"/>
      <c r="H136" s="80"/>
      <c r="I136" s="80"/>
      <c r="J136" s="80"/>
      <c r="K136" s="80"/>
      <c r="L136" s="80"/>
      <c r="M136" s="80"/>
      <c r="N136" s="80"/>
    </row>
    <row r="137">
      <c r="G137" s="80"/>
      <c r="H137" s="80"/>
      <c r="I137" s="80"/>
      <c r="J137" s="80"/>
      <c r="K137" s="80"/>
      <c r="L137" s="80"/>
      <c r="M137" s="80"/>
      <c r="N137" s="80"/>
    </row>
    <row r="138">
      <c r="G138" s="80"/>
      <c r="H138" s="80"/>
      <c r="I138" s="80"/>
      <c r="J138" s="80"/>
      <c r="K138" s="80"/>
      <c r="L138" s="80"/>
      <c r="M138" s="80"/>
      <c r="N138" s="80"/>
    </row>
    <row r="139">
      <c r="G139" s="80"/>
      <c r="H139" s="80"/>
      <c r="I139" s="80"/>
      <c r="J139" s="80"/>
      <c r="K139" s="80"/>
      <c r="L139" s="80"/>
      <c r="M139" s="80"/>
      <c r="N139" s="80"/>
    </row>
    <row r="140">
      <c r="G140" s="80"/>
      <c r="H140" s="80"/>
      <c r="I140" s="80"/>
      <c r="J140" s="80"/>
      <c r="K140" s="80"/>
      <c r="L140" s="80"/>
      <c r="M140" s="80"/>
      <c r="N140" s="80"/>
    </row>
    <row r="141">
      <c r="G141" s="80"/>
      <c r="H141" s="80"/>
      <c r="I141" s="80"/>
      <c r="J141" s="80"/>
      <c r="K141" s="80"/>
      <c r="L141" s="80"/>
      <c r="M141" s="80"/>
      <c r="N141" s="80"/>
    </row>
    <row r="142">
      <c r="G142" s="80"/>
      <c r="H142" s="80"/>
      <c r="I142" s="80"/>
      <c r="J142" s="80"/>
      <c r="K142" s="80"/>
      <c r="L142" s="80"/>
      <c r="M142" s="80"/>
      <c r="N142" s="80"/>
    </row>
    <row r="143">
      <c r="G143" s="80"/>
      <c r="H143" s="80"/>
      <c r="I143" s="80"/>
      <c r="J143" s="80"/>
      <c r="K143" s="80"/>
      <c r="L143" s="80"/>
      <c r="M143" s="80"/>
      <c r="N143" s="80"/>
    </row>
    <row r="144">
      <c r="G144" s="80"/>
      <c r="H144" s="80"/>
      <c r="I144" s="80"/>
      <c r="J144" s="80"/>
      <c r="K144" s="80"/>
      <c r="L144" s="80"/>
      <c r="M144" s="80"/>
      <c r="N144" s="80"/>
    </row>
    <row r="145">
      <c r="G145" s="80"/>
      <c r="H145" s="80"/>
      <c r="I145" s="80"/>
      <c r="J145" s="80"/>
      <c r="K145" s="80"/>
      <c r="L145" s="80"/>
      <c r="M145" s="80"/>
      <c r="N145" s="80"/>
    </row>
    <row r="146">
      <c r="G146" s="80"/>
      <c r="H146" s="80"/>
      <c r="I146" s="80"/>
      <c r="J146" s="80"/>
      <c r="K146" s="80"/>
      <c r="L146" s="80"/>
      <c r="M146" s="80"/>
      <c r="N146" s="80"/>
    </row>
    <row r="147">
      <c r="G147" s="80"/>
      <c r="H147" s="80"/>
      <c r="I147" s="80"/>
      <c r="J147" s="80"/>
      <c r="K147" s="80"/>
      <c r="L147" s="80"/>
      <c r="M147" s="80"/>
      <c r="N147" s="80"/>
    </row>
    <row r="148">
      <c r="G148" s="80"/>
      <c r="H148" s="80"/>
      <c r="I148" s="80"/>
      <c r="J148" s="80"/>
      <c r="K148" s="80"/>
      <c r="L148" s="80"/>
      <c r="M148" s="80"/>
      <c r="N148" s="80"/>
    </row>
    <row r="149">
      <c r="G149" s="80"/>
      <c r="H149" s="80"/>
      <c r="I149" s="80"/>
      <c r="J149" s="80"/>
      <c r="K149" s="80"/>
      <c r="L149" s="80"/>
      <c r="M149" s="80"/>
      <c r="N149" s="80"/>
    </row>
    <row r="150">
      <c r="G150" s="80"/>
      <c r="H150" s="80"/>
      <c r="I150" s="80"/>
      <c r="J150" s="80"/>
      <c r="K150" s="80"/>
      <c r="L150" s="80"/>
      <c r="M150" s="80"/>
      <c r="N150" s="80"/>
    </row>
    <row r="151">
      <c r="G151" s="80"/>
      <c r="H151" s="80"/>
      <c r="I151" s="80"/>
      <c r="J151" s="80"/>
      <c r="K151" s="80"/>
      <c r="L151" s="80"/>
      <c r="M151" s="80"/>
      <c r="N151" s="80"/>
    </row>
    <row r="152">
      <c r="G152" s="80"/>
      <c r="H152" s="80"/>
      <c r="I152" s="80"/>
      <c r="J152" s="80"/>
      <c r="K152" s="80"/>
      <c r="L152" s="80"/>
      <c r="M152" s="80"/>
      <c r="N152" s="80"/>
    </row>
    <row r="153">
      <c r="G153" s="80"/>
      <c r="H153" s="80"/>
      <c r="I153" s="80"/>
      <c r="J153" s="80"/>
      <c r="K153" s="80"/>
      <c r="L153" s="80"/>
      <c r="M153" s="80"/>
      <c r="N153" s="80"/>
    </row>
    <row r="154">
      <c r="G154" s="80"/>
      <c r="H154" s="80"/>
      <c r="I154" s="80"/>
      <c r="J154" s="80"/>
      <c r="K154" s="80"/>
      <c r="L154" s="80"/>
      <c r="M154" s="80"/>
      <c r="N154" s="80"/>
    </row>
    <row r="155">
      <c r="G155" s="80"/>
      <c r="H155" s="80"/>
      <c r="I155" s="80"/>
      <c r="J155" s="80"/>
      <c r="K155" s="80"/>
      <c r="L155" s="80"/>
      <c r="M155" s="80"/>
      <c r="N155" s="80"/>
    </row>
    <row r="156">
      <c r="G156" s="80"/>
      <c r="H156" s="80"/>
      <c r="I156" s="80"/>
      <c r="J156" s="80"/>
      <c r="K156" s="80"/>
      <c r="L156" s="80"/>
      <c r="M156" s="80"/>
      <c r="N156" s="80"/>
    </row>
    <row r="157">
      <c r="G157" s="80"/>
      <c r="H157" s="80"/>
      <c r="I157" s="80"/>
      <c r="J157" s="80"/>
      <c r="K157" s="80"/>
      <c r="L157" s="80"/>
      <c r="M157" s="80"/>
      <c r="N157" s="80"/>
    </row>
    <row r="158">
      <c r="G158" s="80"/>
      <c r="H158" s="80"/>
      <c r="I158" s="80"/>
      <c r="J158" s="80"/>
      <c r="K158" s="80"/>
      <c r="L158" s="80"/>
      <c r="M158" s="80"/>
      <c r="N158" s="80"/>
    </row>
    <row r="159">
      <c r="G159" s="80"/>
      <c r="H159" s="80"/>
      <c r="I159" s="80"/>
      <c r="J159" s="80"/>
      <c r="K159" s="80"/>
      <c r="L159" s="80"/>
      <c r="M159" s="80"/>
      <c r="N159" s="80"/>
    </row>
    <row r="160">
      <c r="G160" s="80"/>
      <c r="H160" s="80"/>
      <c r="I160" s="80"/>
      <c r="J160" s="80"/>
      <c r="K160" s="80"/>
      <c r="L160" s="80"/>
      <c r="M160" s="80"/>
      <c r="N160" s="80"/>
    </row>
    <row r="161">
      <c r="G161" s="80"/>
      <c r="H161" s="80"/>
      <c r="I161" s="80"/>
      <c r="J161" s="80"/>
      <c r="K161" s="80"/>
      <c r="L161" s="80"/>
      <c r="M161" s="80"/>
      <c r="N161" s="80"/>
    </row>
    <row r="162">
      <c r="G162" s="80"/>
      <c r="H162" s="80"/>
      <c r="I162" s="80"/>
      <c r="J162" s="80"/>
      <c r="K162" s="80"/>
      <c r="L162" s="80"/>
      <c r="M162" s="80"/>
      <c r="N162" s="80"/>
    </row>
    <row r="163">
      <c r="G163" s="80"/>
      <c r="H163" s="80"/>
      <c r="I163" s="80"/>
      <c r="J163" s="80"/>
      <c r="K163" s="80"/>
      <c r="L163" s="80"/>
      <c r="M163" s="80"/>
      <c r="N163" s="80"/>
    </row>
    <row r="164">
      <c r="G164" s="80"/>
      <c r="H164" s="80"/>
      <c r="I164" s="80"/>
      <c r="J164" s="80"/>
      <c r="K164" s="80"/>
      <c r="L164" s="80"/>
      <c r="M164" s="80"/>
      <c r="N164" s="80"/>
    </row>
    <row r="165">
      <c r="G165" s="80"/>
      <c r="H165" s="80"/>
      <c r="I165" s="80"/>
      <c r="J165" s="80"/>
      <c r="K165" s="80"/>
      <c r="L165" s="80"/>
      <c r="M165" s="80"/>
      <c r="N165" s="80"/>
    </row>
    <row r="166">
      <c r="G166" s="80"/>
      <c r="H166" s="80"/>
      <c r="I166" s="80"/>
      <c r="J166" s="80"/>
      <c r="K166" s="80"/>
      <c r="L166" s="80"/>
      <c r="M166" s="80"/>
      <c r="N166" s="80"/>
    </row>
    <row r="167">
      <c r="G167" s="80"/>
      <c r="H167" s="80"/>
      <c r="I167" s="80"/>
      <c r="J167" s="80"/>
      <c r="K167" s="80"/>
      <c r="L167" s="80"/>
      <c r="M167" s="80"/>
      <c r="N167" s="80"/>
    </row>
    <row r="168">
      <c r="G168" s="80"/>
      <c r="H168" s="80"/>
      <c r="I168" s="80"/>
      <c r="J168" s="80"/>
      <c r="K168" s="80"/>
      <c r="L168" s="80"/>
      <c r="M168" s="80"/>
      <c r="N168" s="80"/>
    </row>
    <row r="169">
      <c r="G169" s="80"/>
      <c r="H169" s="80"/>
      <c r="I169" s="80"/>
      <c r="J169" s="80"/>
      <c r="K169" s="80"/>
      <c r="L169" s="80"/>
      <c r="M169" s="80"/>
      <c r="N169" s="80"/>
    </row>
    <row r="170">
      <c r="G170" s="80"/>
      <c r="H170" s="80"/>
      <c r="I170" s="80"/>
      <c r="J170" s="80"/>
      <c r="K170" s="80"/>
      <c r="L170" s="80"/>
      <c r="M170" s="80"/>
      <c r="N170" s="80"/>
    </row>
    <row r="171">
      <c r="G171" s="80"/>
      <c r="H171" s="80"/>
      <c r="I171" s="80"/>
      <c r="J171" s="80"/>
      <c r="K171" s="80"/>
      <c r="L171" s="80"/>
      <c r="M171" s="80"/>
      <c r="N171" s="80"/>
    </row>
    <row r="172">
      <c r="G172" s="80"/>
      <c r="H172" s="80"/>
      <c r="I172" s="80"/>
      <c r="J172" s="80"/>
      <c r="K172" s="80"/>
      <c r="L172" s="80"/>
      <c r="M172" s="80"/>
      <c r="N172" s="80"/>
    </row>
    <row r="173">
      <c r="G173" s="80"/>
      <c r="H173" s="80"/>
      <c r="I173" s="80"/>
      <c r="J173" s="80"/>
      <c r="K173" s="80"/>
      <c r="L173" s="80"/>
      <c r="M173" s="80"/>
      <c r="N173" s="80"/>
    </row>
    <row r="174">
      <c r="G174" s="80"/>
      <c r="H174" s="80"/>
      <c r="I174" s="80"/>
      <c r="J174" s="80"/>
      <c r="K174" s="80"/>
      <c r="L174" s="80"/>
      <c r="M174" s="80"/>
      <c r="N174" s="80"/>
    </row>
    <row r="175">
      <c r="G175" s="80"/>
      <c r="H175" s="80"/>
      <c r="I175" s="80"/>
      <c r="J175" s="80"/>
      <c r="K175" s="80"/>
      <c r="L175" s="80"/>
      <c r="M175" s="80"/>
      <c r="N175" s="80"/>
    </row>
    <row r="176">
      <c r="G176" s="80"/>
      <c r="H176" s="80"/>
      <c r="I176" s="80"/>
      <c r="J176" s="80"/>
      <c r="K176" s="80"/>
      <c r="L176" s="80"/>
      <c r="M176" s="80"/>
      <c r="N176" s="80"/>
    </row>
    <row r="177">
      <c r="G177" s="80"/>
      <c r="H177" s="80"/>
      <c r="I177" s="80"/>
      <c r="J177" s="80"/>
      <c r="K177" s="80"/>
      <c r="L177" s="80"/>
      <c r="M177" s="80"/>
      <c r="N177" s="80"/>
    </row>
    <row r="178">
      <c r="G178" s="80"/>
      <c r="H178" s="80"/>
      <c r="I178" s="80"/>
      <c r="J178" s="80"/>
      <c r="K178" s="80"/>
      <c r="L178" s="80"/>
      <c r="M178" s="80"/>
      <c r="N178" s="80"/>
    </row>
    <row r="179">
      <c r="G179" s="80"/>
      <c r="H179" s="80"/>
      <c r="I179" s="80"/>
      <c r="J179" s="80"/>
      <c r="K179" s="80"/>
      <c r="L179" s="80"/>
      <c r="M179" s="80"/>
      <c r="N179" s="80"/>
    </row>
    <row r="180">
      <c r="G180" s="80"/>
      <c r="H180" s="80"/>
      <c r="I180" s="80"/>
      <c r="J180" s="80"/>
      <c r="K180" s="80"/>
      <c r="L180" s="80"/>
      <c r="M180" s="80"/>
      <c r="N180" s="80"/>
    </row>
    <row r="181">
      <c r="G181" s="80"/>
      <c r="H181" s="80"/>
      <c r="I181" s="80"/>
      <c r="J181" s="80"/>
      <c r="K181" s="80"/>
      <c r="L181" s="80"/>
      <c r="M181" s="80"/>
      <c r="N181" s="80"/>
    </row>
    <row r="182">
      <c r="G182" s="80"/>
      <c r="H182" s="80"/>
      <c r="I182" s="80"/>
      <c r="J182" s="80"/>
      <c r="K182" s="80"/>
      <c r="L182" s="80"/>
      <c r="M182" s="80"/>
      <c r="N182" s="80"/>
    </row>
    <row r="183">
      <c r="G183" s="80"/>
      <c r="H183" s="80"/>
      <c r="I183" s="80"/>
      <c r="J183" s="80"/>
      <c r="K183" s="80"/>
      <c r="L183" s="80"/>
      <c r="M183" s="80"/>
      <c r="N183" s="80"/>
    </row>
    <row r="184">
      <c r="G184" s="80"/>
      <c r="H184" s="80"/>
      <c r="I184" s="80"/>
      <c r="J184" s="80"/>
      <c r="K184" s="80"/>
      <c r="L184" s="80"/>
      <c r="M184" s="80"/>
      <c r="N184" s="80"/>
    </row>
    <row r="185">
      <c r="G185" s="80"/>
      <c r="H185" s="80"/>
      <c r="I185" s="80"/>
      <c r="J185" s="80"/>
      <c r="K185" s="80"/>
      <c r="L185" s="80"/>
      <c r="M185" s="80"/>
      <c r="N185" s="80"/>
    </row>
    <row r="186">
      <c r="G186" s="80"/>
      <c r="H186" s="80"/>
      <c r="I186" s="80"/>
      <c r="J186" s="80"/>
      <c r="K186" s="80"/>
      <c r="L186" s="80"/>
      <c r="M186" s="80"/>
      <c r="N186" s="80"/>
    </row>
    <row r="187">
      <c r="G187" s="80"/>
      <c r="H187" s="80"/>
      <c r="I187" s="80"/>
      <c r="J187" s="80"/>
      <c r="K187" s="80"/>
      <c r="L187" s="80"/>
      <c r="M187" s="80"/>
      <c r="N187" s="80"/>
    </row>
    <row r="188">
      <c r="G188" s="80"/>
      <c r="H188" s="80"/>
      <c r="I188" s="80"/>
      <c r="J188" s="80"/>
      <c r="K188" s="80"/>
      <c r="L188" s="80"/>
      <c r="M188" s="80"/>
      <c r="N188" s="80"/>
    </row>
    <row r="189">
      <c r="G189" s="80"/>
      <c r="H189" s="80"/>
      <c r="I189" s="80"/>
      <c r="J189" s="80"/>
      <c r="K189" s="80"/>
      <c r="L189" s="80"/>
      <c r="M189" s="80"/>
      <c r="N189" s="80"/>
    </row>
    <row r="190">
      <c r="G190" s="80"/>
      <c r="H190" s="80"/>
      <c r="I190" s="80"/>
      <c r="J190" s="80"/>
      <c r="K190" s="80"/>
      <c r="L190" s="80"/>
      <c r="M190" s="80"/>
      <c r="N190" s="80"/>
    </row>
    <row r="191">
      <c r="G191" s="80"/>
      <c r="H191" s="80"/>
      <c r="I191" s="80"/>
      <c r="J191" s="80"/>
      <c r="K191" s="80"/>
      <c r="L191" s="80"/>
      <c r="M191" s="80"/>
      <c r="N191" s="80"/>
    </row>
    <row r="192">
      <c r="G192" s="80"/>
      <c r="H192" s="80"/>
      <c r="I192" s="80"/>
      <c r="J192" s="80"/>
      <c r="K192" s="80"/>
      <c r="L192" s="80"/>
      <c r="M192" s="80"/>
      <c r="N192" s="80"/>
    </row>
    <row r="193">
      <c r="G193" s="80"/>
      <c r="H193" s="80"/>
      <c r="I193" s="80"/>
      <c r="J193" s="80"/>
      <c r="K193" s="80"/>
      <c r="L193" s="80"/>
      <c r="M193" s="80"/>
      <c r="N193" s="80"/>
    </row>
    <row r="194">
      <c r="G194" s="80"/>
      <c r="H194" s="80"/>
      <c r="I194" s="80"/>
      <c r="J194" s="80"/>
      <c r="K194" s="80"/>
      <c r="L194" s="80"/>
      <c r="M194" s="80"/>
      <c r="N194" s="80"/>
    </row>
    <row r="195">
      <c r="G195" s="80"/>
      <c r="H195" s="80"/>
      <c r="I195" s="80"/>
      <c r="J195" s="80"/>
      <c r="K195" s="80"/>
      <c r="L195" s="80"/>
      <c r="M195" s="80"/>
      <c r="N195" s="80"/>
    </row>
    <row r="196">
      <c r="G196" s="80"/>
      <c r="H196" s="80"/>
      <c r="I196" s="80"/>
      <c r="J196" s="80"/>
      <c r="K196" s="80"/>
      <c r="L196" s="80"/>
      <c r="M196" s="80"/>
      <c r="N196" s="80"/>
    </row>
    <row r="197">
      <c r="G197" s="80"/>
      <c r="H197" s="80"/>
      <c r="I197" s="80"/>
      <c r="J197" s="80"/>
      <c r="K197" s="80"/>
      <c r="L197" s="80"/>
      <c r="M197" s="80"/>
      <c r="N197" s="80"/>
    </row>
    <row r="198">
      <c r="G198" s="80"/>
      <c r="H198" s="80"/>
      <c r="I198" s="80"/>
      <c r="J198" s="80"/>
      <c r="K198" s="80"/>
      <c r="L198" s="80"/>
      <c r="M198" s="80"/>
      <c r="N198" s="80"/>
    </row>
    <row r="199">
      <c r="G199" s="80"/>
      <c r="H199" s="80"/>
      <c r="I199" s="80"/>
      <c r="J199" s="80"/>
      <c r="K199" s="80"/>
      <c r="L199" s="80"/>
      <c r="M199" s="80"/>
      <c r="N199" s="80"/>
    </row>
    <row r="200">
      <c r="G200" s="80"/>
      <c r="H200" s="80"/>
      <c r="I200" s="80"/>
      <c r="J200" s="80"/>
      <c r="K200" s="80"/>
      <c r="L200" s="80"/>
      <c r="M200" s="80"/>
      <c r="N200" s="80"/>
    </row>
    <row r="201">
      <c r="G201" s="80"/>
      <c r="H201" s="80"/>
      <c r="I201" s="80"/>
      <c r="J201" s="80"/>
      <c r="K201" s="80"/>
      <c r="L201" s="80"/>
      <c r="M201" s="80"/>
      <c r="N201" s="80"/>
    </row>
    <row r="202">
      <c r="G202" s="80"/>
      <c r="H202" s="80"/>
      <c r="I202" s="80"/>
      <c r="J202" s="80"/>
      <c r="K202" s="80"/>
      <c r="L202" s="80"/>
      <c r="M202" s="80"/>
      <c r="N202" s="80"/>
    </row>
    <row r="203">
      <c r="G203" s="80"/>
      <c r="H203" s="80"/>
      <c r="I203" s="80"/>
      <c r="J203" s="80"/>
      <c r="K203" s="80"/>
      <c r="L203" s="80"/>
      <c r="M203" s="80"/>
      <c r="N203" s="80"/>
    </row>
    <row r="204">
      <c r="G204" s="80"/>
      <c r="H204" s="80"/>
      <c r="I204" s="80"/>
      <c r="J204" s="80"/>
      <c r="K204" s="80"/>
      <c r="L204" s="80"/>
      <c r="M204" s="80"/>
      <c r="N204" s="80"/>
    </row>
    <row r="205">
      <c r="G205" s="80"/>
      <c r="H205" s="80"/>
      <c r="I205" s="80"/>
      <c r="J205" s="80"/>
      <c r="K205" s="80"/>
      <c r="L205" s="80"/>
      <c r="M205" s="80"/>
      <c r="N205" s="80"/>
    </row>
    <row r="206">
      <c r="G206" s="80"/>
      <c r="H206" s="80"/>
      <c r="I206" s="80"/>
      <c r="J206" s="80"/>
      <c r="K206" s="80"/>
      <c r="L206" s="80"/>
      <c r="M206" s="80"/>
      <c r="N206" s="80"/>
    </row>
    <row r="207">
      <c r="G207" s="80"/>
      <c r="H207" s="80"/>
      <c r="I207" s="80"/>
      <c r="J207" s="80"/>
      <c r="K207" s="80"/>
      <c r="L207" s="80"/>
      <c r="M207" s="80"/>
      <c r="N207" s="80"/>
    </row>
    <row r="208">
      <c r="G208" s="80"/>
      <c r="H208" s="80"/>
      <c r="I208" s="80"/>
      <c r="J208" s="80"/>
      <c r="K208" s="80"/>
      <c r="L208" s="80"/>
      <c r="M208" s="80"/>
      <c r="N208" s="80"/>
    </row>
    <row r="209">
      <c r="G209" s="80"/>
      <c r="H209" s="80"/>
      <c r="I209" s="80"/>
      <c r="J209" s="80"/>
      <c r="K209" s="80"/>
      <c r="L209" s="80"/>
      <c r="M209" s="80"/>
      <c r="N209" s="80"/>
    </row>
    <row r="210">
      <c r="G210" s="80"/>
      <c r="H210" s="80"/>
      <c r="I210" s="80"/>
      <c r="J210" s="80"/>
      <c r="K210" s="80"/>
      <c r="L210" s="80"/>
      <c r="M210" s="80"/>
      <c r="N210" s="80"/>
    </row>
    <row r="211">
      <c r="G211" s="80"/>
      <c r="H211" s="80"/>
      <c r="I211" s="80"/>
      <c r="J211" s="80"/>
      <c r="K211" s="80"/>
      <c r="L211" s="80"/>
      <c r="M211" s="80"/>
      <c r="N211" s="80"/>
    </row>
    <row r="212">
      <c r="G212" s="80"/>
      <c r="H212" s="80"/>
      <c r="I212" s="80"/>
      <c r="J212" s="80"/>
      <c r="K212" s="80"/>
      <c r="L212" s="80"/>
      <c r="M212" s="80"/>
      <c r="N212" s="80"/>
    </row>
    <row r="213">
      <c r="G213" s="80"/>
      <c r="H213" s="80"/>
      <c r="I213" s="80"/>
      <c r="J213" s="80"/>
      <c r="K213" s="80"/>
      <c r="L213" s="80"/>
      <c r="M213" s="80"/>
      <c r="N213" s="80"/>
    </row>
    <row r="214">
      <c r="G214" s="80"/>
      <c r="H214" s="80"/>
      <c r="I214" s="80"/>
      <c r="J214" s="80"/>
      <c r="K214" s="80"/>
      <c r="L214" s="80"/>
      <c r="M214" s="80"/>
      <c r="N214" s="80"/>
    </row>
    <row r="215">
      <c r="G215" s="80"/>
      <c r="H215" s="80"/>
      <c r="I215" s="80"/>
      <c r="J215" s="80"/>
      <c r="K215" s="80"/>
      <c r="L215" s="80"/>
      <c r="M215" s="80"/>
      <c r="N215" s="80"/>
    </row>
    <row r="216">
      <c r="G216" s="80"/>
      <c r="H216" s="80"/>
      <c r="I216" s="80"/>
      <c r="J216" s="80"/>
      <c r="K216" s="80"/>
      <c r="L216" s="80"/>
      <c r="M216" s="80"/>
      <c r="N216" s="80"/>
    </row>
    <row r="217">
      <c r="G217" s="80"/>
      <c r="H217" s="80"/>
      <c r="I217" s="80"/>
      <c r="J217" s="80"/>
      <c r="K217" s="80"/>
      <c r="L217" s="80"/>
      <c r="M217" s="80"/>
      <c r="N217" s="80"/>
    </row>
    <row r="218">
      <c r="G218" s="80"/>
      <c r="H218" s="80"/>
      <c r="I218" s="80"/>
      <c r="J218" s="80"/>
      <c r="K218" s="80"/>
      <c r="L218" s="80"/>
      <c r="M218" s="80"/>
      <c r="N218" s="80"/>
    </row>
    <row r="219">
      <c r="G219" s="80"/>
      <c r="H219" s="80"/>
      <c r="I219" s="80"/>
      <c r="J219" s="80"/>
      <c r="K219" s="80"/>
      <c r="L219" s="80"/>
      <c r="M219" s="80"/>
      <c r="N219" s="80"/>
    </row>
    <row r="220">
      <c r="G220" s="80"/>
      <c r="H220" s="80"/>
      <c r="I220" s="80"/>
      <c r="J220" s="80"/>
      <c r="K220" s="80"/>
      <c r="L220" s="80"/>
      <c r="M220" s="80"/>
      <c r="N220" s="80"/>
    </row>
    <row r="221">
      <c r="G221" s="80"/>
      <c r="H221" s="80"/>
      <c r="I221" s="80"/>
      <c r="J221" s="80"/>
      <c r="K221" s="80"/>
      <c r="L221" s="80"/>
      <c r="M221" s="80"/>
      <c r="N221" s="80"/>
    </row>
    <row r="222">
      <c r="G222" s="80"/>
      <c r="H222" s="80"/>
      <c r="I222" s="80"/>
      <c r="J222" s="80"/>
      <c r="K222" s="80"/>
      <c r="L222" s="80"/>
      <c r="M222" s="80"/>
      <c r="N222" s="80"/>
    </row>
    <row r="223">
      <c r="G223" s="80"/>
      <c r="H223" s="80"/>
      <c r="I223" s="80"/>
      <c r="J223" s="80"/>
      <c r="K223" s="80"/>
      <c r="L223" s="80"/>
      <c r="M223" s="80"/>
      <c r="N223" s="80"/>
    </row>
    <row r="224">
      <c r="G224" s="80"/>
      <c r="H224" s="80"/>
      <c r="I224" s="80"/>
      <c r="J224" s="80"/>
      <c r="K224" s="80"/>
      <c r="L224" s="80"/>
      <c r="M224" s="80"/>
      <c r="N224" s="80"/>
    </row>
    <row r="225">
      <c r="G225" s="80"/>
      <c r="H225" s="80"/>
      <c r="I225" s="80"/>
      <c r="J225" s="80"/>
      <c r="K225" s="80"/>
      <c r="L225" s="80"/>
      <c r="M225" s="80"/>
      <c r="N225" s="80"/>
    </row>
    <row r="226">
      <c r="G226" s="80"/>
      <c r="H226" s="80"/>
      <c r="I226" s="80"/>
      <c r="J226" s="80"/>
      <c r="K226" s="80"/>
      <c r="L226" s="80"/>
      <c r="M226" s="80"/>
      <c r="N226" s="80"/>
    </row>
    <row r="227">
      <c r="G227" s="80"/>
      <c r="H227" s="80"/>
      <c r="I227" s="80"/>
      <c r="J227" s="80"/>
      <c r="K227" s="80"/>
      <c r="L227" s="80"/>
      <c r="M227" s="80"/>
      <c r="N227" s="80"/>
    </row>
    <row r="228">
      <c r="G228" s="80"/>
      <c r="H228" s="80"/>
      <c r="I228" s="80"/>
      <c r="J228" s="80"/>
      <c r="K228" s="80"/>
      <c r="L228" s="80"/>
      <c r="M228" s="80"/>
      <c r="N228" s="80"/>
    </row>
    <row r="229">
      <c r="G229" s="80"/>
      <c r="H229" s="80"/>
      <c r="I229" s="80"/>
      <c r="J229" s="80"/>
      <c r="K229" s="80"/>
      <c r="L229" s="80"/>
      <c r="M229" s="80"/>
      <c r="N229" s="80"/>
    </row>
    <row r="230">
      <c r="G230" s="80"/>
      <c r="H230" s="80"/>
      <c r="I230" s="80"/>
      <c r="J230" s="80"/>
      <c r="K230" s="80"/>
      <c r="L230" s="80"/>
      <c r="M230" s="80"/>
      <c r="N230" s="80"/>
    </row>
    <row r="231">
      <c r="G231" s="80"/>
      <c r="H231" s="80"/>
      <c r="I231" s="80"/>
      <c r="J231" s="80"/>
      <c r="K231" s="80"/>
      <c r="L231" s="80"/>
      <c r="M231" s="80"/>
      <c r="N231" s="80"/>
    </row>
    <row r="232">
      <c r="G232" s="80"/>
      <c r="H232" s="80"/>
      <c r="I232" s="80"/>
      <c r="J232" s="80"/>
      <c r="K232" s="80"/>
      <c r="L232" s="80"/>
      <c r="M232" s="80"/>
      <c r="N232" s="80"/>
    </row>
    <row r="233">
      <c r="G233" s="80"/>
      <c r="H233" s="80"/>
      <c r="I233" s="80"/>
      <c r="J233" s="80"/>
      <c r="K233" s="80"/>
      <c r="L233" s="80"/>
      <c r="M233" s="80"/>
      <c r="N233" s="80"/>
    </row>
    <row r="234">
      <c r="G234" s="80"/>
      <c r="H234" s="80"/>
      <c r="I234" s="80"/>
      <c r="J234" s="80"/>
      <c r="K234" s="80"/>
      <c r="L234" s="80"/>
      <c r="M234" s="80"/>
      <c r="N234" s="80"/>
    </row>
    <row r="235">
      <c r="G235" s="80"/>
      <c r="H235" s="80"/>
      <c r="I235" s="80"/>
      <c r="J235" s="80"/>
      <c r="K235" s="80"/>
      <c r="L235" s="80"/>
      <c r="M235" s="80"/>
      <c r="N235" s="80"/>
    </row>
    <row r="236">
      <c r="G236" s="80"/>
      <c r="H236" s="80"/>
      <c r="I236" s="80"/>
      <c r="J236" s="80"/>
      <c r="K236" s="80"/>
      <c r="L236" s="80"/>
      <c r="M236" s="80"/>
      <c r="N236" s="80"/>
    </row>
    <row r="237">
      <c r="G237" s="80"/>
      <c r="H237" s="80"/>
      <c r="I237" s="80"/>
      <c r="J237" s="80"/>
      <c r="K237" s="80"/>
      <c r="L237" s="80"/>
      <c r="M237" s="80"/>
      <c r="N237" s="80"/>
    </row>
    <row r="238">
      <c r="G238" s="80"/>
      <c r="H238" s="80"/>
      <c r="I238" s="80"/>
      <c r="J238" s="80"/>
      <c r="K238" s="80"/>
      <c r="L238" s="80"/>
      <c r="M238" s="80"/>
      <c r="N238" s="80"/>
    </row>
    <row r="239">
      <c r="G239" s="80"/>
      <c r="H239" s="80"/>
      <c r="I239" s="80"/>
      <c r="J239" s="80"/>
      <c r="K239" s="80"/>
      <c r="L239" s="80"/>
      <c r="M239" s="80"/>
      <c r="N239" s="80"/>
    </row>
    <row r="240">
      <c r="G240" s="80"/>
      <c r="H240" s="80"/>
      <c r="I240" s="80"/>
      <c r="J240" s="80"/>
      <c r="K240" s="80"/>
      <c r="L240" s="80"/>
      <c r="M240" s="80"/>
      <c r="N240" s="80"/>
    </row>
    <row r="241">
      <c r="G241" s="80"/>
      <c r="H241" s="80"/>
      <c r="I241" s="80"/>
      <c r="J241" s="80"/>
      <c r="K241" s="80"/>
      <c r="L241" s="80"/>
      <c r="M241" s="80"/>
      <c r="N241" s="80"/>
    </row>
    <row r="242">
      <c r="G242" s="80"/>
      <c r="H242" s="80"/>
      <c r="I242" s="80"/>
      <c r="J242" s="80"/>
      <c r="K242" s="80"/>
      <c r="L242" s="80"/>
      <c r="M242" s="80"/>
      <c r="N242" s="80"/>
    </row>
    <row r="243">
      <c r="G243" s="80"/>
      <c r="H243" s="80"/>
      <c r="I243" s="80"/>
      <c r="J243" s="80"/>
      <c r="K243" s="80"/>
      <c r="L243" s="80"/>
      <c r="M243" s="80"/>
      <c r="N243" s="80"/>
    </row>
    <row r="244">
      <c r="G244" s="80"/>
      <c r="H244" s="80"/>
      <c r="I244" s="80"/>
      <c r="J244" s="80"/>
      <c r="K244" s="80"/>
      <c r="L244" s="80"/>
      <c r="M244" s="80"/>
      <c r="N244" s="80"/>
    </row>
    <row r="245">
      <c r="G245" s="80"/>
      <c r="H245" s="80"/>
      <c r="I245" s="80"/>
      <c r="J245" s="80"/>
      <c r="K245" s="80"/>
      <c r="L245" s="80"/>
      <c r="M245" s="80"/>
      <c r="N245" s="80"/>
    </row>
    <row r="246">
      <c r="G246" s="80"/>
      <c r="H246" s="80"/>
      <c r="I246" s="80"/>
      <c r="J246" s="80"/>
      <c r="K246" s="80"/>
      <c r="L246" s="80"/>
      <c r="M246" s="80"/>
      <c r="N246" s="80"/>
    </row>
    <row r="247">
      <c r="G247" s="80"/>
      <c r="H247" s="80"/>
      <c r="I247" s="80"/>
      <c r="J247" s="80"/>
      <c r="K247" s="80"/>
      <c r="L247" s="80"/>
      <c r="M247" s="80"/>
      <c r="N247" s="80"/>
    </row>
    <row r="248">
      <c r="G248" s="80"/>
      <c r="H248" s="80"/>
      <c r="I248" s="80"/>
      <c r="J248" s="80"/>
      <c r="K248" s="80"/>
      <c r="L248" s="80"/>
      <c r="M248" s="80"/>
      <c r="N248" s="80"/>
    </row>
    <row r="249">
      <c r="G249" s="80"/>
      <c r="H249" s="80"/>
      <c r="I249" s="80"/>
      <c r="J249" s="80"/>
      <c r="K249" s="80"/>
      <c r="L249" s="80"/>
      <c r="M249" s="80"/>
      <c r="N249" s="80"/>
    </row>
    <row r="250">
      <c r="G250" s="80"/>
      <c r="H250" s="80"/>
      <c r="I250" s="80"/>
      <c r="J250" s="80"/>
      <c r="K250" s="80"/>
      <c r="L250" s="80"/>
      <c r="M250" s="80"/>
      <c r="N250" s="80"/>
    </row>
    <row r="251">
      <c r="G251" s="80"/>
      <c r="H251" s="80"/>
      <c r="I251" s="80"/>
      <c r="J251" s="80"/>
      <c r="K251" s="80"/>
      <c r="L251" s="80"/>
      <c r="M251" s="80"/>
      <c r="N251" s="80"/>
    </row>
    <row r="252">
      <c r="G252" s="80"/>
      <c r="H252" s="80"/>
      <c r="I252" s="80"/>
      <c r="J252" s="80"/>
      <c r="K252" s="80"/>
      <c r="L252" s="80"/>
      <c r="M252" s="80"/>
      <c r="N252" s="80"/>
    </row>
    <row r="253">
      <c r="G253" s="80"/>
      <c r="H253" s="80"/>
      <c r="I253" s="80"/>
      <c r="J253" s="80"/>
      <c r="K253" s="80"/>
      <c r="L253" s="80"/>
      <c r="M253" s="80"/>
      <c r="N253" s="80"/>
    </row>
    <row r="254">
      <c r="G254" s="80"/>
      <c r="H254" s="80"/>
      <c r="I254" s="80"/>
      <c r="J254" s="80"/>
      <c r="K254" s="80"/>
      <c r="L254" s="80"/>
      <c r="M254" s="80"/>
      <c r="N254" s="80"/>
    </row>
    <row r="255">
      <c r="G255" s="80"/>
      <c r="H255" s="80"/>
      <c r="I255" s="80"/>
      <c r="J255" s="80"/>
      <c r="K255" s="80"/>
      <c r="L255" s="80"/>
      <c r="M255" s="80"/>
      <c r="N255" s="80"/>
    </row>
    <row r="256">
      <c r="G256" s="80"/>
      <c r="H256" s="80"/>
      <c r="I256" s="80"/>
      <c r="J256" s="80"/>
      <c r="K256" s="80"/>
      <c r="L256" s="80"/>
      <c r="M256" s="80"/>
      <c r="N256" s="80"/>
    </row>
    <row r="257">
      <c r="G257" s="80"/>
      <c r="H257" s="80"/>
      <c r="I257" s="80"/>
      <c r="J257" s="80"/>
      <c r="K257" s="80"/>
      <c r="L257" s="80"/>
      <c r="M257" s="80"/>
      <c r="N257" s="80"/>
    </row>
    <row r="258">
      <c r="G258" s="80"/>
      <c r="H258" s="80"/>
      <c r="I258" s="80"/>
      <c r="J258" s="80"/>
      <c r="K258" s="80"/>
      <c r="L258" s="80"/>
      <c r="M258" s="80"/>
      <c r="N258" s="80"/>
    </row>
    <row r="259">
      <c r="G259" s="80"/>
      <c r="H259" s="80"/>
      <c r="I259" s="80"/>
      <c r="J259" s="80"/>
      <c r="K259" s="80"/>
      <c r="L259" s="80"/>
      <c r="M259" s="80"/>
      <c r="N259" s="80"/>
    </row>
    <row r="260">
      <c r="G260" s="80"/>
      <c r="H260" s="80"/>
      <c r="I260" s="80"/>
      <c r="J260" s="80"/>
      <c r="K260" s="80"/>
      <c r="L260" s="80"/>
      <c r="M260" s="80"/>
      <c r="N260" s="80"/>
    </row>
    <row r="261">
      <c r="G261" s="80"/>
      <c r="H261" s="80"/>
      <c r="I261" s="80"/>
      <c r="J261" s="80"/>
      <c r="K261" s="80"/>
      <c r="L261" s="80"/>
      <c r="M261" s="80"/>
      <c r="N261" s="80"/>
    </row>
    <row r="262">
      <c r="G262" s="80"/>
      <c r="H262" s="80"/>
      <c r="I262" s="80"/>
      <c r="J262" s="80"/>
      <c r="K262" s="80"/>
      <c r="L262" s="80"/>
      <c r="M262" s="80"/>
      <c r="N262" s="80"/>
    </row>
    <row r="263">
      <c r="G263" s="80"/>
      <c r="H263" s="80"/>
      <c r="I263" s="80"/>
      <c r="J263" s="80"/>
      <c r="K263" s="80"/>
      <c r="L263" s="80"/>
      <c r="M263" s="80"/>
      <c r="N263" s="80"/>
    </row>
    <row r="264">
      <c r="G264" s="80"/>
      <c r="H264" s="80"/>
      <c r="I264" s="80"/>
      <c r="J264" s="80"/>
      <c r="K264" s="80"/>
      <c r="L264" s="80"/>
      <c r="M264" s="80"/>
      <c r="N264" s="80"/>
    </row>
    <row r="265">
      <c r="G265" s="80"/>
      <c r="H265" s="80"/>
      <c r="I265" s="80"/>
      <c r="J265" s="80"/>
      <c r="K265" s="80"/>
      <c r="L265" s="80"/>
      <c r="M265" s="80"/>
      <c r="N265" s="80"/>
    </row>
    <row r="266">
      <c r="G266" s="80"/>
      <c r="H266" s="80"/>
      <c r="I266" s="80"/>
      <c r="J266" s="80"/>
      <c r="K266" s="80"/>
      <c r="L266" s="80"/>
      <c r="M266" s="80"/>
      <c r="N266" s="80"/>
    </row>
    <row r="267">
      <c r="G267" s="80"/>
      <c r="H267" s="80"/>
      <c r="I267" s="80"/>
      <c r="J267" s="80"/>
      <c r="K267" s="80"/>
      <c r="L267" s="80"/>
      <c r="M267" s="80"/>
      <c r="N267" s="80"/>
    </row>
    <row r="268">
      <c r="G268" s="80"/>
      <c r="H268" s="80"/>
      <c r="I268" s="80"/>
      <c r="J268" s="80"/>
      <c r="K268" s="80"/>
      <c r="L268" s="80"/>
      <c r="M268" s="80"/>
      <c r="N268" s="80"/>
    </row>
    <row r="269">
      <c r="G269" s="80"/>
      <c r="H269" s="80"/>
      <c r="I269" s="80"/>
      <c r="J269" s="80"/>
      <c r="K269" s="80"/>
      <c r="L269" s="80"/>
      <c r="M269" s="80"/>
      <c r="N269" s="80"/>
    </row>
    <row r="270">
      <c r="G270" s="80"/>
      <c r="H270" s="80"/>
      <c r="I270" s="80"/>
      <c r="J270" s="80"/>
      <c r="K270" s="80"/>
      <c r="L270" s="80"/>
      <c r="M270" s="80"/>
      <c r="N270" s="80"/>
    </row>
    <row r="271">
      <c r="G271" s="80"/>
      <c r="H271" s="80"/>
      <c r="I271" s="80"/>
      <c r="J271" s="80"/>
      <c r="K271" s="80"/>
      <c r="L271" s="80"/>
      <c r="M271" s="80"/>
      <c r="N271" s="80"/>
    </row>
    <row r="272">
      <c r="G272" s="80"/>
      <c r="H272" s="80"/>
      <c r="I272" s="80"/>
      <c r="J272" s="80"/>
      <c r="K272" s="80"/>
      <c r="L272" s="80"/>
      <c r="M272" s="80"/>
      <c r="N272" s="80"/>
    </row>
    <row r="273">
      <c r="G273" s="80"/>
      <c r="H273" s="80"/>
      <c r="I273" s="80"/>
      <c r="J273" s="80"/>
      <c r="K273" s="80"/>
      <c r="L273" s="80"/>
      <c r="M273" s="80"/>
      <c r="N273" s="80"/>
    </row>
    <row r="274">
      <c r="G274" s="80"/>
      <c r="H274" s="80"/>
      <c r="I274" s="80"/>
      <c r="J274" s="80"/>
      <c r="K274" s="80"/>
      <c r="L274" s="80"/>
      <c r="M274" s="80"/>
      <c r="N274" s="80"/>
    </row>
    <row r="275">
      <c r="G275" s="80"/>
      <c r="H275" s="80"/>
      <c r="I275" s="80"/>
      <c r="J275" s="80"/>
      <c r="K275" s="80"/>
      <c r="L275" s="80"/>
      <c r="M275" s="80"/>
      <c r="N275" s="80"/>
    </row>
    <row r="276">
      <c r="G276" s="80"/>
      <c r="H276" s="80"/>
      <c r="I276" s="80"/>
      <c r="J276" s="80"/>
      <c r="K276" s="80"/>
      <c r="L276" s="80"/>
      <c r="M276" s="80"/>
      <c r="N276" s="80"/>
    </row>
    <row r="277">
      <c r="G277" s="80"/>
      <c r="H277" s="80"/>
      <c r="I277" s="80"/>
      <c r="J277" s="80"/>
      <c r="K277" s="80"/>
      <c r="L277" s="80"/>
      <c r="M277" s="80"/>
      <c r="N277" s="80"/>
    </row>
    <row r="278">
      <c r="G278" s="80"/>
      <c r="H278" s="80"/>
      <c r="I278" s="80"/>
      <c r="J278" s="80"/>
      <c r="K278" s="80"/>
      <c r="L278" s="80"/>
      <c r="M278" s="80"/>
      <c r="N278" s="80"/>
    </row>
    <row r="279">
      <c r="G279" s="80"/>
      <c r="H279" s="80"/>
      <c r="I279" s="80"/>
      <c r="J279" s="80"/>
      <c r="K279" s="80"/>
      <c r="L279" s="80"/>
      <c r="M279" s="80"/>
      <c r="N279" s="80"/>
    </row>
    <row r="280">
      <c r="G280" s="80"/>
      <c r="H280" s="80"/>
      <c r="I280" s="80"/>
      <c r="J280" s="80"/>
      <c r="K280" s="80"/>
      <c r="L280" s="80"/>
      <c r="M280" s="80"/>
      <c r="N280" s="80"/>
    </row>
    <row r="281">
      <c r="G281" s="80"/>
      <c r="H281" s="80"/>
      <c r="I281" s="80"/>
      <c r="J281" s="80"/>
      <c r="K281" s="80"/>
      <c r="L281" s="80"/>
      <c r="M281" s="80"/>
      <c r="N281" s="80"/>
    </row>
    <row r="282">
      <c r="G282" s="80"/>
      <c r="H282" s="80"/>
      <c r="I282" s="80"/>
      <c r="J282" s="80"/>
      <c r="K282" s="80"/>
      <c r="L282" s="80"/>
      <c r="M282" s="80"/>
      <c r="N282" s="80"/>
    </row>
    <row r="283">
      <c r="G283" s="80"/>
      <c r="H283" s="80"/>
      <c r="I283" s="80"/>
      <c r="J283" s="80"/>
      <c r="K283" s="80"/>
      <c r="L283" s="80"/>
      <c r="M283" s="80"/>
      <c r="N283" s="80"/>
    </row>
    <row r="284">
      <c r="G284" s="80"/>
      <c r="H284" s="80"/>
      <c r="I284" s="80"/>
      <c r="J284" s="80"/>
      <c r="K284" s="80"/>
      <c r="L284" s="80"/>
      <c r="M284" s="80"/>
      <c r="N284" s="80"/>
    </row>
    <row r="285">
      <c r="G285" s="80"/>
      <c r="H285" s="80"/>
      <c r="I285" s="80"/>
      <c r="J285" s="80"/>
      <c r="K285" s="80"/>
      <c r="L285" s="80"/>
      <c r="M285" s="80"/>
      <c r="N285" s="80"/>
    </row>
    <row r="286">
      <c r="G286" s="80"/>
      <c r="H286" s="80"/>
      <c r="I286" s="80"/>
      <c r="J286" s="80"/>
      <c r="K286" s="80"/>
      <c r="L286" s="80"/>
      <c r="M286" s="80"/>
      <c r="N286" s="80"/>
    </row>
    <row r="287">
      <c r="G287" s="80"/>
      <c r="H287" s="80"/>
      <c r="I287" s="80"/>
      <c r="J287" s="80"/>
      <c r="K287" s="80"/>
      <c r="L287" s="80"/>
      <c r="M287" s="80"/>
      <c r="N287" s="80"/>
    </row>
    <row r="288">
      <c r="G288" s="80"/>
      <c r="H288" s="80"/>
      <c r="I288" s="80"/>
      <c r="J288" s="80"/>
      <c r="K288" s="80"/>
      <c r="L288" s="80"/>
      <c r="M288" s="80"/>
      <c r="N288" s="80"/>
    </row>
    <row r="289">
      <c r="G289" s="80"/>
      <c r="H289" s="80"/>
      <c r="I289" s="80"/>
      <c r="J289" s="80"/>
      <c r="K289" s="80"/>
      <c r="L289" s="80"/>
      <c r="M289" s="80"/>
      <c r="N289" s="80"/>
    </row>
    <row r="290">
      <c r="G290" s="80"/>
      <c r="H290" s="80"/>
      <c r="I290" s="80"/>
      <c r="J290" s="80"/>
      <c r="K290" s="80"/>
      <c r="L290" s="80"/>
      <c r="M290" s="80"/>
      <c r="N290" s="80"/>
    </row>
    <row r="291">
      <c r="G291" s="80"/>
      <c r="H291" s="80"/>
      <c r="I291" s="80"/>
      <c r="J291" s="80"/>
      <c r="K291" s="80"/>
      <c r="L291" s="80"/>
      <c r="M291" s="80"/>
      <c r="N291" s="80"/>
    </row>
    <row r="292">
      <c r="G292" s="80"/>
      <c r="H292" s="80"/>
      <c r="I292" s="80"/>
      <c r="J292" s="80"/>
      <c r="K292" s="80"/>
      <c r="L292" s="80"/>
      <c r="M292" s="80"/>
      <c r="N292" s="80"/>
    </row>
    <row r="293">
      <c r="G293" s="80"/>
      <c r="H293" s="80"/>
      <c r="I293" s="80"/>
      <c r="J293" s="80"/>
      <c r="K293" s="80"/>
      <c r="L293" s="80"/>
      <c r="M293" s="80"/>
      <c r="N293" s="80"/>
    </row>
    <row r="294">
      <c r="G294" s="80"/>
      <c r="H294" s="80"/>
      <c r="I294" s="80"/>
      <c r="J294" s="80"/>
      <c r="K294" s="80"/>
      <c r="L294" s="80"/>
      <c r="M294" s="80"/>
      <c r="N294" s="80"/>
    </row>
    <row r="295">
      <c r="G295" s="80"/>
      <c r="H295" s="80"/>
      <c r="I295" s="80"/>
      <c r="J295" s="80"/>
      <c r="K295" s="80"/>
      <c r="L295" s="80"/>
      <c r="M295" s="80"/>
      <c r="N295" s="80"/>
    </row>
    <row r="296">
      <c r="G296" s="80"/>
      <c r="H296" s="80"/>
      <c r="I296" s="80"/>
      <c r="J296" s="80"/>
      <c r="K296" s="80"/>
      <c r="L296" s="80"/>
      <c r="M296" s="80"/>
      <c r="N296" s="80"/>
    </row>
    <row r="297">
      <c r="G297" s="80"/>
      <c r="H297" s="80"/>
      <c r="I297" s="80"/>
      <c r="J297" s="80"/>
      <c r="K297" s="80"/>
      <c r="L297" s="80"/>
      <c r="M297" s="80"/>
      <c r="N297" s="80"/>
    </row>
    <row r="298">
      <c r="G298" s="80"/>
      <c r="H298" s="80"/>
      <c r="I298" s="80"/>
      <c r="J298" s="80"/>
      <c r="K298" s="80"/>
      <c r="L298" s="80"/>
      <c r="M298" s="80"/>
      <c r="N298" s="80"/>
    </row>
    <row r="299">
      <c r="G299" s="80"/>
      <c r="H299" s="80"/>
      <c r="I299" s="80"/>
      <c r="J299" s="80"/>
      <c r="K299" s="80"/>
      <c r="L299" s="80"/>
      <c r="M299" s="80"/>
      <c r="N299" s="80"/>
    </row>
    <row r="300">
      <c r="G300" s="80"/>
      <c r="H300" s="80"/>
      <c r="I300" s="80"/>
      <c r="J300" s="80"/>
      <c r="K300" s="80"/>
      <c r="L300" s="80"/>
      <c r="M300" s="80"/>
      <c r="N300" s="80"/>
    </row>
    <row r="301">
      <c r="G301" s="80"/>
      <c r="H301" s="80"/>
      <c r="I301" s="80"/>
      <c r="J301" s="80"/>
      <c r="K301" s="80"/>
      <c r="L301" s="80"/>
      <c r="M301" s="80"/>
      <c r="N301" s="80"/>
    </row>
    <row r="302">
      <c r="G302" s="80"/>
      <c r="H302" s="80"/>
      <c r="I302" s="80"/>
      <c r="J302" s="80"/>
      <c r="K302" s="80"/>
      <c r="L302" s="80"/>
      <c r="M302" s="80"/>
      <c r="N302" s="80"/>
    </row>
    <row r="303">
      <c r="G303" s="80"/>
      <c r="H303" s="80"/>
      <c r="I303" s="80"/>
      <c r="J303" s="80"/>
      <c r="K303" s="80"/>
      <c r="L303" s="80"/>
      <c r="M303" s="80"/>
      <c r="N303" s="80"/>
    </row>
    <row r="304">
      <c r="G304" s="80"/>
      <c r="H304" s="80"/>
      <c r="I304" s="80"/>
      <c r="J304" s="80"/>
      <c r="K304" s="80"/>
      <c r="L304" s="80"/>
      <c r="M304" s="80"/>
      <c r="N304" s="80"/>
    </row>
    <row r="305">
      <c r="G305" s="80"/>
      <c r="H305" s="80"/>
      <c r="I305" s="80"/>
      <c r="J305" s="80"/>
      <c r="K305" s="80"/>
      <c r="L305" s="80"/>
      <c r="M305" s="80"/>
      <c r="N305" s="80"/>
    </row>
    <row r="306">
      <c r="G306" s="80"/>
      <c r="H306" s="80"/>
      <c r="I306" s="80"/>
      <c r="J306" s="80"/>
      <c r="K306" s="80"/>
      <c r="L306" s="80"/>
      <c r="M306" s="80"/>
      <c r="N306" s="80"/>
    </row>
    <row r="307">
      <c r="G307" s="80"/>
      <c r="H307" s="80"/>
      <c r="I307" s="80"/>
      <c r="J307" s="80"/>
      <c r="K307" s="80"/>
      <c r="L307" s="80"/>
      <c r="M307" s="80"/>
      <c r="N307" s="80"/>
    </row>
    <row r="308">
      <c r="G308" s="80"/>
      <c r="H308" s="80"/>
      <c r="I308" s="80"/>
      <c r="J308" s="80"/>
      <c r="K308" s="80"/>
      <c r="L308" s="80"/>
      <c r="M308" s="80"/>
      <c r="N308" s="80"/>
    </row>
    <row r="309">
      <c r="G309" s="80"/>
      <c r="H309" s="80"/>
      <c r="I309" s="80"/>
      <c r="J309" s="80"/>
      <c r="K309" s="80"/>
      <c r="L309" s="80"/>
      <c r="M309" s="80"/>
      <c r="N309" s="80"/>
    </row>
    <row r="310">
      <c r="G310" s="80"/>
      <c r="H310" s="80"/>
      <c r="I310" s="80"/>
      <c r="J310" s="80"/>
      <c r="K310" s="80"/>
      <c r="L310" s="80"/>
      <c r="M310" s="80"/>
      <c r="N310" s="80"/>
    </row>
    <row r="311">
      <c r="G311" s="80"/>
      <c r="H311" s="80"/>
      <c r="I311" s="80"/>
      <c r="J311" s="80"/>
      <c r="K311" s="80"/>
      <c r="L311" s="80"/>
      <c r="M311" s="80"/>
      <c r="N311" s="80"/>
    </row>
    <row r="312">
      <c r="G312" s="80"/>
      <c r="H312" s="80"/>
      <c r="I312" s="80"/>
      <c r="J312" s="80"/>
      <c r="K312" s="80"/>
      <c r="L312" s="80"/>
      <c r="M312" s="80"/>
      <c r="N312" s="80"/>
    </row>
    <row r="313">
      <c r="G313" s="80"/>
      <c r="H313" s="80"/>
      <c r="I313" s="80"/>
      <c r="J313" s="80"/>
      <c r="K313" s="80"/>
      <c r="L313" s="80"/>
      <c r="M313" s="80"/>
      <c r="N313" s="80"/>
    </row>
    <row r="314">
      <c r="G314" s="80"/>
      <c r="H314" s="80"/>
      <c r="I314" s="80"/>
      <c r="J314" s="80"/>
      <c r="K314" s="80"/>
      <c r="L314" s="80"/>
      <c r="M314" s="80"/>
      <c r="N314" s="80"/>
    </row>
    <row r="315">
      <c r="G315" s="80"/>
      <c r="H315" s="80"/>
      <c r="I315" s="80"/>
      <c r="J315" s="80"/>
      <c r="K315" s="80"/>
      <c r="L315" s="80"/>
      <c r="M315" s="80"/>
      <c r="N315" s="80"/>
    </row>
    <row r="316">
      <c r="G316" s="80"/>
      <c r="H316" s="80"/>
      <c r="I316" s="80"/>
      <c r="J316" s="80"/>
      <c r="K316" s="80"/>
      <c r="L316" s="80"/>
      <c r="M316" s="80"/>
      <c r="N316" s="80"/>
    </row>
    <row r="317">
      <c r="G317" s="80"/>
      <c r="H317" s="80"/>
      <c r="I317" s="80"/>
      <c r="J317" s="80"/>
      <c r="K317" s="80"/>
      <c r="L317" s="80"/>
      <c r="M317" s="80"/>
      <c r="N317" s="80"/>
    </row>
    <row r="318">
      <c r="G318" s="80"/>
      <c r="H318" s="80"/>
      <c r="I318" s="80"/>
      <c r="J318" s="80"/>
      <c r="K318" s="80"/>
      <c r="L318" s="80"/>
      <c r="M318" s="80"/>
      <c r="N318" s="80"/>
    </row>
    <row r="319">
      <c r="G319" s="80"/>
      <c r="H319" s="80"/>
      <c r="I319" s="80"/>
      <c r="J319" s="80"/>
      <c r="K319" s="80"/>
      <c r="L319" s="80"/>
      <c r="M319" s="80"/>
      <c r="N319" s="80"/>
    </row>
    <row r="320">
      <c r="G320" s="80"/>
      <c r="H320" s="80"/>
      <c r="I320" s="80"/>
      <c r="J320" s="80"/>
      <c r="K320" s="80"/>
      <c r="L320" s="80"/>
      <c r="M320" s="80"/>
      <c r="N320" s="80"/>
    </row>
    <row r="321">
      <c r="G321" s="80"/>
      <c r="H321" s="80"/>
      <c r="I321" s="80"/>
      <c r="J321" s="80"/>
      <c r="K321" s="80"/>
      <c r="L321" s="80"/>
      <c r="M321" s="80"/>
      <c r="N321" s="80"/>
    </row>
    <row r="322">
      <c r="G322" s="80"/>
      <c r="H322" s="80"/>
      <c r="I322" s="80"/>
      <c r="J322" s="80"/>
      <c r="K322" s="80"/>
      <c r="L322" s="80"/>
      <c r="M322" s="80"/>
      <c r="N322" s="80"/>
    </row>
    <row r="323">
      <c r="G323" s="80"/>
      <c r="H323" s="80"/>
      <c r="I323" s="80"/>
      <c r="J323" s="80"/>
      <c r="K323" s="80"/>
      <c r="L323" s="80"/>
      <c r="M323" s="80"/>
      <c r="N323" s="80"/>
    </row>
    <row r="324">
      <c r="G324" s="80"/>
      <c r="H324" s="80"/>
      <c r="I324" s="80"/>
      <c r="J324" s="80"/>
      <c r="K324" s="80"/>
      <c r="L324" s="80"/>
      <c r="M324" s="80"/>
      <c r="N324" s="80"/>
    </row>
    <row r="325">
      <c r="G325" s="80"/>
      <c r="H325" s="80"/>
      <c r="I325" s="80"/>
      <c r="J325" s="80"/>
      <c r="K325" s="80"/>
      <c r="L325" s="80"/>
      <c r="M325" s="80"/>
      <c r="N325" s="80"/>
    </row>
    <row r="326">
      <c r="G326" s="80"/>
      <c r="H326" s="80"/>
      <c r="I326" s="80"/>
      <c r="J326" s="80"/>
      <c r="K326" s="80"/>
      <c r="L326" s="80"/>
      <c r="M326" s="80"/>
      <c r="N326" s="80"/>
    </row>
    <row r="327">
      <c r="G327" s="80"/>
      <c r="H327" s="80"/>
      <c r="I327" s="80"/>
      <c r="J327" s="80"/>
      <c r="K327" s="80"/>
      <c r="L327" s="80"/>
      <c r="M327" s="80"/>
      <c r="N327" s="80"/>
    </row>
    <row r="328">
      <c r="G328" s="80"/>
      <c r="H328" s="80"/>
      <c r="I328" s="80"/>
      <c r="J328" s="80"/>
      <c r="K328" s="80"/>
      <c r="L328" s="80"/>
      <c r="M328" s="80"/>
      <c r="N328" s="80"/>
    </row>
    <row r="329">
      <c r="G329" s="80"/>
      <c r="H329" s="80"/>
      <c r="I329" s="80"/>
      <c r="J329" s="80"/>
      <c r="K329" s="80"/>
      <c r="L329" s="80"/>
      <c r="M329" s="80"/>
      <c r="N329" s="80"/>
    </row>
    <row r="330">
      <c r="G330" s="80"/>
      <c r="H330" s="80"/>
      <c r="I330" s="80"/>
      <c r="J330" s="80"/>
      <c r="K330" s="80"/>
      <c r="L330" s="80"/>
      <c r="M330" s="80"/>
      <c r="N330" s="80"/>
    </row>
    <row r="331">
      <c r="G331" s="80"/>
      <c r="H331" s="80"/>
      <c r="I331" s="80"/>
      <c r="J331" s="80"/>
      <c r="K331" s="80"/>
      <c r="L331" s="80"/>
      <c r="M331" s="80"/>
      <c r="N331" s="80"/>
    </row>
    <row r="332">
      <c r="G332" s="80"/>
      <c r="H332" s="80"/>
      <c r="I332" s="80"/>
      <c r="J332" s="80"/>
      <c r="K332" s="80"/>
      <c r="L332" s="80"/>
      <c r="M332" s="80"/>
      <c r="N332" s="80"/>
    </row>
    <row r="333">
      <c r="G333" s="80"/>
      <c r="H333" s="80"/>
      <c r="I333" s="80"/>
      <c r="J333" s="80"/>
      <c r="K333" s="80"/>
      <c r="L333" s="80"/>
      <c r="M333" s="80"/>
      <c r="N333" s="80"/>
    </row>
    <row r="334">
      <c r="G334" s="80"/>
      <c r="H334" s="80"/>
      <c r="I334" s="80"/>
      <c r="J334" s="80"/>
      <c r="K334" s="80"/>
      <c r="L334" s="80"/>
      <c r="M334" s="80"/>
      <c r="N334" s="80"/>
    </row>
    <row r="335">
      <c r="G335" s="80"/>
      <c r="H335" s="80"/>
      <c r="I335" s="80"/>
      <c r="J335" s="80"/>
      <c r="K335" s="80"/>
      <c r="L335" s="80"/>
      <c r="M335" s="80"/>
      <c r="N335" s="80"/>
    </row>
    <row r="336">
      <c r="G336" s="80"/>
      <c r="H336" s="80"/>
      <c r="I336" s="80"/>
      <c r="J336" s="80"/>
      <c r="K336" s="80"/>
      <c r="L336" s="80"/>
      <c r="M336" s="80"/>
      <c r="N336" s="80"/>
    </row>
    <row r="337">
      <c r="G337" s="80"/>
      <c r="H337" s="80"/>
      <c r="I337" s="80"/>
      <c r="J337" s="80"/>
      <c r="K337" s="80"/>
      <c r="L337" s="80"/>
      <c r="M337" s="80"/>
      <c r="N337" s="80"/>
    </row>
    <row r="338">
      <c r="G338" s="80"/>
      <c r="H338" s="80"/>
      <c r="I338" s="80"/>
      <c r="J338" s="80"/>
      <c r="K338" s="80"/>
      <c r="L338" s="80"/>
      <c r="M338" s="80"/>
      <c r="N338" s="80"/>
    </row>
    <row r="339">
      <c r="G339" s="80"/>
      <c r="H339" s="80"/>
      <c r="I339" s="80"/>
      <c r="J339" s="80"/>
      <c r="K339" s="80"/>
      <c r="L339" s="80"/>
      <c r="M339" s="80"/>
      <c r="N339" s="80"/>
    </row>
    <row r="340">
      <c r="G340" s="80"/>
      <c r="H340" s="80"/>
      <c r="I340" s="80"/>
      <c r="J340" s="80"/>
      <c r="K340" s="80"/>
      <c r="L340" s="80"/>
      <c r="M340" s="80"/>
      <c r="N340" s="80"/>
    </row>
    <row r="341">
      <c r="G341" s="80"/>
      <c r="H341" s="80"/>
      <c r="I341" s="80"/>
      <c r="J341" s="80"/>
      <c r="K341" s="80"/>
      <c r="L341" s="80"/>
      <c r="M341" s="80"/>
      <c r="N341" s="80"/>
    </row>
    <row r="342">
      <c r="G342" s="80"/>
      <c r="H342" s="80"/>
      <c r="I342" s="80"/>
      <c r="J342" s="80"/>
      <c r="K342" s="80"/>
      <c r="L342" s="80"/>
      <c r="M342" s="80"/>
      <c r="N342" s="80"/>
    </row>
    <row r="343">
      <c r="G343" s="80"/>
      <c r="H343" s="80"/>
      <c r="I343" s="80"/>
      <c r="J343" s="80"/>
      <c r="K343" s="80"/>
      <c r="L343" s="80"/>
      <c r="M343" s="80"/>
      <c r="N343" s="80"/>
    </row>
    <row r="344">
      <c r="G344" s="80"/>
      <c r="H344" s="80"/>
      <c r="I344" s="80"/>
      <c r="J344" s="80"/>
      <c r="K344" s="80"/>
      <c r="L344" s="80"/>
      <c r="M344" s="80"/>
      <c r="N344" s="80"/>
    </row>
    <row r="345">
      <c r="G345" s="80"/>
      <c r="H345" s="80"/>
      <c r="I345" s="80"/>
      <c r="J345" s="80"/>
      <c r="K345" s="80"/>
      <c r="L345" s="80"/>
      <c r="M345" s="80"/>
      <c r="N345" s="80"/>
    </row>
    <row r="346">
      <c r="G346" s="80"/>
      <c r="H346" s="80"/>
      <c r="I346" s="80"/>
      <c r="J346" s="80"/>
      <c r="K346" s="80"/>
      <c r="L346" s="80"/>
      <c r="M346" s="80"/>
      <c r="N346" s="80"/>
    </row>
    <row r="347">
      <c r="G347" s="80"/>
      <c r="H347" s="80"/>
      <c r="I347" s="80"/>
      <c r="J347" s="80"/>
      <c r="K347" s="80"/>
      <c r="L347" s="80"/>
      <c r="M347" s="80"/>
      <c r="N347" s="80"/>
    </row>
    <row r="348">
      <c r="G348" s="80"/>
      <c r="H348" s="80"/>
      <c r="I348" s="80"/>
      <c r="J348" s="80"/>
      <c r="K348" s="80"/>
      <c r="L348" s="80"/>
      <c r="M348" s="80"/>
      <c r="N348" s="80"/>
    </row>
    <row r="349">
      <c r="G349" s="80"/>
      <c r="H349" s="80"/>
      <c r="I349" s="80"/>
      <c r="J349" s="80"/>
      <c r="K349" s="80"/>
      <c r="L349" s="80"/>
      <c r="M349" s="80"/>
      <c r="N349" s="80"/>
    </row>
    <row r="350">
      <c r="G350" s="80"/>
      <c r="H350" s="80"/>
      <c r="I350" s="80"/>
      <c r="J350" s="80"/>
      <c r="K350" s="80"/>
      <c r="L350" s="80"/>
      <c r="M350" s="80"/>
      <c r="N350" s="80"/>
    </row>
    <row r="351">
      <c r="G351" s="80"/>
      <c r="H351" s="80"/>
      <c r="I351" s="80"/>
      <c r="J351" s="80"/>
      <c r="K351" s="80"/>
      <c r="L351" s="80"/>
      <c r="M351" s="80"/>
      <c r="N351" s="80"/>
    </row>
    <row r="352">
      <c r="G352" s="80"/>
      <c r="H352" s="80"/>
      <c r="I352" s="80"/>
      <c r="J352" s="80"/>
      <c r="K352" s="80"/>
      <c r="L352" s="80"/>
      <c r="M352" s="80"/>
      <c r="N352" s="80"/>
    </row>
    <row r="353">
      <c r="G353" s="80"/>
      <c r="H353" s="80"/>
      <c r="I353" s="80"/>
      <c r="J353" s="80"/>
      <c r="K353" s="80"/>
      <c r="L353" s="80"/>
      <c r="M353" s="80"/>
      <c r="N353" s="80"/>
    </row>
    <row r="354">
      <c r="G354" s="80"/>
      <c r="H354" s="80"/>
      <c r="I354" s="80"/>
      <c r="J354" s="80"/>
      <c r="K354" s="80"/>
      <c r="L354" s="80"/>
      <c r="M354" s="80"/>
      <c r="N354" s="80"/>
    </row>
    <row r="355">
      <c r="G355" s="80"/>
      <c r="H355" s="80"/>
      <c r="I355" s="80"/>
      <c r="J355" s="80"/>
      <c r="K355" s="80"/>
      <c r="L355" s="80"/>
      <c r="M355" s="80"/>
      <c r="N355" s="80"/>
    </row>
    <row r="356">
      <c r="G356" s="80"/>
      <c r="H356" s="80"/>
      <c r="I356" s="80"/>
      <c r="J356" s="80"/>
      <c r="K356" s="80"/>
      <c r="L356" s="80"/>
      <c r="M356" s="80"/>
      <c r="N356" s="80"/>
    </row>
    <row r="357">
      <c r="G357" s="80"/>
      <c r="H357" s="80"/>
      <c r="I357" s="80"/>
      <c r="J357" s="80"/>
      <c r="K357" s="80"/>
      <c r="L357" s="80"/>
      <c r="M357" s="80"/>
      <c r="N357" s="80"/>
    </row>
    <row r="358">
      <c r="G358" s="80"/>
      <c r="H358" s="80"/>
      <c r="I358" s="80"/>
      <c r="J358" s="80"/>
      <c r="K358" s="80"/>
      <c r="L358" s="80"/>
      <c r="M358" s="80"/>
      <c r="N358" s="80"/>
    </row>
    <row r="359">
      <c r="G359" s="80"/>
      <c r="H359" s="80"/>
      <c r="I359" s="80"/>
      <c r="J359" s="80"/>
      <c r="K359" s="80"/>
      <c r="L359" s="80"/>
      <c r="M359" s="80"/>
      <c r="N359" s="80"/>
    </row>
    <row r="360">
      <c r="G360" s="80"/>
      <c r="H360" s="80"/>
      <c r="I360" s="80"/>
      <c r="J360" s="80"/>
      <c r="K360" s="80"/>
      <c r="L360" s="80"/>
      <c r="M360" s="80"/>
      <c r="N360" s="80"/>
    </row>
    <row r="361">
      <c r="G361" s="80"/>
      <c r="H361" s="80"/>
      <c r="I361" s="80"/>
      <c r="J361" s="80"/>
      <c r="K361" s="80"/>
      <c r="L361" s="80"/>
      <c r="M361" s="80"/>
      <c r="N361" s="80"/>
    </row>
    <row r="362">
      <c r="G362" s="80"/>
      <c r="H362" s="80"/>
      <c r="I362" s="80"/>
      <c r="J362" s="80"/>
      <c r="K362" s="80"/>
      <c r="L362" s="80"/>
      <c r="M362" s="80"/>
      <c r="N362" s="80"/>
    </row>
    <row r="363">
      <c r="G363" s="80"/>
      <c r="H363" s="80"/>
      <c r="I363" s="80"/>
      <c r="J363" s="80"/>
      <c r="K363" s="80"/>
      <c r="L363" s="80"/>
      <c r="M363" s="80"/>
      <c r="N363" s="80"/>
    </row>
    <row r="364">
      <c r="G364" s="80"/>
      <c r="H364" s="80"/>
      <c r="I364" s="80"/>
      <c r="J364" s="80"/>
      <c r="K364" s="80"/>
      <c r="L364" s="80"/>
      <c r="M364" s="80"/>
      <c r="N364" s="80"/>
    </row>
    <row r="365">
      <c r="G365" s="80"/>
      <c r="H365" s="80"/>
      <c r="I365" s="80"/>
      <c r="J365" s="80"/>
      <c r="K365" s="80"/>
      <c r="L365" s="80"/>
      <c r="M365" s="80"/>
      <c r="N365" s="80"/>
    </row>
    <row r="366">
      <c r="G366" s="80"/>
      <c r="H366" s="80"/>
      <c r="I366" s="80"/>
      <c r="J366" s="80"/>
      <c r="K366" s="80"/>
      <c r="L366" s="80"/>
      <c r="M366" s="80"/>
      <c r="N366" s="80"/>
    </row>
    <row r="367">
      <c r="G367" s="80"/>
      <c r="H367" s="80"/>
      <c r="I367" s="80"/>
      <c r="J367" s="80"/>
      <c r="K367" s="80"/>
      <c r="L367" s="80"/>
      <c r="M367" s="80"/>
      <c r="N367" s="80"/>
    </row>
    <row r="368">
      <c r="G368" s="80"/>
      <c r="H368" s="80"/>
      <c r="I368" s="80"/>
      <c r="J368" s="80"/>
      <c r="K368" s="80"/>
      <c r="L368" s="80"/>
      <c r="M368" s="80"/>
      <c r="N368" s="80"/>
    </row>
    <row r="369">
      <c r="G369" s="80"/>
      <c r="H369" s="80"/>
      <c r="I369" s="80"/>
      <c r="J369" s="80"/>
      <c r="K369" s="80"/>
      <c r="L369" s="80"/>
      <c r="M369" s="80"/>
      <c r="N369" s="80"/>
    </row>
    <row r="370">
      <c r="G370" s="80"/>
      <c r="H370" s="80"/>
      <c r="I370" s="80"/>
      <c r="J370" s="80"/>
      <c r="K370" s="80"/>
      <c r="L370" s="80"/>
      <c r="M370" s="80"/>
      <c r="N370" s="80"/>
    </row>
    <row r="371">
      <c r="G371" s="80"/>
      <c r="H371" s="80"/>
      <c r="I371" s="80"/>
      <c r="J371" s="80"/>
      <c r="K371" s="80"/>
      <c r="L371" s="80"/>
      <c r="M371" s="80"/>
      <c r="N371" s="80"/>
    </row>
    <row r="372">
      <c r="G372" s="80"/>
      <c r="H372" s="80"/>
      <c r="I372" s="80"/>
      <c r="J372" s="80"/>
      <c r="K372" s="80"/>
      <c r="L372" s="80"/>
      <c r="M372" s="80"/>
      <c r="N372" s="80"/>
    </row>
    <row r="373">
      <c r="G373" s="80"/>
      <c r="H373" s="80"/>
      <c r="I373" s="80"/>
      <c r="J373" s="80"/>
      <c r="K373" s="80"/>
      <c r="L373" s="80"/>
      <c r="M373" s="80"/>
      <c r="N373" s="80"/>
    </row>
    <row r="374">
      <c r="G374" s="80"/>
      <c r="H374" s="80"/>
      <c r="I374" s="80"/>
      <c r="J374" s="80"/>
      <c r="K374" s="80"/>
      <c r="L374" s="80"/>
      <c r="M374" s="80"/>
      <c r="N374" s="80"/>
    </row>
    <row r="375">
      <c r="G375" s="80"/>
      <c r="H375" s="80"/>
      <c r="I375" s="80"/>
      <c r="J375" s="80"/>
      <c r="K375" s="80"/>
      <c r="L375" s="80"/>
      <c r="M375" s="80"/>
      <c r="N375" s="80"/>
    </row>
    <row r="376">
      <c r="G376" s="80"/>
      <c r="H376" s="80"/>
      <c r="I376" s="80"/>
      <c r="J376" s="80"/>
      <c r="K376" s="80"/>
      <c r="L376" s="80"/>
      <c r="M376" s="80"/>
      <c r="N376" s="80"/>
    </row>
    <row r="377">
      <c r="G377" s="80"/>
      <c r="H377" s="80"/>
      <c r="I377" s="80"/>
      <c r="J377" s="80"/>
      <c r="K377" s="80"/>
      <c r="L377" s="80"/>
      <c r="M377" s="80"/>
      <c r="N377" s="80"/>
    </row>
    <row r="378">
      <c r="G378" s="80"/>
      <c r="H378" s="80"/>
      <c r="I378" s="80"/>
      <c r="J378" s="80"/>
      <c r="K378" s="80"/>
      <c r="L378" s="80"/>
      <c r="M378" s="80"/>
      <c r="N378" s="80"/>
    </row>
    <row r="379">
      <c r="G379" s="80"/>
      <c r="H379" s="80"/>
      <c r="I379" s="80"/>
      <c r="J379" s="80"/>
      <c r="K379" s="80"/>
      <c r="L379" s="80"/>
      <c r="M379" s="80"/>
      <c r="N379" s="80"/>
    </row>
    <row r="380">
      <c r="G380" s="80"/>
      <c r="H380" s="80"/>
      <c r="I380" s="80"/>
      <c r="J380" s="80"/>
      <c r="K380" s="80"/>
      <c r="L380" s="80"/>
      <c r="M380" s="80"/>
      <c r="N380" s="80"/>
    </row>
    <row r="381">
      <c r="G381" s="80"/>
      <c r="H381" s="80"/>
      <c r="I381" s="80"/>
      <c r="J381" s="80"/>
      <c r="K381" s="80"/>
      <c r="L381" s="80"/>
      <c r="M381" s="80"/>
      <c r="N381" s="80"/>
    </row>
    <row r="382">
      <c r="G382" s="80"/>
      <c r="H382" s="80"/>
      <c r="I382" s="80"/>
      <c r="J382" s="80"/>
      <c r="K382" s="80"/>
      <c r="L382" s="80"/>
      <c r="M382" s="80"/>
      <c r="N382" s="80"/>
    </row>
    <row r="383">
      <c r="G383" s="80"/>
      <c r="H383" s="80"/>
      <c r="I383" s="80"/>
      <c r="J383" s="80"/>
      <c r="K383" s="80"/>
      <c r="L383" s="80"/>
      <c r="M383" s="80"/>
      <c r="N383" s="80"/>
    </row>
    <row r="384">
      <c r="G384" s="80"/>
      <c r="H384" s="80"/>
      <c r="I384" s="80"/>
      <c r="J384" s="80"/>
      <c r="K384" s="80"/>
      <c r="L384" s="80"/>
      <c r="M384" s="80"/>
      <c r="N384" s="80"/>
    </row>
    <row r="385">
      <c r="G385" s="80"/>
      <c r="H385" s="80"/>
      <c r="I385" s="80"/>
      <c r="J385" s="80"/>
      <c r="K385" s="80"/>
      <c r="L385" s="80"/>
      <c r="M385" s="80"/>
      <c r="N385" s="80"/>
    </row>
    <row r="386">
      <c r="G386" s="80"/>
      <c r="H386" s="80"/>
      <c r="I386" s="80"/>
      <c r="J386" s="80"/>
      <c r="K386" s="80"/>
      <c r="L386" s="80"/>
      <c r="M386" s="80"/>
      <c r="N386" s="80"/>
    </row>
    <row r="387">
      <c r="G387" s="80"/>
      <c r="H387" s="80"/>
      <c r="I387" s="80"/>
      <c r="J387" s="80"/>
      <c r="K387" s="80"/>
      <c r="L387" s="80"/>
      <c r="M387" s="80"/>
      <c r="N387" s="80"/>
    </row>
    <row r="388">
      <c r="G388" s="80"/>
      <c r="H388" s="80"/>
      <c r="I388" s="80"/>
      <c r="J388" s="80"/>
      <c r="K388" s="80"/>
      <c r="L388" s="80"/>
      <c r="M388" s="80"/>
      <c r="N388" s="80"/>
    </row>
    <row r="389">
      <c r="G389" s="80"/>
      <c r="H389" s="80"/>
      <c r="I389" s="80"/>
      <c r="J389" s="80"/>
      <c r="K389" s="80"/>
      <c r="L389" s="80"/>
      <c r="M389" s="80"/>
      <c r="N389" s="80"/>
    </row>
    <row r="390">
      <c r="G390" s="80"/>
      <c r="H390" s="80"/>
      <c r="I390" s="80"/>
      <c r="J390" s="80"/>
      <c r="K390" s="80"/>
      <c r="L390" s="80"/>
      <c r="M390" s="80"/>
      <c r="N390" s="80"/>
    </row>
    <row r="391">
      <c r="G391" s="80"/>
      <c r="H391" s="80"/>
      <c r="I391" s="80"/>
      <c r="J391" s="80"/>
      <c r="K391" s="80"/>
      <c r="L391" s="80"/>
      <c r="M391" s="80"/>
      <c r="N391" s="80"/>
    </row>
    <row r="392">
      <c r="G392" s="80"/>
      <c r="H392" s="80"/>
      <c r="I392" s="80"/>
      <c r="J392" s="80"/>
      <c r="K392" s="80"/>
      <c r="L392" s="80"/>
      <c r="M392" s="80"/>
      <c r="N392" s="80"/>
    </row>
    <row r="393">
      <c r="G393" s="80"/>
      <c r="H393" s="80"/>
      <c r="I393" s="80"/>
      <c r="J393" s="80"/>
      <c r="K393" s="80"/>
      <c r="L393" s="80"/>
      <c r="M393" s="80"/>
      <c r="N393" s="80"/>
    </row>
    <row r="394">
      <c r="G394" s="80"/>
      <c r="H394" s="80"/>
      <c r="I394" s="80"/>
      <c r="J394" s="80"/>
      <c r="K394" s="80"/>
      <c r="L394" s="80"/>
      <c r="M394" s="80"/>
      <c r="N394" s="80"/>
    </row>
    <row r="395">
      <c r="G395" s="80"/>
      <c r="H395" s="80"/>
      <c r="I395" s="80"/>
      <c r="J395" s="80"/>
      <c r="K395" s="80"/>
      <c r="L395" s="80"/>
      <c r="M395" s="80"/>
      <c r="N395" s="80"/>
    </row>
    <row r="396">
      <c r="G396" s="80"/>
      <c r="H396" s="80"/>
      <c r="I396" s="80"/>
      <c r="J396" s="80"/>
      <c r="K396" s="80"/>
      <c r="L396" s="80"/>
      <c r="M396" s="80"/>
      <c r="N396" s="80"/>
    </row>
    <row r="397">
      <c r="G397" s="80"/>
      <c r="H397" s="80"/>
      <c r="I397" s="80"/>
      <c r="J397" s="80"/>
      <c r="K397" s="80"/>
      <c r="L397" s="80"/>
      <c r="M397" s="80"/>
      <c r="N397" s="80"/>
    </row>
    <row r="398">
      <c r="G398" s="80"/>
      <c r="H398" s="80"/>
      <c r="I398" s="80"/>
      <c r="J398" s="80"/>
      <c r="K398" s="80"/>
      <c r="L398" s="80"/>
      <c r="M398" s="80"/>
      <c r="N398" s="80"/>
    </row>
    <row r="399">
      <c r="G399" s="80"/>
      <c r="H399" s="80"/>
      <c r="I399" s="80"/>
      <c r="J399" s="80"/>
      <c r="K399" s="80"/>
      <c r="L399" s="80"/>
      <c r="M399" s="80"/>
      <c r="N399" s="80"/>
    </row>
    <row r="400">
      <c r="G400" s="80"/>
      <c r="H400" s="80"/>
      <c r="I400" s="80"/>
      <c r="J400" s="80"/>
      <c r="K400" s="80"/>
      <c r="L400" s="80"/>
      <c r="M400" s="80"/>
      <c r="N400" s="80"/>
    </row>
    <row r="401">
      <c r="G401" s="80"/>
      <c r="H401" s="80"/>
      <c r="I401" s="80"/>
      <c r="J401" s="80"/>
      <c r="K401" s="80"/>
      <c r="L401" s="80"/>
      <c r="M401" s="80"/>
      <c r="N401" s="80"/>
    </row>
    <row r="402">
      <c r="G402" s="80"/>
      <c r="H402" s="80"/>
      <c r="I402" s="80"/>
      <c r="J402" s="80"/>
      <c r="K402" s="80"/>
      <c r="L402" s="80"/>
      <c r="M402" s="80"/>
      <c r="N402" s="80"/>
    </row>
    <row r="403">
      <c r="G403" s="80"/>
      <c r="H403" s="80"/>
      <c r="I403" s="80"/>
      <c r="J403" s="80"/>
      <c r="K403" s="80"/>
      <c r="L403" s="80"/>
      <c r="M403" s="80"/>
      <c r="N403" s="80"/>
    </row>
    <row r="404">
      <c r="G404" s="80"/>
      <c r="H404" s="80"/>
      <c r="I404" s="80"/>
      <c r="J404" s="80"/>
      <c r="K404" s="80"/>
      <c r="L404" s="80"/>
      <c r="M404" s="80"/>
      <c r="N404" s="80"/>
    </row>
    <row r="405">
      <c r="G405" s="80"/>
      <c r="H405" s="80"/>
      <c r="I405" s="80"/>
      <c r="J405" s="80"/>
      <c r="K405" s="80"/>
      <c r="L405" s="80"/>
      <c r="M405" s="80"/>
      <c r="N405" s="80"/>
    </row>
    <row r="406">
      <c r="G406" s="80"/>
      <c r="H406" s="80"/>
      <c r="I406" s="80"/>
      <c r="J406" s="80"/>
      <c r="K406" s="80"/>
      <c r="L406" s="80"/>
      <c r="M406" s="80"/>
      <c r="N406" s="80"/>
    </row>
    <row r="407">
      <c r="G407" s="80"/>
      <c r="H407" s="80"/>
      <c r="I407" s="80"/>
      <c r="J407" s="80"/>
      <c r="K407" s="80"/>
      <c r="L407" s="80"/>
      <c r="M407" s="80"/>
      <c r="N407" s="80"/>
    </row>
    <row r="408">
      <c r="G408" s="80"/>
      <c r="H408" s="80"/>
      <c r="I408" s="80"/>
      <c r="J408" s="80"/>
      <c r="K408" s="80"/>
      <c r="L408" s="80"/>
      <c r="M408" s="80"/>
      <c r="N408" s="80"/>
    </row>
    <row r="409">
      <c r="G409" s="80"/>
      <c r="H409" s="80"/>
      <c r="I409" s="80"/>
      <c r="J409" s="80"/>
      <c r="K409" s="80"/>
      <c r="L409" s="80"/>
      <c r="M409" s="80"/>
      <c r="N409" s="80"/>
    </row>
    <row r="410">
      <c r="G410" s="80"/>
      <c r="H410" s="80"/>
      <c r="I410" s="80"/>
      <c r="J410" s="80"/>
      <c r="K410" s="80"/>
      <c r="L410" s="80"/>
      <c r="M410" s="80"/>
      <c r="N410" s="80"/>
    </row>
    <row r="411">
      <c r="G411" s="80"/>
      <c r="H411" s="80"/>
      <c r="I411" s="80"/>
      <c r="J411" s="80"/>
      <c r="K411" s="80"/>
      <c r="L411" s="80"/>
      <c r="M411" s="80"/>
      <c r="N411" s="80"/>
    </row>
    <row r="412">
      <c r="G412" s="80"/>
      <c r="H412" s="80"/>
      <c r="I412" s="80"/>
      <c r="J412" s="80"/>
      <c r="K412" s="80"/>
      <c r="L412" s="80"/>
      <c r="M412" s="80"/>
      <c r="N412" s="80"/>
    </row>
    <row r="413">
      <c r="G413" s="80"/>
      <c r="H413" s="80"/>
      <c r="I413" s="80"/>
      <c r="J413" s="80"/>
      <c r="K413" s="80"/>
      <c r="L413" s="80"/>
      <c r="M413" s="80"/>
      <c r="N413" s="80"/>
    </row>
    <row r="414">
      <c r="G414" s="80"/>
      <c r="H414" s="80"/>
      <c r="I414" s="80"/>
      <c r="J414" s="80"/>
      <c r="K414" s="80"/>
      <c r="L414" s="80"/>
      <c r="M414" s="80"/>
      <c r="N414" s="80"/>
    </row>
    <row r="415">
      <c r="G415" s="80"/>
      <c r="H415" s="80"/>
      <c r="I415" s="80"/>
      <c r="J415" s="80"/>
      <c r="K415" s="80"/>
      <c r="L415" s="80"/>
      <c r="M415" s="80"/>
      <c r="N415" s="80"/>
    </row>
    <row r="416">
      <c r="G416" s="80"/>
      <c r="H416" s="80"/>
      <c r="I416" s="80"/>
      <c r="J416" s="80"/>
      <c r="K416" s="80"/>
      <c r="L416" s="80"/>
      <c r="M416" s="80"/>
      <c r="N416" s="80"/>
    </row>
    <row r="417">
      <c r="G417" s="80"/>
      <c r="H417" s="80"/>
      <c r="I417" s="80"/>
      <c r="J417" s="80"/>
      <c r="K417" s="80"/>
      <c r="L417" s="80"/>
      <c r="M417" s="80"/>
      <c r="N417" s="80"/>
    </row>
    <row r="418">
      <c r="G418" s="80"/>
      <c r="H418" s="80"/>
      <c r="I418" s="80"/>
      <c r="J418" s="80"/>
      <c r="K418" s="80"/>
      <c r="L418" s="80"/>
      <c r="M418" s="80"/>
      <c r="N418" s="80"/>
    </row>
    <row r="419">
      <c r="G419" s="80"/>
      <c r="H419" s="80"/>
      <c r="I419" s="80"/>
      <c r="J419" s="80"/>
      <c r="K419" s="80"/>
      <c r="L419" s="80"/>
      <c r="M419" s="80"/>
      <c r="N419" s="80"/>
    </row>
    <row r="420">
      <c r="G420" s="80"/>
      <c r="H420" s="80"/>
      <c r="I420" s="80"/>
      <c r="J420" s="80"/>
      <c r="K420" s="80"/>
      <c r="L420" s="80"/>
      <c r="M420" s="80"/>
      <c r="N420" s="80"/>
    </row>
    <row r="421">
      <c r="G421" s="80"/>
      <c r="H421" s="80"/>
      <c r="I421" s="80"/>
      <c r="J421" s="80"/>
      <c r="K421" s="80"/>
      <c r="L421" s="80"/>
      <c r="M421" s="80"/>
      <c r="N421" s="80"/>
    </row>
    <row r="422">
      <c r="G422" s="80"/>
      <c r="H422" s="80"/>
      <c r="I422" s="80"/>
      <c r="J422" s="80"/>
      <c r="K422" s="80"/>
      <c r="L422" s="80"/>
      <c r="M422" s="80"/>
      <c r="N422" s="80"/>
    </row>
    <row r="423">
      <c r="G423" s="80"/>
      <c r="H423" s="80"/>
      <c r="I423" s="80"/>
      <c r="J423" s="80"/>
      <c r="K423" s="80"/>
      <c r="L423" s="80"/>
      <c r="M423" s="80"/>
      <c r="N423" s="80"/>
    </row>
    <row r="424">
      <c r="G424" s="80"/>
      <c r="H424" s="80"/>
      <c r="I424" s="80"/>
      <c r="J424" s="80"/>
      <c r="K424" s="80"/>
      <c r="L424" s="80"/>
      <c r="M424" s="80"/>
      <c r="N424" s="80"/>
    </row>
    <row r="425">
      <c r="G425" s="80"/>
      <c r="H425" s="80"/>
      <c r="I425" s="80"/>
      <c r="J425" s="80"/>
      <c r="K425" s="80"/>
      <c r="L425" s="80"/>
      <c r="M425" s="80"/>
      <c r="N425" s="80"/>
    </row>
    <row r="426">
      <c r="G426" s="80"/>
      <c r="H426" s="80"/>
      <c r="I426" s="80"/>
      <c r="J426" s="80"/>
      <c r="K426" s="80"/>
      <c r="L426" s="80"/>
      <c r="M426" s="80"/>
      <c r="N426" s="80"/>
    </row>
    <row r="427">
      <c r="G427" s="80"/>
      <c r="H427" s="80"/>
      <c r="I427" s="80"/>
      <c r="J427" s="80"/>
      <c r="K427" s="80"/>
      <c r="L427" s="80"/>
      <c r="M427" s="80"/>
      <c r="N427" s="80"/>
    </row>
    <row r="428">
      <c r="G428" s="80"/>
      <c r="H428" s="80"/>
      <c r="I428" s="80"/>
      <c r="J428" s="80"/>
      <c r="K428" s="80"/>
      <c r="L428" s="80"/>
      <c r="M428" s="80"/>
      <c r="N428" s="80"/>
    </row>
    <row r="429">
      <c r="G429" s="80"/>
      <c r="H429" s="80"/>
      <c r="I429" s="80"/>
      <c r="J429" s="80"/>
      <c r="K429" s="80"/>
      <c r="L429" s="80"/>
      <c r="M429" s="80"/>
      <c r="N429" s="80"/>
    </row>
    <row r="430">
      <c r="G430" s="80"/>
      <c r="H430" s="80"/>
      <c r="I430" s="80"/>
      <c r="J430" s="80"/>
      <c r="K430" s="80"/>
      <c r="L430" s="80"/>
      <c r="M430" s="80"/>
      <c r="N430" s="80"/>
    </row>
    <row r="431">
      <c r="G431" s="80"/>
      <c r="H431" s="80"/>
      <c r="I431" s="80"/>
      <c r="J431" s="80"/>
      <c r="K431" s="80"/>
      <c r="L431" s="80"/>
      <c r="M431" s="80"/>
      <c r="N431" s="80"/>
    </row>
    <row r="432">
      <c r="G432" s="80"/>
      <c r="H432" s="80"/>
      <c r="I432" s="80"/>
      <c r="J432" s="80"/>
      <c r="K432" s="80"/>
      <c r="L432" s="80"/>
      <c r="M432" s="80"/>
      <c r="N432" s="80"/>
    </row>
    <row r="433">
      <c r="G433" s="80"/>
      <c r="H433" s="80"/>
      <c r="I433" s="80"/>
      <c r="J433" s="80"/>
      <c r="K433" s="80"/>
      <c r="L433" s="80"/>
      <c r="M433" s="80"/>
      <c r="N433" s="80"/>
    </row>
    <row r="434">
      <c r="G434" s="80"/>
      <c r="H434" s="80"/>
      <c r="I434" s="80"/>
      <c r="J434" s="80"/>
      <c r="K434" s="80"/>
      <c r="L434" s="80"/>
      <c r="M434" s="80"/>
      <c r="N434" s="80"/>
    </row>
    <row r="435">
      <c r="G435" s="80"/>
      <c r="H435" s="80"/>
      <c r="I435" s="80"/>
      <c r="J435" s="80"/>
      <c r="K435" s="80"/>
      <c r="L435" s="80"/>
      <c r="M435" s="80"/>
      <c r="N435" s="80"/>
    </row>
    <row r="436">
      <c r="G436" s="80"/>
      <c r="H436" s="80"/>
      <c r="I436" s="80"/>
      <c r="J436" s="80"/>
      <c r="K436" s="80"/>
      <c r="L436" s="80"/>
      <c r="M436" s="80"/>
      <c r="N436" s="80"/>
    </row>
    <row r="437">
      <c r="G437" s="80"/>
      <c r="H437" s="80"/>
      <c r="I437" s="80"/>
      <c r="J437" s="80"/>
      <c r="K437" s="80"/>
      <c r="L437" s="80"/>
      <c r="M437" s="80"/>
      <c r="N437" s="80"/>
    </row>
    <row r="438">
      <c r="G438" s="80"/>
      <c r="H438" s="80"/>
      <c r="I438" s="80"/>
      <c r="J438" s="80"/>
      <c r="K438" s="80"/>
      <c r="L438" s="80"/>
      <c r="M438" s="80"/>
      <c r="N438" s="80"/>
    </row>
    <row r="439">
      <c r="G439" s="80"/>
      <c r="H439" s="80"/>
      <c r="I439" s="80"/>
      <c r="J439" s="80"/>
      <c r="K439" s="80"/>
      <c r="L439" s="80"/>
      <c r="M439" s="80"/>
      <c r="N439" s="80"/>
    </row>
    <row r="440">
      <c r="G440" s="80"/>
      <c r="H440" s="80"/>
      <c r="I440" s="80"/>
      <c r="J440" s="80"/>
      <c r="K440" s="80"/>
      <c r="L440" s="80"/>
      <c r="M440" s="80"/>
      <c r="N440" s="80"/>
    </row>
    <row r="441">
      <c r="G441" s="80"/>
      <c r="H441" s="80"/>
      <c r="I441" s="80"/>
      <c r="J441" s="80"/>
      <c r="K441" s="80"/>
      <c r="L441" s="80"/>
      <c r="M441" s="80"/>
      <c r="N441" s="80"/>
    </row>
    <row r="442">
      <c r="G442" s="80"/>
      <c r="H442" s="80"/>
      <c r="I442" s="80"/>
      <c r="J442" s="80"/>
      <c r="K442" s="80"/>
      <c r="L442" s="80"/>
      <c r="M442" s="80"/>
      <c r="N442" s="80"/>
    </row>
    <row r="443">
      <c r="G443" s="80"/>
      <c r="H443" s="80"/>
      <c r="I443" s="80"/>
      <c r="J443" s="80"/>
      <c r="K443" s="80"/>
      <c r="L443" s="80"/>
      <c r="M443" s="80"/>
      <c r="N443" s="80"/>
    </row>
    <row r="444">
      <c r="G444" s="80"/>
      <c r="H444" s="80"/>
      <c r="I444" s="80"/>
      <c r="J444" s="80"/>
      <c r="K444" s="80"/>
      <c r="L444" s="80"/>
      <c r="M444" s="80"/>
      <c r="N444" s="80"/>
    </row>
    <row r="445">
      <c r="G445" s="80"/>
      <c r="H445" s="80"/>
      <c r="I445" s="80"/>
      <c r="J445" s="80"/>
      <c r="K445" s="80"/>
      <c r="L445" s="80"/>
      <c r="M445" s="80"/>
      <c r="N445" s="80"/>
    </row>
    <row r="446">
      <c r="G446" s="80"/>
      <c r="H446" s="80"/>
      <c r="I446" s="80"/>
      <c r="J446" s="80"/>
      <c r="K446" s="80"/>
      <c r="L446" s="80"/>
      <c r="M446" s="80"/>
      <c r="N446" s="80"/>
    </row>
    <row r="447">
      <c r="G447" s="80"/>
      <c r="H447" s="80"/>
      <c r="I447" s="80"/>
      <c r="J447" s="80"/>
      <c r="K447" s="80"/>
      <c r="L447" s="80"/>
      <c r="M447" s="80"/>
      <c r="N447" s="80"/>
    </row>
    <row r="448">
      <c r="G448" s="80"/>
      <c r="H448" s="80"/>
      <c r="I448" s="80"/>
      <c r="J448" s="80"/>
      <c r="K448" s="80"/>
      <c r="L448" s="80"/>
      <c r="M448" s="80"/>
      <c r="N448" s="80"/>
    </row>
    <row r="449">
      <c r="G449" s="80"/>
      <c r="H449" s="80"/>
      <c r="I449" s="80"/>
      <c r="J449" s="80"/>
      <c r="K449" s="80"/>
      <c r="L449" s="80"/>
      <c r="M449" s="80"/>
      <c r="N449" s="80"/>
    </row>
    <row r="450">
      <c r="G450" s="80"/>
      <c r="H450" s="80"/>
      <c r="I450" s="80"/>
      <c r="J450" s="80"/>
      <c r="K450" s="80"/>
      <c r="L450" s="80"/>
      <c r="M450" s="80"/>
      <c r="N450" s="80"/>
    </row>
    <row r="451">
      <c r="G451" s="80"/>
      <c r="H451" s="80"/>
      <c r="I451" s="80"/>
      <c r="J451" s="80"/>
      <c r="K451" s="80"/>
      <c r="L451" s="80"/>
      <c r="M451" s="80"/>
      <c r="N451" s="80"/>
    </row>
    <row r="452">
      <c r="G452" s="80"/>
      <c r="H452" s="80"/>
      <c r="I452" s="80"/>
      <c r="J452" s="80"/>
      <c r="K452" s="80"/>
      <c r="L452" s="80"/>
      <c r="M452" s="80"/>
      <c r="N452" s="80"/>
    </row>
    <row r="453">
      <c r="G453" s="80"/>
      <c r="H453" s="80"/>
      <c r="I453" s="80"/>
      <c r="J453" s="80"/>
      <c r="K453" s="80"/>
      <c r="L453" s="80"/>
      <c r="M453" s="80"/>
      <c r="N453" s="80"/>
    </row>
    <row r="454">
      <c r="G454" s="80"/>
      <c r="H454" s="80"/>
      <c r="I454" s="80"/>
      <c r="J454" s="80"/>
      <c r="K454" s="80"/>
      <c r="L454" s="80"/>
      <c r="M454" s="80"/>
      <c r="N454" s="80"/>
    </row>
    <row r="455">
      <c r="G455" s="80"/>
      <c r="H455" s="80"/>
      <c r="I455" s="80"/>
      <c r="J455" s="80"/>
      <c r="K455" s="80"/>
      <c r="L455" s="80"/>
      <c r="M455" s="80"/>
      <c r="N455" s="80"/>
    </row>
    <row r="456">
      <c r="G456" s="80"/>
      <c r="H456" s="80"/>
      <c r="I456" s="80"/>
      <c r="J456" s="80"/>
      <c r="K456" s="80"/>
      <c r="L456" s="80"/>
      <c r="M456" s="80"/>
      <c r="N456" s="80"/>
    </row>
    <row r="457">
      <c r="G457" s="80"/>
      <c r="H457" s="80"/>
      <c r="I457" s="80"/>
      <c r="J457" s="80"/>
      <c r="K457" s="80"/>
      <c r="L457" s="80"/>
      <c r="M457" s="80"/>
      <c r="N457" s="80"/>
    </row>
    <row r="458">
      <c r="G458" s="80"/>
      <c r="H458" s="80"/>
      <c r="I458" s="80"/>
      <c r="J458" s="80"/>
      <c r="K458" s="80"/>
      <c r="L458" s="80"/>
      <c r="M458" s="80"/>
      <c r="N458" s="80"/>
    </row>
    <row r="459">
      <c r="G459" s="80"/>
      <c r="H459" s="80"/>
      <c r="I459" s="80"/>
      <c r="J459" s="80"/>
      <c r="K459" s="80"/>
      <c r="L459" s="80"/>
      <c r="M459" s="80"/>
      <c r="N459" s="80"/>
    </row>
    <row r="460">
      <c r="G460" s="80"/>
      <c r="H460" s="80"/>
      <c r="I460" s="80"/>
      <c r="J460" s="80"/>
      <c r="K460" s="80"/>
      <c r="L460" s="80"/>
      <c r="M460" s="80"/>
      <c r="N460" s="80"/>
    </row>
    <row r="461">
      <c r="G461" s="80"/>
      <c r="H461" s="80"/>
      <c r="I461" s="80"/>
      <c r="J461" s="80"/>
      <c r="K461" s="80"/>
      <c r="L461" s="80"/>
      <c r="M461" s="80"/>
      <c r="N461" s="80"/>
    </row>
    <row r="462">
      <c r="G462" s="80"/>
      <c r="H462" s="80"/>
      <c r="I462" s="80"/>
      <c r="J462" s="80"/>
      <c r="K462" s="80"/>
      <c r="L462" s="80"/>
      <c r="M462" s="80"/>
      <c r="N462" s="80"/>
    </row>
    <row r="463">
      <c r="G463" s="80"/>
      <c r="H463" s="80"/>
      <c r="I463" s="80"/>
      <c r="J463" s="80"/>
      <c r="K463" s="80"/>
      <c r="L463" s="80"/>
      <c r="M463" s="80"/>
      <c r="N463" s="80"/>
    </row>
    <row r="464">
      <c r="G464" s="80"/>
      <c r="H464" s="80"/>
      <c r="I464" s="80"/>
      <c r="J464" s="80"/>
      <c r="K464" s="80"/>
      <c r="L464" s="80"/>
      <c r="M464" s="80"/>
      <c r="N464" s="80"/>
    </row>
    <row r="465">
      <c r="G465" s="80"/>
      <c r="H465" s="80"/>
      <c r="I465" s="80"/>
      <c r="J465" s="80"/>
      <c r="K465" s="80"/>
      <c r="L465" s="80"/>
      <c r="M465" s="80"/>
      <c r="N465" s="80"/>
    </row>
    <row r="466">
      <c r="G466" s="80"/>
      <c r="H466" s="80"/>
      <c r="I466" s="80"/>
      <c r="J466" s="80"/>
      <c r="K466" s="80"/>
      <c r="L466" s="80"/>
      <c r="M466" s="80"/>
      <c r="N466" s="80"/>
    </row>
    <row r="467">
      <c r="G467" s="80"/>
      <c r="H467" s="80"/>
      <c r="I467" s="80"/>
      <c r="J467" s="80"/>
      <c r="K467" s="80"/>
      <c r="L467" s="80"/>
      <c r="M467" s="80"/>
      <c r="N467" s="80"/>
    </row>
    <row r="468">
      <c r="G468" s="80"/>
      <c r="H468" s="80"/>
      <c r="I468" s="80"/>
      <c r="J468" s="80"/>
      <c r="K468" s="80"/>
      <c r="L468" s="80"/>
      <c r="M468" s="80"/>
      <c r="N468" s="80"/>
    </row>
    <row r="469">
      <c r="G469" s="80"/>
      <c r="H469" s="80"/>
      <c r="I469" s="80"/>
      <c r="J469" s="80"/>
      <c r="K469" s="80"/>
      <c r="L469" s="80"/>
      <c r="M469" s="80"/>
      <c r="N469" s="80"/>
    </row>
    <row r="470">
      <c r="G470" s="80"/>
      <c r="H470" s="80"/>
      <c r="I470" s="80"/>
      <c r="J470" s="80"/>
      <c r="K470" s="80"/>
      <c r="L470" s="80"/>
      <c r="M470" s="80"/>
      <c r="N470" s="80"/>
    </row>
    <row r="471">
      <c r="G471" s="80"/>
      <c r="H471" s="80"/>
      <c r="I471" s="80"/>
      <c r="J471" s="80"/>
      <c r="K471" s="80"/>
      <c r="L471" s="80"/>
      <c r="M471" s="80"/>
      <c r="N471" s="80"/>
    </row>
    <row r="472">
      <c r="G472" s="80"/>
      <c r="H472" s="80"/>
      <c r="I472" s="80"/>
      <c r="J472" s="80"/>
      <c r="K472" s="80"/>
      <c r="L472" s="80"/>
      <c r="M472" s="80"/>
      <c r="N472" s="80"/>
    </row>
    <row r="473">
      <c r="G473" s="80"/>
      <c r="H473" s="80"/>
      <c r="I473" s="80"/>
      <c r="J473" s="80"/>
      <c r="K473" s="80"/>
      <c r="L473" s="80"/>
      <c r="M473" s="80"/>
      <c r="N473" s="80"/>
    </row>
    <row r="474">
      <c r="G474" s="80"/>
      <c r="H474" s="80"/>
      <c r="I474" s="80"/>
      <c r="J474" s="80"/>
      <c r="K474" s="80"/>
      <c r="L474" s="80"/>
      <c r="M474" s="80"/>
      <c r="N474" s="80"/>
    </row>
    <row r="475">
      <c r="G475" s="80"/>
      <c r="H475" s="80"/>
      <c r="I475" s="80"/>
      <c r="J475" s="80"/>
      <c r="K475" s="80"/>
      <c r="L475" s="80"/>
      <c r="M475" s="80"/>
      <c r="N475" s="80"/>
    </row>
    <row r="476">
      <c r="G476" s="80"/>
      <c r="H476" s="80"/>
      <c r="I476" s="80"/>
      <c r="J476" s="80"/>
      <c r="K476" s="80"/>
      <c r="L476" s="80"/>
      <c r="M476" s="80"/>
      <c r="N476" s="80"/>
    </row>
    <row r="477">
      <c r="G477" s="80"/>
      <c r="H477" s="80"/>
      <c r="I477" s="80"/>
      <c r="J477" s="80"/>
      <c r="K477" s="80"/>
      <c r="L477" s="80"/>
      <c r="M477" s="80"/>
      <c r="N477" s="80"/>
    </row>
    <row r="478">
      <c r="G478" s="80"/>
      <c r="H478" s="80"/>
      <c r="I478" s="80"/>
      <c r="J478" s="80"/>
      <c r="K478" s="80"/>
      <c r="L478" s="80"/>
      <c r="M478" s="80"/>
      <c r="N478" s="80"/>
    </row>
    <row r="479">
      <c r="G479" s="80"/>
      <c r="H479" s="80"/>
      <c r="I479" s="80"/>
      <c r="J479" s="80"/>
      <c r="K479" s="80"/>
      <c r="L479" s="80"/>
      <c r="M479" s="80"/>
      <c r="N479" s="80"/>
    </row>
    <row r="480">
      <c r="G480" s="80"/>
      <c r="H480" s="80"/>
      <c r="I480" s="80"/>
      <c r="J480" s="80"/>
      <c r="K480" s="80"/>
      <c r="L480" s="80"/>
      <c r="M480" s="80"/>
      <c r="N480" s="80"/>
    </row>
    <row r="481">
      <c r="G481" s="80"/>
      <c r="H481" s="80"/>
      <c r="I481" s="80"/>
      <c r="J481" s="80"/>
      <c r="K481" s="80"/>
      <c r="L481" s="80"/>
      <c r="M481" s="80"/>
      <c r="N481" s="80"/>
    </row>
    <row r="482">
      <c r="G482" s="80"/>
      <c r="H482" s="80"/>
      <c r="I482" s="80"/>
      <c r="J482" s="80"/>
      <c r="K482" s="80"/>
      <c r="L482" s="80"/>
      <c r="M482" s="80"/>
      <c r="N482" s="80"/>
    </row>
    <row r="483">
      <c r="G483" s="80"/>
      <c r="H483" s="80"/>
      <c r="I483" s="80"/>
      <c r="J483" s="80"/>
      <c r="K483" s="80"/>
      <c r="L483" s="80"/>
      <c r="M483" s="80"/>
      <c r="N483" s="80"/>
    </row>
    <row r="484">
      <c r="G484" s="80"/>
      <c r="H484" s="80"/>
      <c r="I484" s="80"/>
      <c r="J484" s="80"/>
      <c r="K484" s="80"/>
      <c r="L484" s="80"/>
      <c r="M484" s="80"/>
      <c r="N484" s="80"/>
    </row>
    <row r="485">
      <c r="G485" s="80"/>
      <c r="H485" s="80"/>
      <c r="I485" s="80"/>
      <c r="J485" s="80"/>
      <c r="K485" s="80"/>
      <c r="L485" s="80"/>
      <c r="M485" s="80"/>
      <c r="N485" s="80"/>
    </row>
    <row r="486">
      <c r="G486" s="80"/>
      <c r="H486" s="80"/>
      <c r="I486" s="80"/>
      <c r="J486" s="80"/>
      <c r="K486" s="80"/>
      <c r="L486" s="80"/>
      <c r="M486" s="80"/>
      <c r="N486" s="80"/>
    </row>
    <row r="487">
      <c r="G487" s="80"/>
      <c r="H487" s="80"/>
      <c r="I487" s="80"/>
      <c r="J487" s="80"/>
      <c r="K487" s="80"/>
      <c r="L487" s="80"/>
      <c r="M487" s="80"/>
      <c r="N487" s="80"/>
    </row>
    <row r="488">
      <c r="G488" s="80"/>
      <c r="H488" s="80"/>
      <c r="I488" s="80"/>
      <c r="J488" s="80"/>
      <c r="K488" s="80"/>
      <c r="L488" s="80"/>
      <c r="M488" s="80"/>
      <c r="N488" s="80"/>
    </row>
    <row r="489">
      <c r="G489" s="80"/>
      <c r="H489" s="80"/>
      <c r="I489" s="80"/>
      <c r="J489" s="80"/>
      <c r="K489" s="80"/>
      <c r="L489" s="80"/>
      <c r="M489" s="80"/>
      <c r="N489" s="80"/>
    </row>
    <row r="490">
      <c r="G490" s="80"/>
      <c r="H490" s="80"/>
      <c r="I490" s="80"/>
      <c r="J490" s="80"/>
      <c r="K490" s="80"/>
      <c r="L490" s="80"/>
      <c r="M490" s="80"/>
      <c r="N490" s="80"/>
    </row>
    <row r="491">
      <c r="G491" s="80"/>
      <c r="H491" s="80"/>
      <c r="I491" s="80"/>
      <c r="J491" s="80"/>
      <c r="K491" s="80"/>
      <c r="L491" s="80"/>
      <c r="M491" s="80"/>
      <c r="N491" s="80"/>
    </row>
    <row r="492">
      <c r="G492" s="80"/>
      <c r="H492" s="80"/>
      <c r="I492" s="80"/>
      <c r="J492" s="80"/>
      <c r="K492" s="80"/>
      <c r="L492" s="80"/>
      <c r="M492" s="80"/>
      <c r="N492" s="80"/>
    </row>
    <row r="493">
      <c r="G493" s="80"/>
      <c r="H493" s="80"/>
      <c r="I493" s="80"/>
      <c r="J493" s="80"/>
      <c r="K493" s="80"/>
      <c r="L493" s="80"/>
      <c r="M493" s="80"/>
      <c r="N493" s="80"/>
    </row>
    <row r="494">
      <c r="G494" s="80"/>
      <c r="H494" s="80"/>
      <c r="I494" s="80"/>
      <c r="J494" s="80"/>
      <c r="K494" s="80"/>
      <c r="L494" s="80"/>
      <c r="M494" s="80"/>
      <c r="N494" s="80"/>
    </row>
    <row r="495">
      <c r="G495" s="80"/>
      <c r="H495" s="80"/>
      <c r="I495" s="80"/>
      <c r="J495" s="80"/>
      <c r="K495" s="80"/>
      <c r="L495" s="80"/>
      <c r="M495" s="80"/>
      <c r="N495" s="80"/>
    </row>
    <row r="496">
      <c r="G496" s="80"/>
      <c r="H496" s="80"/>
      <c r="I496" s="80"/>
      <c r="J496" s="80"/>
      <c r="K496" s="80"/>
      <c r="L496" s="80"/>
      <c r="M496" s="80"/>
      <c r="N496" s="80"/>
    </row>
    <row r="497">
      <c r="G497" s="80"/>
      <c r="H497" s="80"/>
      <c r="I497" s="80"/>
      <c r="J497" s="80"/>
      <c r="K497" s="80"/>
      <c r="L497" s="80"/>
      <c r="M497" s="80"/>
      <c r="N497" s="80"/>
    </row>
    <row r="498">
      <c r="G498" s="80"/>
      <c r="H498" s="80"/>
      <c r="I498" s="80"/>
      <c r="J498" s="80"/>
      <c r="K498" s="80"/>
      <c r="L498" s="80"/>
      <c r="M498" s="80"/>
      <c r="N498" s="80"/>
    </row>
    <row r="499">
      <c r="G499" s="80"/>
      <c r="H499" s="80"/>
      <c r="I499" s="80"/>
      <c r="J499" s="80"/>
      <c r="K499" s="80"/>
      <c r="L499" s="80"/>
      <c r="M499" s="80"/>
      <c r="N499" s="80"/>
    </row>
    <row r="500">
      <c r="G500" s="80"/>
      <c r="H500" s="80"/>
      <c r="I500" s="80"/>
      <c r="J500" s="80"/>
      <c r="K500" s="80"/>
      <c r="L500" s="80"/>
      <c r="M500" s="80"/>
      <c r="N500" s="80"/>
    </row>
    <row r="501">
      <c r="G501" s="80"/>
      <c r="H501" s="80"/>
      <c r="I501" s="80"/>
      <c r="J501" s="80"/>
      <c r="K501" s="80"/>
      <c r="L501" s="80"/>
      <c r="M501" s="80"/>
      <c r="N501" s="80"/>
    </row>
    <row r="502">
      <c r="G502" s="80"/>
      <c r="H502" s="80"/>
      <c r="I502" s="80"/>
      <c r="J502" s="80"/>
      <c r="K502" s="80"/>
      <c r="L502" s="80"/>
      <c r="M502" s="80"/>
      <c r="N502" s="80"/>
    </row>
    <row r="503">
      <c r="G503" s="80"/>
      <c r="H503" s="80"/>
      <c r="I503" s="80"/>
      <c r="J503" s="80"/>
      <c r="K503" s="80"/>
      <c r="L503" s="80"/>
      <c r="M503" s="80"/>
      <c r="N503" s="80"/>
    </row>
    <row r="504">
      <c r="G504" s="80"/>
      <c r="H504" s="80"/>
      <c r="I504" s="80"/>
      <c r="J504" s="80"/>
      <c r="K504" s="80"/>
      <c r="L504" s="80"/>
      <c r="M504" s="80"/>
      <c r="N504" s="80"/>
    </row>
    <row r="505">
      <c r="G505" s="80"/>
      <c r="H505" s="80"/>
      <c r="I505" s="80"/>
      <c r="J505" s="80"/>
      <c r="K505" s="80"/>
      <c r="L505" s="80"/>
      <c r="M505" s="80"/>
      <c r="N505" s="80"/>
    </row>
    <row r="506">
      <c r="G506" s="80"/>
      <c r="H506" s="80"/>
      <c r="I506" s="80"/>
      <c r="J506" s="80"/>
      <c r="K506" s="80"/>
      <c r="L506" s="80"/>
      <c r="M506" s="80"/>
      <c r="N506" s="80"/>
    </row>
    <row r="507">
      <c r="G507" s="80"/>
      <c r="H507" s="80"/>
      <c r="I507" s="80"/>
      <c r="J507" s="80"/>
      <c r="K507" s="80"/>
      <c r="L507" s="80"/>
      <c r="M507" s="80"/>
      <c r="N507" s="80"/>
    </row>
    <row r="508">
      <c r="G508" s="80"/>
      <c r="H508" s="80"/>
      <c r="I508" s="80"/>
      <c r="J508" s="80"/>
      <c r="K508" s="80"/>
      <c r="L508" s="80"/>
      <c r="M508" s="80"/>
      <c r="N508" s="80"/>
    </row>
    <row r="509">
      <c r="G509" s="80"/>
      <c r="H509" s="80"/>
      <c r="I509" s="80"/>
      <c r="J509" s="80"/>
      <c r="K509" s="80"/>
      <c r="L509" s="80"/>
      <c r="M509" s="80"/>
      <c r="N509" s="80"/>
    </row>
    <row r="510">
      <c r="G510" s="80"/>
      <c r="H510" s="80"/>
      <c r="I510" s="80"/>
      <c r="J510" s="80"/>
      <c r="K510" s="80"/>
      <c r="L510" s="80"/>
      <c r="M510" s="80"/>
      <c r="N510" s="80"/>
    </row>
    <row r="511">
      <c r="G511" s="80"/>
      <c r="H511" s="80"/>
      <c r="I511" s="80"/>
      <c r="J511" s="80"/>
      <c r="K511" s="80"/>
      <c r="L511" s="80"/>
      <c r="M511" s="80"/>
      <c r="N511" s="80"/>
    </row>
    <row r="512">
      <c r="G512" s="80"/>
      <c r="H512" s="80"/>
      <c r="I512" s="80"/>
      <c r="J512" s="80"/>
      <c r="K512" s="80"/>
      <c r="L512" s="80"/>
      <c r="M512" s="80"/>
      <c r="N512" s="80"/>
    </row>
    <row r="513">
      <c r="G513" s="80"/>
      <c r="H513" s="80"/>
      <c r="I513" s="80"/>
      <c r="J513" s="80"/>
      <c r="K513" s="80"/>
      <c r="L513" s="80"/>
      <c r="M513" s="80"/>
      <c r="N513" s="80"/>
    </row>
    <row r="514">
      <c r="G514" s="80"/>
      <c r="H514" s="80"/>
      <c r="I514" s="80"/>
      <c r="J514" s="80"/>
      <c r="K514" s="80"/>
      <c r="L514" s="80"/>
      <c r="M514" s="80"/>
      <c r="N514" s="80"/>
    </row>
    <row r="515">
      <c r="G515" s="80"/>
      <c r="H515" s="80"/>
      <c r="I515" s="80"/>
      <c r="J515" s="80"/>
      <c r="K515" s="80"/>
      <c r="L515" s="80"/>
      <c r="M515" s="80"/>
      <c r="N515" s="80"/>
    </row>
    <row r="516">
      <c r="G516" s="80"/>
      <c r="H516" s="80"/>
      <c r="I516" s="80"/>
      <c r="J516" s="80"/>
      <c r="K516" s="80"/>
      <c r="L516" s="80"/>
      <c r="M516" s="80"/>
      <c r="N516" s="80"/>
    </row>
    <row r="517">
      <c r="G517" s="80"/>
      <c r="H517" s="80"/>
      <c r="I517" s="80"/>
      <c r="J517" s="80"/>
      <c r="K517" s="80"/>
      <c r="L517" s="80"/>
      <c r="M517" s="80"/>
      <c r="N517" s="80"/>
    </row>
    <row r="518">
      <c r="G518" s="80"/>
      <c r="H518" s="80"/>
      <c r="I518" s="80"/>
      <c r="J518" s="80"/>
      <c r="K518" s="80"/>
      <c r="L518" s="80"/>
      <c r="M518" s="80"/>
      <c r="N518" s="80"/>
    </row>
    <row r="519">
      <c r="G519" s="80"/>
      <c r="H519" s="80"/>
      <c r="I519" s="80"/>
      <c r="J519" s="80"/>
      <c r="K519" s="80"/>
      <c r="L519" s="80"/>
      <c r="M519" s="80"/>
      <c r="N519" s="80"/>
    </row>
    <row r="520">
      <c r="G520" s="80"/>
      <c r="H520" s="80"/>
      <c r="I520" s="80"/>
      <c r="J520" s="80"/>
      <c r="K520" s="80"/>
      <c r="L520" s="80"/>
      <c r="M520" s="80"/>
      <c r="N520" s="80"/>
    </row>
    <row r="521">
      <c r="G521" s="80"/>
      <c r="H521" s="80"/>
      <c r="I521" s="80"/>
      <c r="J521" s="80"/>
      <c r="K521" s="80"/>
      <c r="L521" s="80"/>
      <c r="M521" s="80"/>
      <c r="N521" s="80"/>
    </row>
    <row r="522">
      <c r="G522" s="80"/>
      <c r="H522" s="80"/>
      <c r="I522" s="80"/>
      <c r="J522" s="80"/>
      <c r="K522" s="80"/>
      <c r="L522" s="80"/>
      <c r="M522" s="80"/>
      <c r="N522" s="80"/>
    </row>
    <row r="523">
      <c r="G523" s="80"/>
      <c r="H523" s="80"/>
      <c r="I523" s="80"/>
      <c r="J523" s="80"/>
      <c r="K523" s="80"/>
      <c r="L523" s="80"/>
      <c r="M523" s="80"/>
      <c r="N523" s="80"/>
    </row>
    <row r="524">
      <c r="G524" s="80"/>
      <c r="H524" s="80"/>
      <c r="I524" s="80"/>
      <c r="J524" s="80"/>
      <c r="K524" s="80"/>
      <c r="L524" s="80"/>
      <c r="M524" s="80"/>
      <c r="N524" s="80"/>
    </row>
    <row r="525">
      <c r="G525" s="80"/>
      <c r="H525" s="80"/>
      <c r="I525" s="80"/>
      <c r="J525" s="80"/>
      <c r="K525" s="80"/>
      <c r="L525" s="80"/>
      <c r="M525" s="80"/>
      <c r="N525" s="80"/>
    </row>
    <row r="526">
      <c r="G526" s="80"/>
      <c r="H526" s="80"/>
      <c r="I526" s="80"/>
      <c r="J526" s="80"/>
      <c r="K526" s="80"/>
      <c r="L526" s="80"/>
      <c r="M526" s="80"/>
      <c r="N526" s="80"/>
    </row>
    <row r="527">
      <c r="G527" s="80"/>
      <c r="H527" s="80"/>
      <c r="I527" s="80"/>
      <c r="J527" s="80"/>
      <c r="K527" s="80"/>
      <c r="L527" s="80"/>
      <c r="M527" s="80"/>
      <c r="N527" s="80"/>
    </row>
    <row r="528">
      <c r="G528" s="80"/>
      <c r="H528" s="80"/>
      <c r="I528" s="80"/>
      <c r="J528" s="80"/>
      <c r="K528" s="80"/>
      <c r="L528" s="80"/>
      <c r="M528" s="80"/>
      <c r="N528" s="80"/>
    </row>
    <row r="529">
      <c r="G529" s="80"/>
      <c r="H529" s="80"/>
      <c r="I529" s="80"/>
      <c r="J529" s="80"/>
      <c r="K529" s="80"/>
      <c r="L529" s="80"/>
      <c r="M529" s="80"/>
      <c r="N529" s="80"/>
    </row>
    <row r="530">
      <c r="G530" s="80"/>
      <c r="H530" s="80"/>
      <c r="I530" s="80"/>
      <c r="J530" s="80"/>
      <c r="K530" s="80"/>
      <c r="L530" s="80"/>
      <c r="M530" s="80"/>
      <c r="N530" s="80"/>
    </row>
    <row r="531">
      <c r="G531" s="80"/>
      <c r="H531" s="80"/>
      <c r="I531" s="80"/>
      <c r="J531" s="80"/>
      <c r="K531" s="80"/>
      <c r="L531" s="80"/>
      <c r="M531" s="80"/>
      <c r="N531" s="80"/>
    </row>
    <row r="532">
      <c r="G532" s="80"/>
      <c r="H532" s="80"/>
      <c r="I532" s="80"/>
      <c r="J532" s="80"/>
      <c r="K532" s="80"/>
      <c r="L532" s="80"/>
      <c r="M532" s="80"/>
      <c r="N532" s="80"/>
    </row>
    <row r="533">
      <c r="G533" s="80"/>
      <c r="H533" s="80"/>
      <c r="I533" s="80"/>
      <c r="J533" s="80"/>
      <c r="K533" s="80"/>
      <c r="L533" s="80"/>
      <c r="M533" s="80"/>
      <c r="N533" s="80"/>
    </row>
    <row r="534">
      <c r="G534" s="80"/>
      <c r="H534" s="80"/>
      <c r="I534" s="80"/>
      <c r="J534" s="80"/>
      <c r="K534" s="80"/>
      <c r="L534" s="80"/>
      <c r="M534" s="80"/>
      <c r="N534" s="80"/>
    </row>
    <row r="535">
      <c r="G535" s="80"/>
      <c r="H535" s="80"/>
      <c r="I535" s="80"/>
      <c r="J535" s="80"/>
      <c r="K535" s="80"/>
      <c r="L535" s="80"/>
      <c r="M535" s="80"/>
      <c r="N535" s="80"/>
    </row>
    <row r="536">
      <c r="G536" s="80"/>
      <c r="H536" s="80"/>
      <c r="I536" s="80"/>
      <c r="J536" s="80"/>
      <c r="K536" s="80"/>
      <c r="L536" s="80"/>
      <c r="M536" s="80"/>
      <c r="N536" s="80"/>
    </row>
    <row r="537">
      <c r="G537" s="80"/>
      <c r="H537" s="80"/>
      <c r="I537" s="80"/>
      <c r="J537" s="80"/>
      <c r="K537" s="80"/>
      <c r="L537" s="80"/>
      <c r="M537" s="80"/>
      <c r="N537" s="80"/>
    </row>
    <row r="538">
      <c r="G538" s="80"/>
      <c r="H538" s="80"/>
      <c r="I538" s="80"/>
      <c r="J538" s="80"/>
      <c r="K538" s="80"/>
      <c r="L538" s="80"/>
      <c r="M538" s="80"/>
      <c r="N538" s="80"/>
    </row>
    <row r="539">
      <c r="G539" s="80"/>
      <c r="H539" s="80"/>
      <c r="I539" s="80"/>
      <c r="J539" s="80"/>
      <c r="K539" s="80"/>
      <c r="L539" s="80"/>
      <c r="M539" s="80"/>
      <c r="N539" s="80"/>
    </row>
    <row r="540">
      <c r="G540" s="80"/>
      <c r="H540" s="80"/>
      <c r="I540" s="80"/>
      <c r="J540" s="80"/>
      <c r="K540" s="80"/>
      <c r="L540" s="80"/>
      <c r="M540" s="80"/>
      <c r="N540" s="80"/>
    </row>
    <row r="541">
      <c r="G541" s="80"/>
      <c r="H541" s="80"/>
      <c r="I541" s="80"/>
      <c r="J541" s="80"/>
      <c r="K541" s="80"/>
      <c r="L541" s="80"/>
      <c r="M541" s="80"/>
      <c r="N541" s="80"/>
    </row>
    <row r="542">
      <c r="G542" s="80"/>
      <c r="H542" s="80"/>
      <c r="I542" s="80"/>
      <c r="J542" s="80"/>
      <c r="K542" s="80"/>
      <c r="L542" s="80"/>
      <c r="M542" s="80"/>
      <c r="N542" s="80"/>
    </row>
    <row r="543">
      <c r="G543" s="80"/>
      <c r="H543" s="80"/>
      <c r="I543" s="80"/>
      <c r="J543" s="80"/>
      <c r="K543" s="80"/>
      <c r="L543" s="80"/>
      <c r="M543" s="80"/>
      <c r="N543" s="80"/>
    </row>
    <row r="544">
      <c r="G544" s="80"/>
      <c r="H544" s="80"/>
      <c r="I544" s="80"/>
      <c r="J544" s="80"/>
      <c r="K544" s="80"/>
      <c r="L544" s="80"/>
      <c r="M544" s="80"/>
      <c r="N544" s="80"/>
    </row>
    <row r="545">
      <c r="G545" s="80"/>
      <c r="H545" s="80"/>
      <c r="I545" s="80"/>
      <c r="J545" s="80"/>
      <c r="K545" s="80"/>
      <c r="L545" s="80"/>
      <c r="M545" s="80"/>
      <c r="N545" s="80"/>
    </row>
    <row r="546">
      <c r="G546" s="80"/>
      <c r="H546" s="80"/>
      <c r="I546" s="80"/>
      <c r="J546" s="80"/>
      <c r="K546" s="80"/>
      <c r="L546" s="80"/>
      <c r="M546" s="80"/>
      <c r="N546" s="80"/>
    </row>
    <row r="547">
      <c r="G547" s="80"/>
      <c r="H547" s="80"/>
      <c r="I547" s="80"/>
      <c r="J547" s="80"/>
      <c r="K547" s="80"/>
      <c r="L547" s="80"/>
      <c r="M547" s="80"/>
      <c r="N547" s="80"/>
    </row>
    <row r="548">
      <c r="G548" s="80"/>
      <c r="H548" s="80"/>
      <c r="I548" s="80"/>
      <c r="J548" s="80"/>
      <c r="K548" s="80"/>
      <c r="L548" s="80"/>
      <c r="M548" s="80"/>
      <c r="N548" s="80"/>
    </row>
    <row r="549">
      <c r="G549" s="80"/>
      <c r="H549" s="80"/>
      <c r="I549" s="80"/>
      <c r="J549" s="80"/>
      <c r="K549" s="80"/>
      <c r="L549" s="80"/>
      <c r="M549" s="80"/>
      <c r="N549" s="80"/>
    </row>
    <row r="550">
      <c r="G550" s="80"/>
      <c r="H550" s="80"/>
      <c r="I550" s="80"/>
      <c r="J550" s="80"/>
      <c r="K550" s="80"/>
      <c r="L550" s="80"/>
      <c r="M550" s="80"/>
      <c r="N550" s="80"/>
    </row>
    <row r="551">
      <c r="G551" s="80"/>
      <c r="H551" s="80"/>
      <c r="I551" s="80"/>
      <c r="J551" s="80"/>
      <c r="K551" s="80"/>
      <c r="L551" s="80"/>
      <c r="M551" s="80"/>
      <c r="N551" s="80"/>
    </row>
    <row r="552">
      <c r="G552" s="80"/>
      <c r="H552" s="80"/>
      <c r="I552" s="80"/>
      <c r="J552" s="80"/>
      <c r="K552" s="80"/>
      <c r="L552" s="80"/>
      <c r="M552" s="80"/>
      <c r="N552" s="80"/>
    </row>
    <row r="553">
      <c r="G553" s="80"/>
      <c r="H553" s="80"/>
      <c r="I553" s="80"/>
      <c r="J553" s="80"/>
      <c r="K553" s="80"/>
      <c r="L553" s="80"/>
      <c r="M553" s="80"/>
      <c r="N553" s="80"/>
    </row>
    <row r="554">
      <c r="G554" s="80"/>
      <c r="H554" s="80"/>
      <c r="I554" s="80"/>
      <c r="J554" s="80"/>
      <c r="K554" s="80"/>
      <c r="L554" s="80"/>
      <c r="M554" s="80"/>
      <c r="N554" s="80"/>
    </row>
    <row r="555">
      <c r="G555" s="80"/>
      <c r="H555" s="80"/>
      <c r="I555" s="80"/>
      <c r="J555" s="80"/>
      <c r="K555" s="80"/>
      <c r="L555" s="80"/>
      <c r="M555" s="80"/>
      <c r="N555" s="80"/>
    </row>
    <row r="556">
      <c r="G556" s="80"/>
      <c r="H556" s="80"/>
      <c r="I556" s="80"/>
      <c r="J556" s="80"/>
      <c r="K556" s="80"/>
      <c r="L556" s="80"/>
      <c r="M556" s="80"/>
      <c r="N556" s="80"/>
    </row>
    <row r="557">
      <c r="G557" s="80"/>
      <c r="H557" s="80"/>
      <c r="I557" s="80"/>
      <c r="J557" s="80"/>
      <c r="K557" s="80"/>
      <c r="L557" s="80"/>
      <c r="M557" s="80"/>
      <c r="N557" s="80"/>
    </row>
    <row r="558">
      <c r="G558" s="80"/>
      <c r="H558" s="80"/>
      <c r="I558" s="80"/>
      <c r="J558" s="80"/>
      <c r="K558" s="80"/>
      <c r="L558" s="80"/>
      <c r="M558" s="80"/>
      <c r="N558" s="80"/>
    </row>
    <row r="559">
      <c r="G559" s="80"/>
      <c r="H559" s="80"/>
      <c r="I559" s="80"/>
      <c r="J559" s="80"/>
      <c r="K559" s="80"/>
      <c r="L559" s="80"/>
      <c r="M559" s="80"/>
      <c r="N559" s="80"/>
    </row>
    <row r="560">
      <c r="G560" s="80"/>
      <c r="H560" s="80"/>
      <c r="I560" s="80"/>
      <c r="J560" s="80"/>
      <c r="K560" s="80"/>
      <c r="L560" s="80"/>
      <c r="M560" s="80"/>
      <c r="N560" s="80"/>
    </row>
    <row r="561">
      <c r="G561" s="80"/>
      <c r="H561" s="80"/>
      <c r="I561" s="80"/>
      <c r="J561" s="80"/>
      <c r="K561" s="80"/>
      <c r="L561" s="80"/>
      <c r="M561" s="80"/>
      <c r="N561" s="80"/>
    </row>
    <row r="562">
      <c r="G562" s="80"/>
      <c r="H562" s="80"/>
      <c r="I562" s="80"/>
      <c r="J562" s="80"/>
      <c r="K562" s="80"/>
      <c r="L562" s="80"/>
      <c r="M562" s="80"/>
      <c r="N562" s="80"/>
    </row>
    <row r="563">
      <c r="G563" s="80"/>
      <c r="H563" s="80"/>
      <c r="I563" s="80"/>
      <c r="J563" s="80"/>
      <c r="K563" s="80"/>
      <c r="L563" s="80"/>
      <c r="M563" s="80"/>
      <c r="N563" s="80"/>
    </row>
    <row r="564">
      <c r="G564" s="80"/>
      <c r="H564" s="80"/>
      <c r="I564" s="80"/>
      <c r="J564" s="80"/>
      <c r="K564" s="80"/>
      <c r="L564" s="80"/>
      <c r="M564" s="80"/>
      <c r="N564" s="80"/>
    </row>
    <row r="565">
      <c r="G565" s="80"/>
      <c r="H565" s="80"/>
      <c r="I565" s="80"/>
      <c r="J565" s="80"/>
      <c r="K565" s="80"/>
      <c r="L565" s="80"/>
      <c r="M565" s="80"/>
      <c r="N565" s="80"/>
    </row>
    <row r="566">
      <c r="G566" s="80"/>
      <c r="H566" s="80"/>
      <c r="I566" s="80"/>
      <c r="J566" s="80"/>
      <c r="K566" s="80"/>
      <c r="L566" s="80"/>
      <c r="M566" s="80"/>
      <c r="N566" s="80"/>
    </row>
    <row r="567">
      <c r="G567" s="80"/>
      <c r="H567" s="80"/>
      <c r="I567" s="80"/>
      <c r="J567" s="80"/>
      <c r="K567" s="80"/>
      <c r="L567" s="80"/>
      <c r="M567" s="80"/>
      <c r="N567" s="80"/>
    </row>
    <row r="568">
      <c r="G568" s="80"/>
      <c r="H568" s="80"/>
      <c r="I568" s="80"/>
      <c r="J568" s="80"/>
      <c r="K568" s="80"/>
      <c r="L568" s="80"/>
      <c r="M568" s="80"/>
      <c r="N568" s="80"/>
    </row>
    <row r="569">
      <c r="G569" s="80"/>
      <c r="H569" s="80"/>
      <c r="I569" s="80"/>
      <c r="J569" s="80"/>
      <c r="K569" s="80"/>
      <c r="L569" s="80"/>
      <c r="M569" s="80"/>
      <c r="N569" s="80"/>
    </row>
    <row r="570">
      <c r="G570" s="80"/>
      <c r="H570" s="80"/>
      <c r="I570" s="80"/>
      <c r="J570" s="80"/>
      <c r="K570" s="80"/>
      <c r="L570" s="80"/>
      <c r="M570" s="80"/>
      <c r="N570" s="80"/>
    </row>
    <row r="571">
      <c r="G571" s="80"/>
      <c r="H571" s="80"/>
      <c r="I571" s="80"/>
      <c r="J571" s="80"/>
      <c r="K571" s="80"/>
      <c r="L571" s="80"/>
      <c r="M571" s="80"/>
      <c r="N571" s="80"/>
    </row>
    <row r="572">
      <c r="G572" s="80"/>
      <c r="H572" s="80"/>
      <c r="I572" s="80"/>
      <c r="J572" s="80"/>
      <c r="K572" s="80"/>
      <c r="L572" s="80"/>
      <c r="M572" s="80"/>
      <c r="N572" s="80"/>
    </row>
    <row r="573">
      <c r="G573" s="80"/>
      <c r="H573" s="80"/>
      <c r="I573" s="80"/>
      <c r="J573" s="80"/>
      <c r="K573" s="80"/>
      <c r="L573" s="80"/>
      <c r="M573" s="80"/>
      <c r="N573" s="80"/>
    </row>
    <row r="574">
      <c r="G574" s="80"/>
      <c r="H574" s="80"/>
      <c r="I574" s="80"/>
      <c r="J574" s="80"/>
      <c r="K574" s="80"/>
      <c r="L574" s="80"/>
      <c r="M574" s="80"/>
      <c r="N574" s="80"/>
    </row>
    <row r="575">
      <c r="G575" s="80"/>
      <c r="H575" s="80"/>
      <c r="I575" s="80"/>
      <c r="J575" s="80"/>
      <c r="K575" s="80"/>
      <c r="L575" s="80"/>
      <c r="M575" s="80"/>
      <c r="N575" s="80"/>
    </row>
    <row r="576">
      <c r="G576" s="80"/>
      <c r="H576" s="80"/>
      <c r="I576" s="80"/>
      <c r="J576" s="80"/>
      <c r="K576" s="80"/>
      <c r="L576" s="80"/>
      <c r="M576" s="80"/>
      <c r="N576" s="80"/>
    </row>
    <row r="577">
      <c r="G577" s="80"/>
      <c r="H577" s="80"/>
      <c r="I577" s="80"/>
      <c r="J577" s="80"/>
      <c r="K577" s="80"/>
      <c r="L577" s="80"/>
      <c r="M577" s="80"/>
      <c r="N577" s="80"/>
    </row>
    <row r="578">
      <c r="G578" s="80"/>
      <c r="H578" s="80"/>
      <c r="I578" s="80"/>
      <c r="J578" s="80"/>
      <c r="K578" s="80"/>
      <c r="L578" s="80"/>
      <c r="M578" s="80"/>
      <c r="N578" s="80"/>
    </row>
    <row r="579">
      <c r="G579" s="80"/>
      <c r="H579" s="80"/>
      <c r="I579" s="80"/>
      <c r="J579" s="80"/>
      <c r="K579" s="80"/>
      <c r="L579" s="80"/>
      <c r="M579" s="80"/>
      <c r="N579" s="80"/>
    </row>
    <row r="580">
      <c r="G580" s="80"/>
      <c r="H580" s="80"/>
      <c r="I580" s="80"/>
      <c r="J580" s="80"/>
      <c r="K580" s="80"/>
      <c r="L580" s="80"/>
      <c r="M580" s="80"/>
      <c r="N580" s="80"/>
    </row>
    <row r="581">
      <c r="G581" s="80"/>
      <c r="H581" s="80"/>
      <c r="I581" s="80"/>
      <c r="J581" s="80"/>
      <c r="K581" s="80"/>
      <c r="L581" s="80"/>
      <c r="M581" s="80"/>
      <c r="N581" s="80"/>
    </row>
    <row r="582">
      <c r="G582" s="80"/>
      <c r="H582" s="80"/>
      <c r="I582" s="80"/>
      <c r="J582" s="80"/>
      <c r="K582" s="80"/>
      <c r="L582" s="80"/>
      <c r="M582" s="80"/>
      <c r="N582" s="80"/>
    </row>
    <row r="583">
      <c r="G583" s="80"/>
      <c r="H583" s="80"/>
      <c r="I583" s="80"/>
      <c r="J583" s="80"/>
      <c r="K583" s="80"/>
      <c r="L583" s="80"/>
      <c r="M583" s="80"/>
      <c r="N583" s="80"/>
    </row>
    <row r="584">
      <c r="G584" s="80"/>
      <c r="H584" s="80"/>
      <c r="I584" s="80"/>
      <c r="J584" s="80"/>
      <c r="K584" s="80"/>
      <c r="L584" s="80"/>
      <c r="M584" s="80"/>
      <c r="N584" s="80"/>
    </row>
    <row r="585">
      <c r="G585" s="80"/>
      <c r="H585" s="80"/>
      <c r="I585" s="80"/>
      <c r="J585" s="80"/>
      <c r="K585" s="80"/>
      <c r="L585" s="80"/>
      <c r="M585" s="80"/>
      <c r="N585" s="80"/>
    </row>
    <row r="586">
      <c r="G586" s="80"/>
      <c r="H586" s="80"/>
      <c r="I586" s="80"/>
      <c r="J586" s="80"/>
      <c r="K586" s="80"/>
      <c r="L586" s="80"/>
      <c r="M586" s="80"/>
      <c r="N586" s="80"/>
    </row>
    <row r="587">
      <c r="G587" s="80"/>
      <c r="H587" s="80"/>
      <c r="I587" s="80"/>
      <c r="J587" s="80"/>
      <c r="K587" s="80"/>
      <c r="L587" s="80"/>
      <c r="M587" s="80"/>
      <c r="N587" s="80"/>
    </row>
    <row r="588">
      <c r="G588" s="80"/>
      <c r="H588" s="80"/>
      <c r="I588" s="80"/>
      <c r="J588" s="80"/>
      <c r="K588" s="80"/>
      <c r="L588" s="80"/>
      <c r="M588" s="80"/>
      <c r="N588" s="80"/>
    </row>
    <row r="589">
      <c r="G589" s="80"/>
      <c r="H589" s="80"/>
      <c r="I589" s="80"/>
      <c r="J589" s="80"/>
      <c r="K589" s="80"/>
      <c r="L589" s="80"/>
      <c r="M589" s="80"/>
      <c r="N589" s="80"/>
    </row>
    <row r="590">
      <c r="G590" s="80"/>
      <c r="H590" s="80"/>
      <c r="I590" s="80"/>
      <c r="J590" s="80"/>
      <c r="K590" s="80"/>
      <c r="L590" s="80"/>
      <c r="M590" s="80"/>
      <c r="N590" s="80"/>
    </row>
    <row r="591">
      <c r="G591" s="80"/>
      <c r="H591" s="80"/>
      <c r="I591" s="80"/>
      <c r="J591" s="80"/>
      <c r="K591" s="80"/>
      <c r="L591" s="80"/>
      <c r="M591" s="80"/>
      <c r="N591" s="80"/>
    </row>
    <row r="592">
      <c r="G592" s="80"/>
      <c r="H592" s="80"/>
      <c r="I592" s="80"/>
      <c r="J592" s="80"/>
      <c r="K592" s="80"/>
      <c r="L592" s="80"/>
      <c r="M592" s="80"/>
      <c r="N592" s="80"/>
    </row>
    <row r="593">
      <c r="G593" s="80"/>
      <c r="H593" s="80"/>
      <c r="I593" s="80"/>
      <c r="J593" s="80"/>
      <c r="K593" s="80"/>
      <c r="L593" s="80"/>
      <c r="M593" s="80"/>
      <c r="N593" s="80"/>
    </row>
    <row r="594">
      <c r="G594" s="80"/>
      <c r="H594" s="80"/>
      <c r="I594" s="80"/>
      <c r="J594" s="80"/>
      <c r="K594" s="80"/>
      <c r="L594" s="80"/>
      <c r="M594" s="80"/>
      <c r="N594" s="80"/>
    </row>
    <row r="595">
      <c r="G595" s="80"/>
      <c r="H595" s="80"/>
      <c r="I595" s="80"/>
      <c r="J595" s="80"/>
      <c r="K595" s="80"/>
      <c r="L595" s="80"/>
      <c r="M595" s="80"/>
      <c r="N595" s="80"/>
    </row>
    <row r="596">
      <c r="G596" s="80"/>
      <c r="H596" s="80"/>
      <c r="I596" s="80"/>
      <c r="J596" s="80"/>
      <c r="K596" s="80"/>
      <c r="L596" s="80"/>
      <c r="M596" s="80"/>
      <c r="N596" s="80"/>
    </row>
    <row r="597">
      <c r="G597" s="80"/>
      <c r="H597" s="80"/>
      <c r="I597" s="80"/>
      <c r="J597" s="80"/>
      <c r="K597" s="80"/>
      <c r="L597" s="80"/>
      <c r="M597" s="80"/>
      <c r="N597" s="80"/>
    </row>
    <row r="598">
      <c r="G598" s="80"/>
      <c r="H598" s="80"/>
      <c r="I598" s="80"/>
      <c r="J598" s="80"/>
      <c r="K598" s="80"/>
      <c r="L598" s="80"/>
      <c r="M598" s="80"/>
      <c r="N598" s="80"/>
    </row>
    <row r="599">
      <c r="G599" s="80"/>
      <c r="H599" s="80"/>
      <c r="I599" s="80"/>
      <c r="J599" s="80"/>
      <c r="K599" s="80"/>
      <c r="L599" s="80"/>
      <c r="M599" s="80"/>
      <c r="N599" s="80"/>
    </row>
    <row r="600">
      <c r="G600" s="80"/>
      <c r="H600" s="80"/>
      <c r="I600" s="80"/>
      <c r="J600" s="80"/>
      <c r="K600" s="80"/>
      <c r="L600" s="80"/>
      <c r="M600" s="80"/>
      <c r="N600" s="80"/>
    </row>
    <row r="601">
      <c r="G601" s="80"/>
      <c r="H601" s="80"/>
      <c r="I601" s="80"/>
      <c r="J601" s="80"/>
      <c r="K601" s="80"/>
      <c r="L601" s="80"/>
      <c r="M601" s="80"/>
      <c r="N601" s="80"/>
    </row>
    <row r="602">
      <c r="G602" s="80"/>
      <c r="H602" s="80"/>
      <c r="I602" s="80"/>
      <c r="J602" s="80"/>
      <c r="K602" s="80"/>
      <c r="L602" s="80"/>
      <c r="M602" s="80"/>
      <c r="N602" s="80"/>
    </row>
    <row r="603">
      <c r="G603" s="80"/>
      <c r="H603" s="80"/>
      <c r="I603" s="80"/>
      <c r="J603" s="80"/>
      <c r="K603" s="80"/>
      <c r="L603" s="80"/>
      <c r="M603" s="80"/>
      <c r="N603" s="80"/>
    </row>
    <row r="604">
      <c r="G604" s="80"/>
      <c r="H604" s="80"/>
      <c r="I604" s="80"/>
      <c r="J604" s="80"/>
      <c r="K604" s="80"/>
      <c r="L604" s="80"/>
      <c r="M604" s="80"/>
      <c r="N604" s="80"/>
    </row>
    <row r="605">
      <c r="G605" s="80"/>
      <c r="H605" s="80"/>
      <c r="I605" s="80"/>
      <c r="J605" s="80"/>
      <c r="K605" s="80"/>
      <c r="L605" s="80"/>
      <c r="M605" s="80"/>
      <c r="N605" s="80"/>
    </row>
    <row r="606">
      <c r="G606" s="80"/>
      <c r="H606" s="80"/>
      <c r="I606" s="80"/>
      <c r="J606" s="80"/>
      <c r="K606" s="80"/>
      <c r="L606" s="80"/>
      <c r="M606" s="80"/>
      <c r="N606" s="80"/>
    </row>
    <row r="607">
      <c r="G607" s="80"/>
      <c r="H607" s="80"/>
      <c r="I607" s="80"/>
      <c r="J607" s="80"/>
      <c r="K607" s="80"/>
      <c r="L607" s="80"/>
      <c r="M607" s="80"/>
      <c r="N607" s="80"/>
    </row>
    <row r="608">
      <c r="G608" s="80"/>
      <c r="H608" s="80"/>
      <c r="I608" s="80"/>
      <c r="J608" s="80"/>
      <c r="K608" s="80"/>
      <c r="L608" s="80"/>
      <c r="M608" s="80"/>
      <c r="N608" s="80"/>
    </row>
    <row r="609">
      <c r="G609" s="80"/>
      <c r="H609" s="80"/>
      <c r="I609" s="80"/>
      <c r="J609" s="80"/>
      <c r="K609" s="80"/>
      <c r="L609" s="80"/>
      <c r="M609" s="80"/>
      <c r="N609" s="80"/>
    </row>
    <row r="610">
      <c r="G610" s="80"/>
      <c r="H610" s="80"/>
      <c r="I610" s="80"/>
      <c r="J610" s="80"/>
      <c r="K610" s="80"/>
      <c r="L610" s="80"/>
      <c r="M610" s="80"/>
      <c r="N610" s="80"/>
    </row>
    <row r="611">
      <c r="G611" s="80"/>
      <c r="H611" s="80"/>
      <c r="I611" s="80"/>
      <c r="J611" s="80"/>
      <c r="K611" s="80"/>
      <c r="L611" s="80"/>
      <c r="M611" s="80"/>
      <c r="N611" s="80"/>
    </row>
    <row r="612">
      <c r="G612" s="80"/>
      <c r="H612" s="80"/>
      <c r="I612" s="80"/>
      <c r="J612" s="80"/>
      <c r="K612" s="80"/>
      <c r="L612" s="80"/>
      <c r="M612" s="80"/>
      <c r="N612" s="80"/>
    </row>
    <row r="613">
      <c r="G613" s="80"/>
      <c r="H613" s="80"/>
      <c r="I613" s="80"/>
      <c r="J613" s="80"/>
      <c r="K613" s="80"/>
      <c r="L613" s="80"/>
      <c r="M613" s="80"/>
      <c r="N613" s="80"/>
    </row>
    <row r="614">
      <c r="G614" s="80"/>
      <c r="H614" s="80"/>
      <c r="I614" s="80"/>
      <c r="J614" s="80"/>
      <c r="K614" s="80"/>
      <c r="L614" s="80"/>
      <c r="M614" s="80"/>
      <c r="N614" s="80"/>
    </row>
    <row r="615">
      <c r="G615" s="80"/>
      <c r="H615" s="80"/>
      <c r="I615" s="80"/>
      <c r="J615" s="80"/>
      <c r="K615" s="80"/>
      <c r="L615" s="80"/>
      <c r="M615" s="80"/>
      <c r="N615" s="80"/>
    </row>
    <row r="616">
      <c r="G616" s="80"/>
      <c r="H616" s="80"/>
      <c r="I616" s="80"/>
      <c r="J616" s="80"/>
      <c r="K616" s="80"/>
      <c r="L616" s="80"/>
      <c r="M616" s="80"/>
      <c r="N616" s="80"/>
    </row>
    <row r="617">
      <c r="G617" s="80"/>
      <c r="H617" s="80"/>
      <c r="I617" s="80"/>
      <c r="J617" s="80"/>
      <c r="K617" s="80"/>
      <c r="L617" s="80"/>
      <c r="M617" s="80"/>
      <c r="N617" s="80"/>
    </row>
    <row r="618">
      <c r="G618" s="80"/>
      <c r="H618" s="80"/>
      <c r="I618" s="80"/>
      <c r="J618" s="80"/>
      <c r="K618" s="80"/>
      <c r="L618" s="80"/>
      <c r="M618" s="80"/>
      <c r="N618" s="80"/>
    </row>
    <row r="619">
      <c r="G619" s="80"/>
      <c r="H619" s="80"/>
      <c r="I619" s="80"/>
      <c r="J619" s="80"/>
      <c r="K619" s="80"/>
      <c r="L619" s="80"/>
      <c r="M619" s="80"/>
      <c r="N619" s="80"/>
    </row>
    <row r="620">
      <c r="G620" s="80"/>
      <c r="H620" s="80"/>
      <c r="I620" s="80"/>
      <c r="J620" s="80"/>
      <c r="K620" s="80"/>
      <c r="L620" s="80"/>
      <c r="M620" s="80"/>
      <c r="N620" s="80"/>
    </row>
    <row r="621">
      <c r="G621" s="80"/>
      <c r="H621" s="80"/>
      <c r="I621" s="80"/>
      <c r="J621" s="80"/>
      <c r="K621" s="80"/>
      <c r="L621" s="80"/>
      <c r="M621" s="80"/>
      <c r="N621" s="80"/>
    </row>
    <row r="622">
      <c r="G622" s="80"/>
      <c r="H622" s="80"/>
      <c r="I622" s="80"/>
      <c r="J622" s="80"/>
      <c r="K622" s="80"/>
      <c r="L622" s="80"/>
      <c r="M622" s="80"/>
      <c r="N622" s="80"/>
    </row>
    <row r="623">
      <c r="G623" s="80"/>
      <c r="H623" s="80"/>
      <c r="I623" s="80"/>
      <c r="J623" s="80"/>
      <c r="K623" s="80"/>
      <c r="L623" s="80"/>
      <c r="M623" s="80"/>
      <c r="N623" s="80"/>
    </row>
    <row r="624">
      <c r="G624" s="80"/>
      <c r="H624" s="80"/>
      <c r="I624" s="80"/>
      <c r="J624" s="80"/>
      <c r="K624" s="80"/>
      <c r="L624" s="80"/>
      <c r="M624" s="80"/>
      <c r="N624" s="80"/>
    </row>
    <row r="625">
      <c r="G625" s="80"/>
      <c r="H625" s="80"/>
      <c r="I625" s="80"/>
      <c r="J625" s="80"/>
      <c r="K625" s="80"/>
      <c r="L625" s="80"/>
      <c r="M625" s="80"/>
      <c r="N625" s="80"/>
    </row>
    <row r="626">
      <c r="G626" s="80"/>
      <c r="H626" s="80"/>
      <c r="I626" s="80"/>
      <c r="J626" s="80"/>
      <c r="K626" s="80"/>
      <c r="L626" s="80"/>
      <c r="M626" s="80"/>
      <c r="N626" s="80"/>
    </row>
    <row r="627">
      <c r="G627" s="80"/>
      <c r="H627" s="80"/>
      <c r="I627" s="80"/>
      <c r="J627" s="80"/>
      <c r="K627" s="80"/>
      <c r="L627" s="80"/>
      <c r="M627" s="80"/>
      <c r="N627" s="80"/>
    </row>
    <row r="628">
      <c r="G628" s="80"/>
      <c r="H628" s="80"/>
      <c r="I628" s="80"/>
      <c r="J628" s="80"/>
      <c r="K628" s="80"/>
      <c r="L628" s="80"/>
      <c r="M628" s="80"/>
      <c r="N628" s="80"/>
    </row>
    <row r="629">
      <c r="G629" s="80"/>
      <c r="H629" s="80"/>
      <c r="I629" s="80"/>
      <c r="J629" s="80"/>
      <c r="K629" s="80"/>
      <c r="L629" s="80"/>
      <c r="M629" s="80"/>
      <c r="N629" s="80"/>
    </row>
    <row r="630">
      <c r="G630" s="80"/>
      <c r="H630" s="80"/>
      <c r="I630" s="80"/>
      <c r="J630" s="80"/>
      <c r="K630" s="80"/>
      <c r="L630" s="80"/>
      <c r="M630" s="80"/>
      <c r="N630" s="80"/>
    </row>
    <row r="631">
      <c r="G631" s="80"/>
      <c r="H631" s="80"/>
      <c r="I631" s="80"/>
      <c r="J631" s="80"/>
      <c r="K631" s="80"/>
      <c r="L631" s="80"/>
      <c r="M631" s="80"/>
      <c r="N631" s="80"/>
    </row>
    <row r="632">
      <c r="G632" s="80"/>
      <c r="H632" s="80"/>
      <c r="I632" s="80"/>
      <c r="J632" s="80"/>
      <c r="K632" s="80"/>
      <c r="L632" s="80"/>
      <c r="M632" s="80"/>
      <c r="N632" s="80"/>
    </row>
    <row r="633">
      <c r="G633" s="80"/>
      <c r="H633" s="80"/>
      <c r="I633" s="80"/>
      <c r="J633" s="80"/>
      <c r="K633" s="80"/>
      <c r="L633" s="80"/>
      <c r="M633" s="80"/>
      <c r="N633" s="80"/>
    </row>
    <row r="634">
      <c r="G634" s="80"/>
      <c r="H634" s="80"/>
      <c r="I634" s="80"/>
      <c r="J634" s="80"/>
      <c r="K634" s="80"/>
      <c r="L634" s="80"/>
      <c r="M634" s="80"/>
      <c r="N634" s="80"/>
    </row>
    <row r="635">
      <c r="G635" s="80"/>
      <c r="H635" s="80"/>
      <c r="I635" s="80"/>
      <c r="J635" s="80"/>
      <c r="K635" s="80"/>
      <c r="L635" s="80"/>
      <c r="M635" s="80"/>
      <c r="N635" s="80"/>
    </row>
    <row r="636">
      <c r="G636" s="80"/>
      <c r="H636" s="80"/>
      <c r="I636" s="80"/>
      <c r="J636" s="80"/>
      <c r="K636" s="80"/>
      <c r="L636" s="80"/>
      <c r="M636" s="80"/>
      <c r="N636" s="80"/>
    </row>
    <row r="637">
      <c r="G637" s="80"/>
      <c r="H637" s="80"/>
      <c r="I637" s="80"/>
      <c r="J637" s="80"/>
      <c r="K637" s="80"/>
      <c r="L637" s="80"/>
      <c r="M637" s="80"/>
      <c r="N637" s="80"/>
    </row>
    <row r="638">
      <c r="G638" s="80"/>
      <c r="H638" s="80"/>
      <c r="I638" s="80"/>
      <c r="J638" s="80"/>
      <c r="K638" s="80"/>
      <c r="L638" s="80"/>
      <c r="M638" s="80"/>
      <c r="N638" s="80"/>
    </row>
    <row r="639">
      <c r="G639" s="80"/>
      <c r="H639" s="80"/>
      <c r="I639" s="80"/>
      <c r="J639" s="80"/>
      <c r="K639" s="80"/>
      <c r="L639" s="80"/>
      <c r="M639" s="80"/>
      <c r="N639" s="80"/>
    </row>
    <row r="640">
      <c r="G640" s="80"/>
      <c r="H640" s="80"/>
      <c r="I640" s="80"/>
      <c r="J640" s="80"/>
      <c r="K640" s="80"/>
      <c r="L640" s="80"/>
      <c r="M640" s="80"/>
      <c r="N640" s="80"/>
    </row>
    <row r="641">
      <c r="G641" s="80"/>
      <c r="H641" s="80"/>
      <c r="I641" s="80"/>
      <c r="J641" s="80"/>
      <c r="K641" s="80"/>
      <c r="L641" s="80"/>
      <c r="M641" s="80"/>
      <c r="N641" s="80"/>
    </row>
    <row r="642">
      <c r="G642" s="80"/>
      <c r="H642" s="80"/>
      <c r="I642" s="80"/>
      <c r="J642" s="80"/>
      <c r="K642" s="80"/>
      <c r="L642" s="80"/>
      <c r="M642" s="80"/>
      <c r="N642" s="80"/>
    </row>
    <row r="643">
      <c r="G643" s="80"/>
      <c r="H643" s="80"/>
      <c r="I643" s="80"/>
      <c r="J643" s="80"/>
      <c r="K643" s="80"/>
      <c r="L643" s="80"/>
      <c r="M643" s="80"/>
      <c r="N643" s="80"/>
    </row>
    <row r="644">
      <c r="G644" s="80"/>
      <c r="H644" s="80"/>
      <c r="I644" s="80"/>
      <c r="J644" s="80"/>
      <c r="K644" s="80"/>
      <c r="L644" s="80"/>
      <c r="M644" s="80"/>
      <c r="N644" s="80"/>
    </row>
    <row r="645">
      <c r="G645" s="80"/>
      <c r="H645" s="80"/>
      <c r="I645" s="80"/>
      <c r="J645" s="80"/>
      <c r="K645" s="80"/>
      <c r="L645" s="80"/>
      <c r="M645" s="80"/>
      <c r="N645" s="80"/>
    </row>
    <row r="646">
      <c r="G646" s="80"/>
      <c r="H646" s="80"/>
      <c r="I646" s="80"/>
      <c r="J646" s="80"/>
      <c r="K646" s="80"/>
      <c r="L646" s="80"/>
      <c r="M646" s="80"/>
      <c r="N646" s="80"/>
    </row>
    <row r="647">
      <c r="G647" s="80"/>
      <c r="H647" s="80"/>
      <c r="I647" s="80"/>
      <c r="J647" s="80"/>
      <c r="K647" s="80"/>
      <c r="L647" s="80"/>
      <c r="M647" s="80"/>
      <c r="N647" s="80"/>
    </row>
    <row r="648">
      <c r="G648" s="80"/>
      <c r="H648" s="80"/>
      <c r="I648" s="80"/>
      <c r="J648" s="80"/>
      <c r="K648" s="80"/>
      <c r="L648" s="80"/>
      <c r="M648" s="80"/>
      <c r="N648" s="80"/>
    </row>
    <row r="649">
      <c r="G649" s="80"/>
      <c r="H649" s="80"/>
      <c r="I649" s="80"/>
      <c r="J649" s="80"/>
      <c r="K649" s="80"/>
      <c r="L649" s="80"/>
      <c r="M649" s="80"/>
      <c r="N649" s="80"/>
    </row>
    <row r="650">
      <c r="G650" s="80"/>
      <c r="H650" s="80"/>
      <c r="I650" s="80"/>
      <c r="J650" s="80"/>
      <c r="K650" s="80"/>
      <c r="L650" s="80"/>
      <c r="M650" s="80"/>
      <c r="N650" s="80"/>
    </row>
    <row r="651">
      <c r="G651" s="80"/>
      <c r="H651" s="80"/>
      <c r="I651" s="80"/>
      <c r="J651" s="80"/>
      <c r="K651" s="80"/>
      <c r="L651" s="80"/>
      <c r="M651" s="80"/>
      <c r="N651" s="80"/>
    </row>
    <row r="652">
      <c r="G652" s="80"/>
      <c r="H652" s="80"/>
      <c r="I652" s="80"/>
      <c r="J652" s="80"/>
      <c r="K652" s="80"/>
      <c r="L652" s="80"/>
      <c r="M652" s="80"/>
      <c r="N652" s="80"/>
    </row>
    <row r="653">
      <c r="G653" s="80"/>
      <c r="H653" s="80"/>
      <c r="I653" s="80"/>
      <c r="J653" s="80"/>
      <c r="K653" s="80"/>
      <c r="L653" s="80"/>
      <c r="M653" s="80"/>
      <c r="N653" s="80"/>
    </row>
    <row r="654">
      <c r="G654" s="80"/>
      <c r="H654" s="80"/>
      <c r="I654" s="80"/>
      <c r="J654" s="80"/>
      <c r="K654" s="80"/>
      <c r="L654" s="80"/>
      <c r="M654" s="80"/>
      <c r="N654" s="80"/>
    </row>
    <row r="655">
      <c r="G655" s="80"/>
      <c r="H655" s="80"/>
      <c r="I655" s="80"/>
      <c r="J655" s="80"/>
      <c r="K655" s="80"/>
      <c r="L655" s="80"/>
      <c r="M655" s="80"/>
      <c r="N655" s="80"/>
    </row>
    <row r="656">
      <c r="G656" s="80"/>
      <c r="H656" s="80"/>
      <c r="I656" s="80"/>
      <c r="J656" s="80"/>
      <c r="K656" s="80"/>
      <c r="L656" s="80"/>
      <c r="M656" s="80"/>
      <c r="N656" s="80"/>
    </row>
    <row r="657">
      <c r="G657" s="80"/>
      <c r="H657" s="80"/>
      <c r="I657" s="80"/>
      <c r="J657" s="80"/>
      <c r="K657" s="80"/>
      <c r="L657" s="80"/>
      <c r="M657" s="80"/>
      <c r="N657" s="80"/>
    </row>
    <row r="658">
      <c r="G658" s="80"/>
      <c r="H658" s="80"/>
      <c r="I658" s="80"/>
      <c r="J658" s="80"/>
      <c r="K658" s="80"/>
      <c r="L658" s="80"/>
      <c r="M658" s="80"/>
      <c r="N658" s="80"/>
    </row>
    <row r="659">
      <c r="G659" s="80"/>
      <c r="H659" s="80"/>
      <c r="I659" s="80"/>
      <c r="J659" s="80"/>
      <c r="K659" s="80"/>
      <c r="L659" s="80"/>
      <c r="M659" s="80"/>
      <c r="N659" s="80"/>
    </row>
    <row r="660">
      <c r="G660" s="80"/>
      <c r="H660" s="80"/>
      <c r="I660" s="80"/>
      <c r="J660" s="80"/>
      <c r="K660" s="80"/>
      <c r="L660" s="80"/>
      <c r="M660" s="80"/>
      <c r="N660" s="80"/>
    </row>
    <row r="661">
      <c r="G661" s="80"/>
      <c r="H661" s="80"/>
      <c r="I661" s="80"/>
      <c r="J661" s="80"/>
      <c r="K661" s="80"/>
      <c r="L661" s="80"/>
      <c r="M661" s="80"/>
      <c r="N661" s="80"/>
    </row>
    <row r="662">
      <c r="G662" s="80"/>
      <c r="H662" s="80"/>
      <c r="I662" s="80"/>
      <c r="J662" s="80"/>
      <c r="K662" s="80"/>
      <c r="L662" s="80"/>
      <c r="M662" s="80"/>
      <c r="N662" s="80"/>
    </row>
    <row r="663">
      <c r="G663" s="80"/>
      <c r="H663" s="80"/>
      <c r="I663" s="80"/>
      <c r="J663" s="80"/>
      <c r="K663" s="80"/>
      <c r="L663" s="80"/>
      <c r="M663" s="80"/>
      <c r="N663" s="80"/>
    </row>
    <row r="664">
      <c r="G664" s="80"/>
      <c r="H664" s="80"/>
      <c r="I664" s="80"/>
      <c r="J664" s="80"/>
      <c r="K664" s="80"/>
      <c r="L664" s="80"/>
      <c r="M664" s="80"/>
      <c r="N664" s="80"/>
    </row>
    <row r="665">
      <c r="G665" s="80"/>
      <c r="H665" s="80"/>
      <c r="I665" s="80"/>
      <c r="J665" s="80"/>
      <c r="K665" s="80"/>
      <c r="L665" s="80"/>
      <c r="M665" s="80"/>
      <c r="N665" s="80"/>
    </row>
    <row r="666">
      <c r="G666" s="80"/>
      <c r="H666" s="80"/>
      <c r="I666" s="80"/>
      <c r="J666" s="80"/>
      <c r="K666" s="80"/>
      <c r="L666" s="80"/>
      <c r="M666" s="80"/>
      <c r="N666" s="80"/>
    </row>
    <row r="667">
      <c r="G667" s="80"/>
      <c r="H667" s="80"/>
      <c r="I667" s="80"/>
      <c r="J667" s="80"/>
      <c r="K667" s="80"/>
      <c r="L667" s="80"/>
      <c r="M667" s="80"/>
      <c r="N667" s="80"/>
    </row>
    <row r="668">
      <c r="G668" s="80"/>
      <c r="H668" s="80"/>
      <c r="I668" s="80"/>
      <c r="J668" s="80"/>
      <c r="K668" s="80"/>
      <c r="L668" s="80"/>
      <c r="M668" s="80"/>
      <c r="N668" s="80"/>
    </row>
    <row r="669">
      <c r="G669" s="80"/>
      <c r="H669" s="80"/>
      <c r="I669" s="80"/>
      <c r="J669" s="80"/>
      <c r="K669" s="80"/>
      <c r="L669" s="80"/>
      <c r="M669" s="80"/>
      <c r="N669" s="80"/>
    </row>
    <row r="670">
      <c r="G670" s="80"/>
      <c r="H670" s="80"/>
      <c r="I670" s="80"/>
      <c r="J670" s="80"/>
      <c r="K670" s="80"/>
      <c r="L670" s="80"/>
      <c r="M670" s="80"/>
      <c r="N670" s="80"/>
    </row>
    <row r="671">
      <c r="G671" s="80"/>
      <c r="H671" s="80"/>
      <c r="I671" s="80"/>
      <c r="J671" s="80"/>
      <c r="K671" s="80"/>
      <c r="L671" s="80"/>
      <c r="M671" s="80"/>
      <c r="N671" s="80"/>
    </row>
    <row r="672">
      <c r="G672" s="80"/>
      <c r="H672" s="80"/>
      <c r="I672" s="80"/>
      <c r="J672" s="80"/>
      <c r="K672" s="80"/>
      <c r="L672" s="80"/>
      <c r="M672" s="80"/>
      <c r="N672" s="80"/>
    </row>
    <row r="673">
      <c r="G673" s="80"/>
      <c r="H673" s="80"/>
      <c r="I673" s="80"/>
      <c r="J673" s="80"/>
      <c r="K673" s="80"/>
      <c r="L673" s="80"/>
      <c r="M673" s="80"/>
      <c r="N673" s="80"/>
    </row>
    <row r="674">
      <c r="G674" s="80"/>
      <c r="H674" s="80"/>
      <c r="I674" s="80"/>
      <c r="J674" s="80"/>
      <c r="K674" s="80"/>
      <c r="L674" s="80"/>
      <c r="M674" s="80"/>
      <c r="N674" s="80"/>
    </row>
    <row r="675">
      <c r="G675" s="80"/>
      <c r="H675" s="80"/>
      <c r="I675" s="80"/>
      <c r="J675" s="80"/>
      <c r="K675" s="80"/>
      <c r="L675" s="80"/>
      <c r="M675" s="80"/>
      <c r="N675" s="80"/>
    </row>
    <row r="676">
      <c r="G676" s="80"/>
      <c r="H676" s="80"/>
      <c r="I676" s="80"/>
      <c r="J676" s="80"/>
      <c r="K676" s="80"/>
      <c r="L676" s="80"/>
      <c r="M676" s="80"/>
      <c r="N676" s="80"/>
    </row>
    <row r="677">
      <c r="G677" s="80"/>
      <c r="H677" s="80"/>
      <c r="I677" s="80"/>
      <c r="J677" s="80"/>
      <c r="K677" s="80"/>
      <c r="L677" s="80"/>
      <c r="M677" s="80"/>
      <c r="N677" s="80"/>
    </row>
    <row r="678">
      <c r="G678" s="80"/>
      <c r="H678" s="80"/>
      <c r="I678" s="80"/>
      <c r="J678" s="80"/>
      <c r="K678" s="80"/>
      <c r="L678" s="80"/>
      <c r="M678" s="80"/>
      <c r="N678" s="80"/>
    </row>
    <row r="679">
      <c r="G679" s="80"/>
      <c r="H679" s="80"/>
      <c r="I679" s="80"/>
      <c r="J679" s="80"/>
      <c r="K679" s="80"/>
      <c r="L679" s="80"/>
      <c r="M679" s="80"/>
      <c r="N679" s="80"/>
    </row>
    <row r="680">
      <c r="G680" s="80"/>
      <c r="H680" s="80"/>
      <c r="I680" s="80"/>
      <c r="J680" s="80"/>
      <c r="K680" s="80"/>
      <c r="L680" s="80"/>
      <c r="M680" s="80"/>
      <c r="N680" s="80"/>
    </row>
    <row r="681">
      <c r="G681" s="80"/>
      <c r="H681" s="80"/>
      <c r="I681" s="80"/>
      <c r="J681" s="80"/>
      <c r="K681" s="80"/>
      <c r="L681" s="80"/>
      <c r="M681" s="80"/>
      <c r="N681" s="80"/>
    </row>
    <row r="682">
      <c r="G682" s="80"/>
      <c r="H682" s="80"/>
      <c r="I682" s="80"/>
      <c r="J682" s="80"/>
      <c r="K682" s="80"/>
      <c r="L682" s="80"/>
      <c r="M682" s="80"/>
      <c r="N682" s="80"/>
    </row>
    <row r="683">
      <c r="G683" s="80"/>
      <c r="H683" s="80"/>
      <c r="I683" s="80"/>
      <c r="J683" s="80"/>
      <c r="K683" s="80"/>
      <c r="L683" s="80"/>
      <c r="M683" s="80"/>
      <c r="N683" s="80"/>
    </row>
    <row r="684">
      <c r="G684" s="80"/>
      <c r="H684" s="80"/>
      <c r="I684" s="80"/>
      <c r="J684" s="80"/>
      <c r="K684" s="80"/>
      <c r="L684" s="80"/>
      <c r="M684" s="80"/>
      <c r="N684" s="80"/>
    </row>
    <row r="685">
      <c r="G685" s="80"/>
      <c r="H685" s="80"/>
      <c r="I685" s="80"/>
      <c r="J685" s="80"/>
      <c r="K685" s="80"/>
      <c r="L685" s="80"/>
      <c r="M685" s="80"/>
      <c r="N685" s="80"/>
    </row>
    <row r="686">
      <c r="G686" s="80"/>
      <c r="H686" s="80"/>
      <c r="I686" s="80"/>
      <c r="J686" s="80"/>
      <c r="K686" s="80"/>
      <c r="L686" s="80"/>
      <c r="M686" s="80"/>
      <c r="N686" s="80"/>
    </row>
    <row r="687">
      <c r="G687" s="80"/>
      <c r="H687" s="80"/>
      <c r="I687" s="80"/>
      <c r="J687" s="80"/>
      <c r="K687" s="80"/>
      <c r="L687" s="80"/>
      <c r="M687" s="80"/>
      <c r="N687" s="80"/>
    </row>
    <row r="688">
      <c r="G688" s="80"/>
      <c r="H688" s="80"/>
      <c r="I688" s="80"/>
      <c r="J688" s="80"/>
      <c r="K688" s="80"/>
      <c r="L688" s="80"/>
      <c r="M688" s="80"/>
      <c r="N688" s="80"/>
    </row>
    <row r="689">
      <c r="G689" s="80"/>
      <c r="H689" s="80"/>
      <c r="I689" s="80"/>
      <c r="J689" s="80"/>
      <c r="K689" s="80"/>
      <c r="L689" s="80"/>
      <c r="M689" s="80"/>
      <c r="N689" s="80"/>
    </row>
    <row r="690">
      <c r="G690" s="80"/>
      <c r="H690" s="80"/>
      <c r="I690" s="80"/>
      <c r="J690" s="80"/>
      <c r="K690" s="80"/>
      <c r="L690" s="80"/>
      <c r="M690" s="80"/>
      <c r="N690" s="80"/>
    </row>
    <row r="691">
      <c r="G691" s="80"/>
      <c r="H691" s="80"/>
      <c r="I691" s="80"/>
      <c r="J691" s="80"/>
      <c r="K691" s="80"/>
      <c r="L691" s="80"/>
      <c r="M691" s="80"/>
      <c r="N691" s="80"/>
    </row>
    <row r="692">
      <c r="G692" s="80"/>
      <c r="H692" s="80"/>
      <c r="I692" s="80"/>
      <c r="J692" s="80"/>
      <c r="K692" s="80"/>
      <c r="L692" s="80"/>
      <c r="M692" s="80"/>
      <c r="N692" s="80"/>
    </row>
    <row r="693">
      <c r="G693" s="80"/>
      <c r="H693" s="80"/>
      <c r="I693" s="80"/>
      <c r="J693" s="80"/>
      <c r="K693" s="80"/>
      <c r="L693" s="80"/>
      <c r="M693" s="80"/>
      <c r="N693" s="80"/>
    </row>
    <row r="694">
      <c r="G694" s="80"/>
      <c r="H694" s="80"/>
      <c r="I694" s="80"/>
      <c r="J694" s="80"/>
      <c r="K694" s="80"/>
      <c r="L694" s="80"/>
      <c r="M694" s="80"/>
      <c r="N694" s="80"/>
    </row>
    <row r="695">
      <c r="G695" s="80"/>
      <c r="H695" s="80"/>
      <c r="I695" s="80"/>
      <c r="J695" s="80"/>
      <c r="K695" s="80"/>
      <c r="L695" s="80"/>
      <c r="M695" s="80"/>
      <c r="N695" s="80"/>
    </row>
    <row r="696">
      <c r="G696" s="80"/>
      <c r="H696" s="80"/>
      <c r="I696" s="80"/>
      <c r="J696" s="80"/>
      <c r="K696" s="80"/>
      <c r="L696" s="80"/>
      <c r="M696" s="80"/>
      <c r="N696" s="80"/>
    </row>
    <row r="697">
      <c r="G697" s="80"/>
      <c r="H697" s="80"/>
      <c r="I697" s="80"/>
      <c r="J697" s="80"/>
      <c r="K697" s="80"/>
      <c r="L697" s="80"/>
      <c r="M697" s="80"/>
      <c r="N697" s="80"/>
    </row>
    <row r="698">
      <c r="G698" s="80"/>
      <c r="H698" s="80"/>
      <c r="I698" s="80"/>
      <c r="J698" s="80"/>
      <c r="K698" s="80"/>
      <c r="L698" s="80"/>
      <c r="M698" s="80"/>
      <c r="N698" s="80"/>
    </row>
    <row r="699">
      <c r="G699" s="80"/>
      <c r="H699" s="80"/>
      <c r="I699" s="80"/>
      <c r="J699" s="80"/>
      <c r="K699" s="80"/>
      <c r="L699" s="80"/>
      <c r="M699" s="80"/>
      <c r="N699" s="80"/>
    </row>
    <row r="700">
      <c r="G700" s="80"/>
      <c r="H700" s="80"/>
      <c r="I700" s="80"/>
      <c r="J700" s="80"/>
      <c r="K700" s="80"/>
      <c r="L700" s="80"/>
      <c r="M700" s="80"/>
      <c r="N700" s="80"/>
    </row>
    <row r="701">
      <c r="G701" s="80"/>
      <c r="H701" s="80"/>
      <c r="I701" s="80"/>
      <c r="J701" s="80"/>
      <c r="K701" s="80"/>
      <c r="L701" s="80"/>
      <c r="M701" s="80"/>
      <c r="N701" s="80"/>
    </row>
    <row r="702">
      <c r="G702" s="80"/>
      <c r="H702" s="80"/>
      <c r="I702" s="80"/>
      <c r="J702" s="80"/>
      <c r="K702" s="80"/>
      <c r="L702" s="80"/>
      <c r="M702" s="80"/>
      <c r="N702" s="80"/>
    </row>
    <row r="703">
      <c r="G703" s="80"/>
      <c r="H703" s="80"/>
      <c r="I703" s="80"/>
      <c r="J703" s="80"/>
      <c r="K703" s="80"/>
      <c r="L703" s="80"/>
      <c r="M703" s="80"/>
      <c r="N703" s="80"/>
    </row>
    <row r="704">
      <c r="G704" s="80"/>
      <c r="H704" s="80"/>
      <c r="I704" s="80"/>
      <c r="J704" s="80"/>
      <c r="K704" s="80"/>
      <c r="L704" s="80"/>
      <c r="M704" s="80"/>
      <c r="N704" s="80"/>
    </row>
    <row r="705">
      <c r="G705" s="80"/>
      <c r="H705" s="80"/>
      <c r="I705" s="80"/>
      <c r="J705" s="80"/>
      <c r="K705" s="80"/>
      <c r="L705" s="80"/>
      <c r="M705" s="80"/>
      <c r="N705" s="80"/>
    </row>
    <row r="706">
      <c r="G706" s="80"/>
      <c r="H706" s="80"/>
      <c r="I706" s="80"/>
      <c r="J706" s="80"/>
      <c r="K706" s="80"/>
      <c r="L706" s="80"/>
      <c r="M706" s="80"/>
      <c r="N706" s="80"/>
    </row>
    <row r="707">
      <c r="G707" s="80"/>
      <c r="H707" s="80"/>
      <c r="I707" s="80"/>
      <c r="J707" s="80"/>
      <c r="K707" s="80"/>
      <c r="L707" s="80"/>
      <c r="M707" s="80"/>
      <c r="N707" s="80"/>
    </row>
    <row r="708">
      <c r="G708" s="80"/>
      <c r="H708" s="80"/>
      <c r="I708" s="80"/>
      <c r="J708" s="80"/>
      <c r="K708" s="80"/>
      <c r="L708" s="80"/>
      <c r="M708" s="80"/>
      <c r="N708" s="80"/>
    </row>
    <row r="709">
      <c r="G709" s="80"/>
      <c r="H709" s="80"/>
      <c r="I709" s="80"/>
      <c r="J709" s="80"/>
      <c r="K709" s="80"/>
      <c r="L709" s="80"/>
      <c r="M709" s="80"/>
      <c r="N709" s="80"/>
    </row>
    <row r="710">
      <c r="G710" s="80"/>
      <c r="H710" s="80"/>
      <c r="I710" s="80"/>
      <c r="J710" s="80"/>
      <c r="K710" s="80"/>
      <c r="L710" s="80"/>
      <c r="M710" s="80"/>
      <c r="N710" s="80"/>
    </row>
    <row r="711">
      <c r="G711" s="80"/>
      <c r="H711" s="80"/>
      <c r="I711" s="80"/>
      <c r="J711" s="80"/>
      <c r="K711" s="80"/>
      <c r="L711" s="80"/>
      <c r="M711" s="80"/>
      <c r="N711" s="80"/>
    </row>
    <row r="712">
      <c r="G712" s="80"/>
      <c r="H712" s="80"/>
      <c r="I712" s="80"/>
      <c r="J712" s="80"/>
      <c r="K712" s="80"/>
      <c r="L712" s="80"/>
      <c r="M712" s="80"/>
      <c r="N712" s="80"/>
    </row>
    <row r="713">
      <c r="G713" s="80"/>
      <c r="H713" s="80"/>
      <c r="I713" s="80"/>
      <c r="J713" s="80"/>
      <c r="K713" s="80"/>
      <c r="L713" s="80"/>
      <c r="M713" s="80"/>
      <c r="N713" s="80"/>
    </row>
    <row r="714">
      <c r="G714" s="80"/>
      <c r="H714" s="80"/>
      <c r="I714" s="80"/>
      <c r="J714" s="80"/>
      <c r="K714" s="80"/>
      <c r="L714" s="80"/>
      <c r="M714" s="80"/>
      <c r="N714" s="80"/>
    </row>
    <row r="715">
      <c r="G715" s="80"/>
      <c r="H715" s="80"/>
      <c r="I715" s="80"/>
      <c r="J715" s="80"/>
      <c r="K715" s="80"/>
      <c r="L715" s="80"/>
      <c r="M715" s="80"/>
      <c r="N715" s="80"/>
    </row>
    <row r="716">
      <c r="G716" s="80"/>
      <c r="H716" s="80"/>
      <c r="I716" s="80"/>
      <c r="J716" s="80"/>
      <c r="K716" s="80"/>
      <c r="L716" s="80"/>
      <c r="M716" s="80"/>
      <c r="N716" s="80"/>
    </row>
    <row r="717">
      <c r="G717" s="80"/>
      <c r="H717" s="80"/>
      <c r="I717" s="80"/>
      <c r="J717" s="80"/>
      <c r="K717" s="80"/>
      <c r="L717" s="80"/>
      <c r="M717" s="80"/>
      <c r="N717" s="80"/>
    </row>
    <row r="718">
      <c r="G718" s="80"/>
      <c r="H718" s="80"/>
      <c r="I718" s="80"/>
      <c r="J718" s="80"/>
      <c r="K718" s="80"/>
      <c r="L718" s="80"/>
      <c r="M718" s="80"/>
      <c r="N718" s="80"/>
    </row>
    <row r="719">
      <c r="G719" s="80"/>
      <c r="H719" s="80"/>
      <c r="I719" s="80"/>
      <c r="J719" s="80"/>
      <c r="K719" s="80"/>
      <c r="L719" s="80"/>
      <c r="M719" s="80"/>
      <c r="N719" s="80"/>
    </row>
    <row r="720">
      <c r="G720" s="80"/>
      <c r="H720" s="80"/>
      <c r="I720" s="80"/>
      <c r="J720" s="80"/>
      <c r="K720" s="80"/>
      <c r="L720" s="80"/>
      <c r="M720" s="80"/>
      <c r="N720" s="80"/>
    </row>
    <row r="721">
      <c r="G721" s="80"/>
      <c r="H721" s="80"/>
      <c r="I721" s="80"/>
      <c r="J721" s="80"/>
      <c r="K721" s="80"/>
      <c r="L721" s="80"/>
      <c r="M721" s="80"/>
      <c r="N721" s="80"/>
    </row>
    <row r="722">
      <c r="G722" s="80"/>
      <c r="H722" s="80"/>
      <c r="I722" s="80"/>
      <c r="J722" s="80"/>
      <c r="K722" s="80"/>
      <c r="L722" s="80"/>
      <c r="M722" s="80"/>
      <c r="N722" s="80"/>
    </row>
    <row r="723">
      <c r="G723" s="80"/>
      <c r="H723" s="80"/>
      <c r="I723" s="80"/>
      <c r="J723" s="80"/>
      <c r="K723" s="80"/>
      <c r="L723" s="80"/>
      <c r="M723" s="80"/>
      <c r="N723" s="80"/>
    </row>
    <row r="724">
      <c r="G724" s="80"/>
      <c r="H724" s="80"/>
      <c r="I724" s="80"/>
      <c r="J724" s="80"/>
      <c r="K724" s="80"/>
      <c r="L724" s="80"/>
      <c r="M724" s="80"/>
      <c r="N724" s="80"/>
    </row>
    <row r="725">
      <c r="G725" s="80"/>
      <c r="H725" s="80"/>
      <c r="I725" s="80"/>
      <c r="J725" s="80"/>
      <c r="K725" s="80"/>
      <c r="L725" s="80"/>
      <c r="M725" s="80"/>
      <c r="N725" s="80"/>
    </row>
    <row r="726">
      <c r="G726" s="80"/>
      <c r="H726" s="80"/>
      <c r="I726" s="80"/>
      <c r="J726" s="80"/>
      <c r="K726" s="80"/>
      <c r="L726" s="80"/>
      <c r="M726" s="80"/>
      <c r="N726" s="80"/>
    </row>
    <row r="727">
      <c r="G727" s="80"/>
      <c r="H727" s="80"/>
      <c r="I727" s="80"/>
      <c r="J727" s="80"/>
      <c r="K727" s="80"/>
      <c r="L727" s="80"/>
      <c r="M727" s="80"/>
      <c r="N727" s="80"/>
    </row>
    <row r="728">
      <c r="G728" s="80"/>
      <c r="H728" s="80"/>
      <c r="I728" s="80"/>
      <c r="J728" s="80"/>
      <c r="K728" s="80"/>
      <c r="L728" s="80"/>
      <c r="M728" s="80"/>
      <c r="N728" s="80"/>
    </row>
    <row r="729">
      <c r="G729" s="80"/>
      <c r="H729" s="80"/>
      <c r="I729" s="80"/>
      <c r="J729" s="80"/>
      <c r="K729" s="80"/>
      <c r="L729" s="80"/>
      <c r="M729" s="80"/>
      <c r="N729" s="80"/>
    </row>
    <row r="730">
      <c r="G730" s="80"/>
      <c r="H730" s="80"/>
      <c r="I730" s="80"/>
      <c r="J730" s="80"/>
      <c r="K730" s="80"/>
      <c r="L730" s="80"/>
      <c r="M730" s="80"/>
      <c r="N730" s="80"/>
    </row>
    <row r="731">
      <c r="G731" s="80"/>
      <c r="H731" s="80"/>
      <c r="I731" s="80"/>
      <c r="J731" s="80"/>
      <c r="K731" s="80"/>
      <c r="L731" s="80"/>
      <c r="M731" s="80"/>
      <c r="N731" s="80"/>
    </row>
    <row r="732">
      <c r="G732" s="80"/>
      <c r="H732" s="80"/>
      <c r="I732" s="80"/>
      <c r="J732" s="80"/>
      <c r="K732" s="80"/>
      <c r="L732" s="80"/>
      <c r="M732" s="80"/>
      <c r="N732" s="80"/>
    </row>
    <row r="733">
      <c r="G733" s="80"/>
      <c r="H733" s="80"/>
      <c r="I733" s="80"/>
      <c r="J733" s="80"/>
      <c r="K733" s="80"/>
      <c r="L733" s="80"/>
      <c r="M733" s="80"/>
      <c r="N733" s="80"/>
    </row>
    <row r="734">
      <c r="G734" s="80"/>
      <c r="H734" s="80"/>
      <c r="I734" s="80"/>
      <c r="J734" s="80"/>
      <c r="K734" s="80"/>
      <c r="L734" s="80"/>
      <c r="M734" s="80"/>
      <c r="N734" s="80"/>
    </row>
    <row r="735">
      <c r="G735" s="80"/>
      <c r="H735" s="80"/>
      <c r="I735" s="80"/>
      <c r="J735" s="80"/>
      <c r="K735" s="80"/>
      <c r="L735" s="80"/>
      <c r="M735" s="80"/>
      <c r="N735" s="80"/>
    </row>
    <row r="736">
      <c r="G736" s="80"/>
      <c r="H736" s="80"/>
      <c r="I736" s="80"/>
      <c r="J736" s="80"/>
      <c r="K736" s="80"/>
      <c r="L736" s="80"/>
      <c r="M736" s="80"/>
      <c r="N736" s="80"/>
    </row>
    <row r="737">
      <c r="G737" s="80"/>
      <c r="H737" s="80"/>
      <c r="I737" s="80"/>
      <c r="J737" s="80"/>
      <c r="K737" s="80"/>
      <c r="L737" s="80"/>
      <c r="M737" s="80"/>
      <c r="N737" s="80"/>
    </row>
    <row r="738">
      <c r="G738" s="80"/>
      <c r="H738" s="80"/>
      <c r="I738" s="80"/>
      <c r="J738" s="80"/>
      <c r="K738" s="80"/>
      <c r="L738" s="80"/>
      <c r="M738" s="80"/>
      <c r="N738" s="80"/>
    </row>
    <row r="739">
      <c r="G739" s="80"/>
      <c r="H739" s="80"/>
      <c r="I739" s="80"/>
      <c r="J739" s="80"/>
      <c r="K739" s="80"/>
      <c r="L739" s="80"/>
      <c r="M739" s="80"/>
      <c r="N739" s="80"/>
    </row>
    <row r="740">
      <c r="G740" s="80"/>
      <c r="H740" s="80"/>
      <c r="I740" s="80"/>
      <c r="J740" s="80"/>
      <c r="K740" s="80"/>
      <c r="L740" s="80"/>
      <c r="M740" s="80"/>
      <c r="N740" s="80"/>
    </row>
    <row r="741">
      <c r="G741" s="80"/>
      <c r="H741" s="80"/>
      <c r="I741" s="80"/>
      <c r="J741" s="80"/>
      <c r="K741" s="80"/>
      <c r="L741" s="80"/>
      <c r="M741" s="80"/>
      <c r="N741" s="80"/>
    </row>
    <row r="742">
      <c r="G742" s="80"/>
      <c r="H742" s="80"/>
      <c r="I742" s="80"/>
      <c r="J742" s="80"/>
      <c r="K742" s="80"/>
      <c r="L742" s="80"/>
      <c r="M742" s="80"/>
      <c r="N742" s="80"/>
    </row>
    <row r="743">
      <c r="G743" s="80"/>
      <c r="H743" s="80"/>
      <c r="I743" s="80"/>
      <c r="J743" s="80"/>
      <c r="K743" s="80"/>
      <c r="L743" s="80"/>
      <c r="M743" s="80"/>
      <c r="N743" s="80"/>
    </row>
    <row r="744">
      <c r="G744" s="80"/>
      <c r="H744" s="80"/>
      <c r="I744" s="80"/>
      <c r="J744" s="80"/>
      <c r="K744" s="80"/>
      <c r="L744" s="80"/>
      <c r="M744" s="80"/>
      <c r="N744" s="80"/>
    </row>
    <row r="745">
      <c r="G745" s="80"/>
      <c r="H745" s="80"/>
      <c r="I745" s="80"/>
      <c r="J745" s="80"/>
      <c r="K745" s="80"/>
      <c r="L745" s="80"/>
      <c r="M745" s="80"/>
      <c r="N745" s="80"/>
    </row>
    <row r="746">
      <c r="G746" s="80"/>
      <c r="H746" s="80"/>
      <c r="I746" s="80"/>
      <c r="J746" s="80"/>
      <c r="K746" s="80"/>
      <c r="L746" s="80"/>
      <c r="M746" s="80"/>
      <c r="N746" s="80"/>
    </row>
    <row r="747">
      <c r="G747" s="80"/>
      <c r="H747" s="80"/>
      <c r="I747" s="80"/>
      <c r="J747" s="80"/>
      <c r="K747" s="80"/>
      <c r="L747" s="80"/>
      <c r="M747" s="80"/>
      <c r="N747" s="80"/>
    </row>
    <row r="748">
      <c r="G748" s="80"/>
      <c r="H748" s="80"/>
      <c r="I748" s="80"/>
      <c r="J748" s="80"/>
      <c r="K748" s="80"/>
      <c r="L748" s="80"/>
      <c r="M748" s="80"/>
      <c r="N748" s="80"/>
    </row>
    <row r="749">
      <c r="G749" s="80"/>
      <c r="H749" s="80"/>
      <c r="I749" s="80"/>
      <c r="J749" s="80"/>
      <c r="K749" s="80"/>
      <c r="L749" s="80"/>
      <c r="M749" s="80"/>
      <c r="N749" s="80"/>
    </row>
    <row r="750">
      <c r="G750" s="80"/>
      <c r="H750" s="80"/>
      <c r="I750" s="80"/>
      <c r="J750" s="80"/>
      <c r="K750" s="80"/>
      <c r="L750" s="80"/>
      <c r="M750" s="80"/>
      <c r="N750" s="80"/>
    </row>
    <row r="751">
      <c r="G751" s="80"/>
      <c r="H751" s="80"/>
      <c r="I751" s="80"/>
      <c r="J751" s="80"/>
      <c r="K751" s="80"/>
      <c r="L751" s="80"/>
      <c r="M751" s="80"/>
      <c r="N751" s="80"/>
    </row>
    <row r="752">
      <c r="G752" s="80"/>
      <c r="H752" s="80"/>
      <c r="I752" s="80"/>
      <c r="J752" s="80"/>
      <c r="K752" s="80"/>
      <c r="L752" s="80"/>
      <c r="M752" s="80"/>
      <c r="N752" s="80"/>
    </row>
    <row r="753">
      <c r="G753" s="80"/>
      <c r="H753" s="80"/>
      <c r="I753" s="80"/>
      <c r="J753" s="80"/>
      <c r="K753" s="80"/>
      <c r="L753" s="80"/>
      <c r="M753" s="80"/>
      <c r="N753" s="80"/>
    </row>
    <row r="754">
      <c r="G754" s="80"/>
      <c r="H754" s="80"/>
      <c r="I754" s="80"/>
      <c r="J754" s="80"/>
      <c r="K754" s="80"/>
      <c r="L754" s="80"/>
      <c r="M754" s="80"/>
      <c r="N754" s="80"/>
    </row>
    <row r="755">
      <c r="G755" s="80"/>
      <c r="H755" s="80"/>
      <c r="I755" s="80"/>
      <c r="J755" s="80"/>
      <c r="K755" s="80"/>
      <c r="L755" s="80"/>
      <c r="M755" s="80"/>
      <c r="N755" s="80"/>
    </row>
    <row r="756">
      <c r="G756" s="80"/>
      <c r="H756" s="80"/>
      <c r="I756" s="80"/>
      <c r="J756" s="80"/>
      <c r="K756" s="80"/>
      <c r="L756" s="80"/>
      <c r="M756" s="80"/>
      <c r="N756" s="80"/>
    </row>
    <row r="757">
      <c r="G757" s="80"/>
      <c r="H757" s="80"/>
      <c r="I757" s="80"/>
      <c r="J757" s="80"/>
      <c r="K757" s="80"/>
      <c r="L757" s="80"/>
      <c r="M757" s="80"/>
      <c r="N757" s="80"/>
    </row>
    <row r="758">
      <c r="G758" s="80"/>
      <c r="H758" s="80"/>
      <c r="I758" s="80"/>
      <c r="J758" s="80"/>
      <c r="K758" s="80"/>
      <c r="L758" s="80"/>
      <c r="M758" s="80"/>
      <c r="N758" s="80"/>
    </row>
    <row r="759">
      <c r="G759" s="80"/>
      <c r="H759" s="80"/>
      <c r="I759" s="80"/>
      <c r="J759" s="80"/>
      <c r="K759" s="80"/>
      <c r="L759" s="80"/>
      <c r="M759" s="80"/>
      <c r="N759" s="80"/>
    </row>
    <row r="760">
      <c r="G760" s="80"/>
      <c r="H760" s="80"/>
      <c r="I760" s="80"/>
      <c r="J760" s="80"/>
      <c r="K760" s="80"/>
      <c r="L760" s="80"/>
      <c r="M760" s="80"/>
      <c r="N760" s="80"/>
    </row>
    <row r="761">
      <c r="G761" s="80"/>
      <c r="H761" s="80"/>
      <c r="I761" s="80"/>
      <c r="J761" s="80"/>
      <c r="K761" s="80"/>
      <c r="L761" s="80"/>
      <c r="M761" s="80"/>
      <c r="N761" s="80"/>
    </row>
    <row r="762">
      <c r="G762" s="80"/>
      <c r="H762" s="80"/>
      <c r="I762" s="80"/>
      <c r="J762" s="80"/>
      <c r="K762" s="80"/>
      <c r="L762" s="80"/>
      <c r="M762" s="80"/>
      <c r="N762" s="80"/>
    </row>
    <row r="763">
      <c r="G763" s="80"/>
      <c r="H763" s="80"/>
      <c r="I763" s="80"/>
      <c r="J763" s="80"/>
      <c r="K763" s="80"/>
      <c r="L763" s="80"/>
      <c r="M763" s="80"/>
      <c r="N763" s="80"/>
    </row>
    <row r="764">
      <c r="G764" s="80"/>
      <c r="H764" s="80"/>
      <c r="I764" s="80"/>
      <c r="J764" s="80"/>
      <c r="K764" s="80"/>
      <c r="L764" s="80"/>
      <c r="M764" s="80"/>
      <c r="N764" s="80"/>
    </row>
    <row r="765">
      <c r="G765" s="80"/>
      <c r="H765" s="80"/>
      <c r="I765" s="80"/>
      <c r="J765" s="80"/>
      <c r="K765" s="80"/>
      <c r="L765" s="80"/>
      <c r="M765" s="80"/>
      <c r="N765" s="80"/>
    </row>
    <row r="766">
      <c r="G766" s="80"/>
      <c r="H766" s="80"/>
      <c r="I766" s="80"/>
      <c r="J766" s="80"/>
      <c r="K766" s="80"/>
      <c r="L766" s="80"/>
      <c r="M766" s="80"/>
      <c r="N766" s="80"/>
    </row>
    <row r="767">
      <c r="G767" s="80"/>
      <c r="H767" s="80"/>
      <c r="I767" s="80"/>
      <c r="J767" s="80"/>
      <c r="K767" s="80"/>
      <c r="L767" s="80"/>
      <c r="M767" s="80"/>
      <c r="N767" s="80"/>
    </row>
    <row r="768">
      <c r="G768" s="80"/>
      <c r="H768" s="80"/>
      <c r="I768" s="80"/>
      <c r="J768" s="80"/>
      <c r="K768" s="80"/>
      <c r="L768" s="80"/>
      <c r="M768" s="80"/>
      <c r="N768" s="80"/>
    </row>
    <row r="769">
      <c r="G769" s="80"/>
      <c r="H769" s="80"/>
      <c r="I769" s="80"/>
      <c r="J769" s="80"/>
      <c r="K769" s="80"/>
      <c r="L769" s="80"/>
      <c r="M769" s="80"/>
      <c r="N769" s="80"/>
    </row>
    <row r="770">
      <c r="G770" s="80"/>
      <c r="H770" s="80"/>
      <c r="I770" s="80"/>
      <c r="J770" s="80"/>
      <c r="K770" s="80"/>
      <c r="L770" s="80"/>
      <c r="M770" s="80"/>
      <c r="N770" s="80"/>
    </row>
    <row r="771">
      <c r="G771" s="80"/>
      <c r="H771" s="80"/>
      <c r="I771" s="80"/>
      <c r="J771" s="80"/>
      <c r="K771" s="80"/>
      <c r="L771" s="80"/>
      <c r="M771" s="80"/>
      <c r="N771" s="80"/>
    </row>
    <row r="772">
      <c r="G772" s="80"/>
      <c r="H772" s="80"/>
      <c r="I772" s="80"/>
      <c r="J772" s="80"/>
      <c r="K772" s="80"/>
      <c r="L772" s="80"/>
      <c r="M772" s="80"/>
      <c r="N772" s="80"/>
    </row>
    <row r="773">
      <c r="G773" s="80"/>
      <c r="H773" s="80"/>
      <c r="I773" s="80"/>
      <c r="J773" s="80"/>
      <c r="K773" s="80"/>
      <c r="L773" s="80"/>
      <c r="M773" s="80"/>
      <c r="N773" s="80"/>
    </row>
    <row r="774">
      <c r="G774" s="80"/>
      <c r="H774" s="80"/>
      <c r="I774" s="80"/>
      <c r="J774" s="80"/>
      <c r="K774" s="80"/>
      <c r="L774" s="80"/>
      <c r="M774" s="80"/>
      <c r="N774" s="80"/>
    </row>
    <row r="775">
      <c r="G775" s="80"/>
      <c r="H775" s="80"/>
      <c r="I775" s="80"/>
      <c r="J775" s="80"/>
      <c r="K775" s="80"/>
      <c r="L775" s="80"/>
      <c r="M775" s="80"/>
      <c r="N775" s="80"/>
    </row>
    <row r="776">
      <c r="G776" s="80"/>
      <c r="H776" s="80"/>
      <c r="I776" s="80"/>
      <c r="J776" s="80"/>
      <c r="K776" s="80"/>
      <c r="L776" s="80"/>
      <c r="M776" s="80"/>
      <c r="N776" s="80"/>
    </row>
    <row r="777">
      <c r="G777" s="80"/>
      <c r="H777" s="80"/>
      <c r="I777" s="80"/>
      <c r="J777" s="80"/>
      <c r="K777" s="80"/>
      <c r="L777" s="80"/>
      <c r="M777" s="80"/>
      <c r="N777" s="80"/>
    </row>
    <row r="778">
      <c r="G778" s="80"/>
      <c r="H778" s="80"/>
      <c r="I778" s="80"/>
      <c r="J778" s="80"/>
      <c r="K778" s="80"/>
      <c r="L778" s="80"/>
      <c r="M778" s="80"/>
      <c r="N778" s="80"/>
    </row>
    <row r="779">
      <c r="G779" s="80"/>
      <c r="H779" s="80"/>
      <c r="I779" s="80"/>
      <c r="J779" s="80"/>
      <c r="K779" s="80"/>
      <c r="L779" s="80"/>
      <c r="M779" s="80"/>
      <c r="N779" s="80"/>
    </row>
    <row r="780">
      <c r="G780" s="80"/>
      <c r="H780" s="80"/>
      <c r="I780" s="80"/>
      <c r="J780" s="80"/>
      <c r="K780" s="80"/>
      <c r="L780" s="80"/>
      <c r="M780" s="80"/>
      <c r="N780" s="80"/>
    </row>
    <row r="781">
      <c r="G781" s="80"/>
      <c r="H781" s="80"/>
      <c r="I781" s="80"/>
      <c r="J781" s="80"/>
      <c r="K781" s="80"/>
      <c r="L781" s="80"/>
      <c r="M781" s="80"/>
      <c r="N781" s="80"/>
    </row>
    <row r="782">
      <c r="G782" s="80"/>
      <c r="H782" s="80"/>
      <c r="I782" s="80"/>
      <c r="J782" s="80"/>
      <c r="K782" s="80"/>
      <c r="L782" s="80"/>
      <c r="M782" s="80"/>
      <c r="N782" s="80"/>
    </row>
    <row r="783">
      <c r="G783" s="80"/>
      <c r="H783" s="80"/>
      <c r="I783" s="80"/>
      <c r="J783" s="80"/>
      <c r="K783" s="80"/>
      <c r="L783" s="80"/>
      <c r="M783" s="80"/>
      <c r="N783" s="80"/>
    </row>
    <row r="784">
      <c r="G784" s="80"/>
      <c r="H784" s="80"/>
      <c r="I784" s="80"/>
      <c r="J784" s="80"/>
      <c r="K784" s="80"/>
      <c r="L784" s="80"/>
      <c r="M784" s="80"/>
      <c r="N784" s="80"/>
    </row>
    <row r="785">
      <c r="G785" s="80"/>
      <c r="H785" s="80"/>
      <c r="I785" s="80"/>
      <c r="J785" s="80"/>
      <c r="K785" s="80"/>
      <c r="L785" s="80"/>
      <c r="M785" s="80"/>
      <c r="N785" s="80"/>
    </row>
    <row r="786">
      <c r="G786" s="80"/>
      <c r="H786" s="80"/>
      <c r="I786" s="80"/>
      <c r="J786" s="80"/>
      <c r="K786" s="80"/>
      <c r="L786" s="80"/>
      <c r="M786" s="80"/>
      <c r="N786" s="80"/>
    </row>
    <row r="787">
      <c r="G787" s="80"/>
      <c r="H787" s="80"/>
      <c r="I787" s="80"/>
      <c r="J787" s="80"/>
      <c r="K787" s="80"/>
      <c r="L787" s="80"/>
      <c r="M787" s="80"/>
      <c r="N787" s="80"/>
    </row>
    <row r="788">
      <c r="G788" s="80"/>
      <c r="H788" s="80"/>
      <c r="I788" s="80"/>
      <c r="J788" s="80"/>
      <c r="K788" s="80"/>
      <c r="L788" s="80"/>
      <c r="M788" s="80"/>
      <c r="N788" s="80"/>
    </row>
    <row r="789">
      <c r="G789" s="80"/>
      <c r="H789" s="80"/>
      <c r="I789" s="80"/>
      <c r="J789" s="80"/>
      <c r="K789" s="80"/>
      <c r="L789" s="80"/>
      <c r="M789" s="80"/>
      <c r="N789" s="80"/>
    </row>
    <row r="790">
      <c r="G790" s="80"/>
      <c r="H790" s="80"/>
      <c r="I790" s="80"/>
      <c r="J790" s="80"/>
      <c r="K790" s="80"/>
      <c r="L790" s="80"/>
      <c r="M790" s="80"/>
      <c r="N790" s="80"/>
    </row>
    <row r="791">
      <c r="G791" s="80"/>
      <c r="H791" s="80"/>
      <c r="I791" s="80"/>
      <c r="J791" s="80"/>
      <c r="K791" s="80"/>
      <c r="L791" s="80"/>
      <c r="M791" s="80"/>
      <c r="N791" s="80"/>
    </row>
    <row r="792">
      <c r="G792" s="80"/>
      <c r="H792" s="80"/>
      <c r="I792" s="80"/>
      <c r="J792" s="80"/>
      <c r="K792" s="80"/>
      <c r="L792" s="80"/>
      <c r="M792" s="80"/>
      <c r="N792" s="80"/>
    </row>
    <row r="793">
      <c r="G793" s="80"/>
      <c r="H793" s="80"/>
      <c r="I793" s="80"/>
      <c r="J793" s="80"/>
      <c r="K793" s="80"/>
      <c r="L793" s="80"/>
      <c r="M793" s="80"/>
      <c r="N793" s="80"/>
    </row>
    <row r="794">
      <c r="G794" s="80"/>
      <c r="H794" s="80"/>
      <c r="I794" s="80"/>
      <c r="J794" s="80"/>
      <c r="K794" s="80"/>
      <c r="L794" s="80"/>
      <c r="M794" s="80"/>
      <c r="N794" s="80"/>
    </row>
    <row r="795">
      <c r="G795" s="80"/>
      <c r="H795" s="80"/>
      <c r="I795" s="80"/>
      <c r="J795" s="80"/>
      <c r="K795" s="80"/>
      <c r="L795" s="80"/>
      <c r="M795" s="80"/>
      <c r="N795" s="80"/>
    </row>
    <row r="796">
      <c r="G796" s="80"/>
      <c r="H796" s="80"/>
      <c r="I796" s="80"/>
      <c r="J796" s="80"/>
      <c r="K796" s="80"/>
      <c r="L796" s="80"/>
      <c r="M796" s="80"/>
      <c r="N796" s="80"/>
    </row>
    <row r="797">
      <c r="G797" s="80"/>
      <c r="H797" s="80"/>
      <c r="I797" s="80"/>
      <c r="J797" s="80"/>
      <c r="K797" s="80"/>
      <c r="L797" s="80"/>
      <c r="M797" s="80"/>
      <c r="N797" s="80"/>
    </row>
    <row r="798">
      <c r="G798" s="80"/>
      <c r="H798" s="80"/>
      <c r="I798" s="80"/>
      <c r="J798" s="80"/>
      <c r="K798" s="80"/>
      <c r="L798" s="80"/>
      <c r="M798" s="80"/>
      <c r="N798" s="80"/>
    </row>
    <row r="799">
      <c r="G799" s="80"/>
      <c r="H799" s="80"/>
      <c r="I799" s="80"/>
      <c r="J799" s="80"/>
      <c r="K799" s="80"/>
      <c r="L799" s="80"/>
      <c r="M799" s="80"/>
      <c r="N799" s="80"/>
    </row>
    <row r="800">
      <c r="G800" s="80"/>
      <c r="H800" s="80"/>
      <c r="I800" s="80"/>
      <c r="J800" s="80"/>
      <c r="K800" s="80"/>
      <c r="L800" s="80"/>
      <c r="M800" s="80"/>
      <c r="N800" s="80"/>
    </row>
    <row r="801">
      <c r="G801" s="80"/>
      <c r="H801" s="80"/>
      <c r="I801" s="80"/>
      <c r="J801" s="80"/>
      <c r="K801" s="80"/>
      <c r="L801" s="80"/>
      <c r="M801" s="80"/>
      <c r="N801" s="80"/>
    </row>
    <row r="802">
      <c r="G802" s="80"/>
      <c r="H802" s="80"/>
      <c r="I802" s="80"/>
      <c r="J802" s="80"/>
      <c r="K802" s="80"/>
      <c r="L802" s="80"/>
      <c r="M802" s="80"/>
      <c r="N802" s="80"/>
    </row>
    <row r="803">
      <c r="G803" s="80"/>
      <c r="H803" s="80"/>
      <c r="I803" s="80"/>
      <c r="J803" s="80"/>
      <c r="K803" s="80"/>
      <c r="L803" s="80"/>
      <c r="M803" s="80"/>
      <c r="N803" s="80"/>
    </row>
    <row r="804">
      <c r="G804" s="80"/>
      <c r="H804" s="80"/>
      <c r="I804" s="80"/>
      <c r="J804" s="80"/>
      <c r="K804" s="80"/>
      <c r="L804" s="80"/>
      <c r="M804" s="80"/>
      <c r="N804" s="80"/>
    </row>
    <row r="805">
      <c r="G805" s="80"/>
      <c r="H805" s="80"/>
      <c r="I805" s="80"/>
      <c r="J805" s="80"/>
      <c r="K805" s="80"/>
      <c r="L805" s="80"/>
      <c r="M805" s="80"/>
      <c r="N805" s="80"/>
    </row>
    <row r="806">
      <c r="G806" s="80"/>
      <c r="H806" s="80"/>
      <c r="I806" s="80"/>
      <c r="J806" s="80"/>
      <c r="K806" s="80"/>
      <c r="L806" s="80"/>
      <c r="M806" s="80"/>
      <c r="N806" s="80"/>
    </row>
    <row r="807">
      <c r="G807" s="80"/>
      <c r="H807" s="80"/>
      <c r="I807" s="80"/>
      <c r="J807" s="80"/>
      <c r="K807" s="80"/>
      <c r="L807" s="80"/>
      <c r="M807" s="80"/>
      <c r="N807" s="80"/>
    </row>
    <row r="808">
      <c r="G808" s="80"/>
      <c r="H808" s="80"/>
      <c r="I808" s="80"/>
      <c r="J808" s="80"/>
      <c r="K808" s="80"/>
      <c r="L808" s="80"/>
      <c r="M808" s="80"/>
      <c r="N808" s="80"/>
    </row>
    <row r="809">
      <c r="G809" s="80"/>
      <c r="H809" s="80"/>
      <c r="I809" s="80"/>
      <c r="J809" s="80"/>
      <c r="K809" s="80"/>
      <c r="L809" s="80"/>
      <c r="M809" s="80"/>
      <c r="N809" s="80"/>
    </row>
    <row r="810">
      <c r="G810" s="80"/>
      <c r="H810" s="80"/>
      <c r="I810" s="80"/>
      <c r="J810" s="80"/>
      <c r="K810" s="80"/>
      <c r="L810" s="80"/>
      <c r="M810" s="80"/>
      <c r="N810" s="80"/>
    </row>
    <row r="811">
      <c r="G811" s="80"/>
      <c r="H811" s="80"/>
      <c r="I811" s="80"/>
      <c r="J811" s="80"/>
      <c r="K811" s="80"/>
      <c r="L811" s="80"/>
      <c r="M811" s="80"/>
      <c r="N811" s="80"/>
    </row>
    <row r="812">
      <c r="G812" s="80"/>
      <c r="H812" s="80"/>
      <c r="I812" s="80"/>
      <c r="J812" s="80"/>
      <c r="K812" s="80"/>
      <c r="L812" s="80"/>
      <c r="M812" s="80"/>
      <c r="N812" s="80"/>
    </row>
    <row r="813">
      <c r="G813" s="80"/>
      <c r="H813" s="80"/>
      <c r="I813" s="80"/>
      <c r="J813" s="80"/>
      <c r="K813" s="80"/>
      <c r="L813" s="80"/>
      <c r="M813" s="80"/>
      <c r="N813" s="80"/>
    </row>
    <row r="814">
      <c r="G814" s="80"/>
      <c r="H814" s="80"/>
      <c r="I814" s="80"/>
      <c r="J814" s="80"/>
      <c r="K814" s="80"/>
      <c r="L814" s="80"/>
      <c r="M814" s="80"/>
      <c r="N814" s="80"/>
    </row>
    <row r="815">
      <c r="G815" s="80"/>
      <c r="H815" s="80"/>
      <c r="I815" s="80"/>
      <c r="J815" s="80"/>
      <c r="K815" s="80"/>
      <c r="L815" s="80"/>
      <c r="M815" s="80"/>
      <c r="N815" s="80"/>
    </row>
    <row r="816">
      <c r="G816" s="80"/>
      <c r="H816" s="80"/>
      <c r="I816" s="80"/>
      <c r="J816" s="80"/>
      <c r="K816" s="80"/>
      <c r="L816" s="80"/>
      <c r="M816" s="80"/>
      <c r="N816" s="80"/>
    </row>
    <row r="817">
      <c r="G817" s="80"/>
      <c r="H817" s="80"/>
      <c r="I817" s="80"/>
      <c r="J817" s="80"/>
      <c r="K817" s="80"/>
      <c r="L817" s="80"/>
      <c r="M817" s="80"/>
      <c r="N817" s="80"/>
    </row>
    <row r="818">
      <c r="G818" s="80"/>
      <c r="H818" s="80"/>
      <c r="I818" s="80"/>
      <c r="J818" s="80"/>
      <c r="K818" s="80"/>
      <c r="L818" s="80"/>
      <c r="M818" s="80"/>
      <c r="N818" s="80"/>
    </row>
    <row r="819">
      <c r="G819" s="80"/>
      <c r="H819" s="80"/>
      <c r="I819" s="80"/>
      <c r="J819" s="80"/>
      <c r="K819" s="80"/>
      <c r="L819" s="80"/>
      <c r="M819" s="80"/>
      <c r="N819" s="80"/>
    </row>
    <row r="820">
      <c r="G820" s="80"/>
      <c r="H820" s="80"/>
      <c r="I820" s="80"/>
      <c r="J820" s="80"/>
      <c r="K820" s="80"/>
      <c r="L820" s="80"/>
      <c r="M820" s="80"/>
      <c r="N820" s="80"/>
    </row>
    <row r="821">
      <c r="G821" s="80"/>
      <c r="H821" s="80"/>
      <c r="I821" s="80"/>
      <c r="J821" s="80"/>
      <c r="K821" s="80"/>
      <c r="L821" s="80"/>
      <c r="M821" s="80"/>
      <c r="N821" s="80"/>
    </row>
    <row r="822">
      <c r="G822" s="80"/>
      <c r="H822" s="80"/>
      <c r="I822" s="80"/>
      <c r="J822" s="80"/>
      <c r="K822" s="80"/>
      <c r="L822" s="80"/>
      <c r="M822" s="80"/>
      <c r="N822" s="80"/>
    </row>
    <row r="823">
      <c r="G823" s="80"/>
      <c r="H823" s="80"/>
      <c r="I823" s="80"/>
      <c r="J823" s="80"/>
      <c r="K823" s="80"/>
      <c r="L823" s="80"/>
      <c r="M823" s="80"/>
      <c r="N823" s="80"/>
    </row>
    <row r="824">
      <c r="G824" s="80"/>
      <c r="H824" s="80"/>
      <c r="I824" s="80"/>
      <c r="J824" s="80"/>
      <c r="K824" s="80"/>
      <c r="L824" s="80"/>
      <c r="M824" s="80"/>
      <c r="N824" s="80"/>
    </row>
    <row r="825">
      <c r="G825" s="80"/>
      <c r="H825" s="80"/>
      <c r="I825" s="80"/>
      <c r="J825" s="80"/>
      <c r="K825" s="80"/>
      <c r="L825" s="80"/>
      <c r="M825" s="80"/>
      <c r="N825" s="80"/>
    </row>
    <row r="826">
      <c r="G826" s="80"/>
      <c r="H826" s="80"/>
      <c r="I826" s="80"/>
      <c r="J826" s="80"/>
      <c r="K826" s="80"/>
      <c r="L826" s="80"/>
      <c r="M826" s="80"/>
      <c r="N826" s="80"/>
    </row>
    <row r="827">
      <c r="G827" s="80"/>
      <c r="H827" s="80"/>
      <c r="I827" s="80"/>
      <c r="J827" s="80"/>
      <c r="K827" s="80"/>
      <c r="L827" s="80"/>
      <c r="M827" s="80"/>
      <c r="N827" s="80"/>
    </row>
    <row r="828">
      <c r="G828" s="80"/>
      <c r="H828" s="80"/>
      <c r="I828" s="80"/>
      <c r="J828" s="80"/>
      <c r="K828" s="80"/>
      <c r="L828" s="80"/>
      <c r="M828" s="80"/>
      <c r="N828" s="80"/>
    </row>
    <row r="829">
      <c r="G829" s="80"/>
      <c r="H829" s="80"/>
      <c r="I829" s="80"/>
      <c r="J829" s="80"/>
      <c r="K829" s="80"/>
      <c r="L829" s="80"/>
      <c r="M829" s="80"/>
      <c r="N829" s="80"/>
    </row>
    <row r="830">
      <c r="G830" s="80"/>
      <c r="H830" s="80"/>
      <c r="I830" s="80"/>
      <c r="J830" s="80"/>
      <c r="K830" s="80"/>
      <c r="L830" s="80"/>
      <c r="M830" s="80"/>
      <c r="N830" s="80"/>
    </row>
    <row r="831">
      <c r="G831" s="80"/>
      <c r="H831" s="80"/>
      <c r="I831" s="80"/>
      <c r="J831" s="80"/>
      <c r="K831" s="80"/>
      <c r="L831" s="80"/>
      <c r="M831" s="80"/>
      <c r="N831" s="80"/>
    </row>
    <row r="832">
      <c r="G832" s="80"/>
      <c r="H832" s="80"/>
      <c r="I832" s="80"/>
      <c r="J832" s="80"/>
      <c r="K832" s="80"/>
      <c r="L832" s="80"/>
      <c r="M832" s="80"/>
      <c r="N832" s="80"/>
    </row>
    <row r="833">
      <c r="G833" s="80"/>
      <c r="H833" s="80"/>
      <c r="I833" s="80"/>
      <c r="J833" s="80"/>
      <c r="K833" s="80"/>
      <c r="L833" s="80"/>
      <c r="M833" s="80"/>
      <c r="N833" s="80"/>
    </row>
    <row r="834">
      <c r="G834" s="80"/>
      <c r="H834" s="80"/>
      <c r="I834" s="80"/>
      <c r="J834" s="80"/>
      <c r="K834" s="80"/>
      <c r="L834" s="80"/>
      <c r="M834" s="80"/>
      <c r="N834" s="80"/>
    </row>
    <row r="835">
      <c r="G835" s="80"/>
      <c r="H835" s="80"/>
      <c r="I835" s="80"/>
      <c r="J835" s="80"/>
      <c r="K835" s="80"/>
      <c r="L835" s="80"/>
      <c r="M835" s="80"/>
      <c r="N835" s="80"/>
    </row>
    <row r="836">
      <c r="G836" s="80"/>
      <c r="H836" s="80"/>
      <c r="I836" s="80"/>
      <c r="J836" s="80"/>
      <c r="K836" s="80"/>
      <c r="L836" s="80"/>
      <c r="M836" s="80"/>
      <c r="N836" s="80"/>
    </row>
    <row r="837">
      <c r="G837" s="80"/>
      <c r="H837" s="80"/>
      <c r="I837" s="80"/>
      <c r="J837" s="80"/>
      <c r="K837" s="80"/>
      <c r="L837" s="80"/>
      <c r="M837" s="80"/>
      <c r="N837" s="80"/>
    </row>
    <row r="838">
      <c r="G838" s="80"/>
      <c r="H838" s="80"/>
      <c r="I838" s="80"/>
      <c r="J838" s="80"/>
      <c r="K838" s="80"/>
      <c r="L838" s="80"/>
      <c r="M838" s="80"/>
      <c r="N838" s="80"/>
    </row>
    <row r="839">
      <c r="G839" s="80"/>
      <c r="H839" s="80"/>
      <c r="I839" s="80"/>
      <c r="J839" s="80"/>
      <c r="K839" s="80"/>
      <c r="L839" s="80"/>
      <c r="M839" s="80"/>
      <c r="N839" s="80"/>
    </row>
    <row r="840">
      <c r="G840" s="80"/>
      <c r="H840" s="80"/>
      <c r="I840" s="80"/>
      <c r="J840" s="80"/>
      <c r="K840" s="80"/>
      <c r="L840" s="80"/>
      <c r="M840" s="80"/>
      <c r="N840" s="80"/>
    </row>
    <row r="841">
      <c r="G841" s="80"/>
      <c r="H841" s="80"/>
      <c r="I841" s="80"/>
      <c r="J841" s="80"/>
      <c r="K841" s="80"/>
      <c r="L841" s="80"/>
      <c r="M841" s="80"/>
      <c r="N841" s="80"/>
    </row>
    <row r="842">
      <c r="G842" s="80"/>
      <c r="H842" s="80"/>
      <c r="I842" s="80"/>
      <c r="J842" s="80"/>
      <c r="K842" s="80"/>
      <c r="L842" s="80"/>
      <c r="M842" s="80"/>
      <c r="N842" s="80"/>
    </row>
    <row r="843">
      <c r="G843" s="80"/>
      <c r="H843" s="80"/>
      <c r="I843" s="80"/>
      <c r="J843" s="80"/>
      <c r="K843" s="80"/>
      <c r="L843" s="80"/>
      <c r="M843" s="80"/>
      <c r="N843" s="80"/>
    </row>
    <row r="844">
      <c r="G844" s="80"/>
      <c r="H844" s="80"/>
      <c r="I844" s="80"/>
      <c r="J844" s="80"/>
      <c r="K844" s="80"/>
      <c r="L844" s="80"/>
      <c r="M844" s="80"/>
      <c r="N844" s="80"/>
    </row>
    <row r="845">
      <c r="G845" s="80"/>
      <c r="H845" s="80"/>
      <c r="I845" s="80"/>
      <c r="J845" s="80"/>
      <c r="K845" s="80"/>
      <c r="L845" s="80"/>
      <c r="M845" s="80"/>
      <c r="N845" s="80"/>
    </row>
    <row r="846">
      <c r="G846" s="80"/>
      <c r="H846" s="80"/>
      <c r="I846" s="80"/>
      <c r="J846" s="80"/>
      <c r="K846" s="80"/>
      <c r="L846" s="80"/>
      <c r="M846" s="80"/>
      <c r="N846" s="80"/>
    </row>
    <row r="847">
      <c r="G847" s="80"/>
      <c r="H847" s="80"/>
      <c r="I847" s="80"/>
      <c r="J847" s="80"/>
      <c r="K847" s="80"/>
      <c r="L847" s="80"/>
      <c r="M847" s="80"/>
      <c r="N847" s="80"/>
    </row>
    <row r="848">
      <c r="G848" s="80"/>
      <c r="H848" s="80"/>
      <c r="I848" s="80"/>
      <c r="J848" s="80"/>
      <c r="K848" s="80"/>
      <c r="L848" s="80"/>
      <c r="M848" s="80"/>
      <c r="N848" s="80"/>
    </row>
    <row r="849">
      <c r="G849" s="80"/>
      <c r="H849" s="80"/>
      <c r="I849" s="80"/>
      <c r="J849" s="80"/>
      <c r="K849" s="80"/>
      <c r="L849" s="80"/>
      <c r="M849" s="80"/>
      <c r="N849" s="80"/>
    </row>
    <row r="850">
      <c r="G850" s="80"/>
      <c r="H850" s="80"/>
      <c r="I850" s="80"/>
      <c r="J850" s="80"/>
      <c r="K850" s="80"/>
      <c r="L850" s="80"/>
      <c r="M850" s="80"/>
      <c r="N850" s="80"/>
    </row>
    <row r="851">
      <c r="G851" s="80"/>
      <c r="H851" s="80"/>
      <c r="I851" s="80"/>
      <c r="J851" s="80"/>
      <c r="K851" s="80"/>
      <c r="L851" s="80"/>
      <c r="M851" s="80"/>
      <c r="N851" s="80"/>
    </row>
    <row r="852">
      <c r="G852" s="80"/>
      <c r="H852" s="80"/>
      <c r="I852" s="80"/>
      <c r="J852" s="80"/>
      <c r="K852" s="80"/>
      <c r="L852" s="80"/>
      <c r="M852" s="80"/>
      <c r="N852" s="80"/>
    </row>
    <row r="853">
      <c r="G853" s="80"/>
      <c r="H853" s="80"/>
      <c r="I853" s="80"/>
      <c r="J853" s="80"/>
      <c r="K853" s="80"/>
      <c r="L853" s="80"/>
      <c r="M853" s="80"/>
      <c r="N853" s="80"/>
    </row>
    <row r="854">
      <c r="G854" s="80"/>
      <c r="H854" s="80"/>
      <c r="I854" s="80"/>
      <c r="J854" s="80"/>
      <c r="K854" s="80"/>
      <c r="L854" s="80"/>
      <c r="M854" s="80"/>
      <c r="N854" s="80"/>
    </row>
    <row r="855">
      <c r="G855" s="80"/>
      <c r="H855" s="80"/>
      <c r="I855" s="80"/>
      <c r="J855" s="80"/>
      <c r="K855" s="80"/>
      <c r="L855" s="80"/>
      <c r="M855" s="80"/>
      <c r="N855" s="80"/>
    </row>
    <row r="856">
      <c r="G856" s="80"/>
      <c r="H856" s="80"/>
      <c r="I856" s="80"/>
      <c r="J856" s="80"/>
      <c r="K856" s="80"/>
      <c r="L856" s="80"/>
      <c r="M856" s="80"/>
      <c r="N856" s="80"/>
    </row>
    <row r="857">
      <c r="G857" s="80"/>
      <c r="H857" s="80"/>
      <c r="I857" s="80"/>
      <c r="J857" s="80"/>
      <c r="K857" s="80"/>
      <c r="L857" s="80"/>
      <c r="M857" s="80"/>
      <c r="N857" s="80"/>
    </row>
    <row r="858">
      <c r="G858" s="80"/>
      <c r="H858" s="80"/>
      <c r="I858" s="80"/>
      <c r="J858" s="80"/>
      <c r="K858" s="80"/>
      <c r="L858" s="80"/>
      <c r="M858" s="80"/>
      <c r="N858" s="80"/>
    </row>
    <row r="859">
      <c r="G859" s="80"/>
      <c r="H859" s="80"/>
      <c r="I859" s="80"/>
      <c r="J859" s="80"/>
      <c r="K859" s="80"/>
      <c r="L859" s="80"/>
      <c r="M859" s="80"/>
      <c r="N859" s="80"/>
    </row>
    <row r="860">
      <c r="G860" s="80"/>
      <c r="H860" s="80"/>
      <c r="I860" s="80"/>
      <c r="J860" s="80"/>
      <c r="K860" s="80"/>
      <c r="L860" s="80"/>
      <c r="M860" s="80"/>
      <c r="N860" s="80"/>
    </row>
    <row r="861">
      <c r="G861" s="80"/>
      <c r="H861" s="80"/>
      <c r="I861" s="80"/>
      <c r="J861" s="80"/>
      <c r="K861" s="80"/>
      <c r="L861" s="80"/>
      <c r="M861" s="80"/>
      <c r="N861" s="80"/>
    </row>
    <row r="862">
      <c r="G862" s="80"/>
      <c r="H862" s="80"/>
      <c r="I862" s="80"/>
      <c r="J862" s="80"/>
      <c r="K862" s="80"/>
      <c r="L862" s="80"/>
      <c r="M862" s="80"/>
      <c r="N862" s="80"/>
    </row>
    <row r="863">
      <c r="G863" s="80"/>
      <c r="H863" s="80"/>
      <c r="I863" s="80"/>
      <c r="J863" s="80"/>
      <c r="K863" s="80"/>
      <c r="L863" s="80"/>
      <c r="M863" s="80"/>
      <c r="N863" s="80"/>
    </row>
    <row r="864">
      <c r="G864" s="80"/>
      <c r="H864" s="80"/>
      <c r="I864" s="80"/>
      <c r="J864" s="80"/>
      <c r="K864" s="80"/>
      <c r="L864" s="80"/>
      <c r="M864" s="80"/>
      <c r="N864" s="80"/>
    </row>
    <row r="865">
      <c r="G865" s="80"/>
      <c r="H865" s="80"/>
      <c r="I865" s="80"/>
      <c r="J865" s="80"/>
      <c r="K865" s="80"/>
      <c r="L865" s="80"/>
      <c r="M865" s="80"/>
      <c r="N865" s="80"/>
    </row>
    <row r="866">
      <c r="G866" s="80"/>
      <c r="H866" s="80"/>
      <c r="I866" s="80"/>
      <c r="J866" s="80"/>
      <c r="K866" s="80"/>
      <c r="L866" s="80"/>
      <c r="M866" s="80"/>
      <c r="N866" s="80"/>
    </row>
    <row r="867">
      <c r="G867" s="80"/>
      <c r="H867" s="80"/>
      <c r="I867" s="80"/>
      <c r="J867" s="80"/>
      <c r="K867" s="80"/>
      <c r="L867" s="80"/>
      <c r="M867" s="80"/>
      <c r="N867" s="80"/>
    </row>
    <row r="868">
      <c r="G868" s="80"/>
      <c r="H868" s="80"/>
      <c r="I868" s="80"/>
      <c r="J868" s="80"/>
      <c r="K868" s="80"/>
      <c r="L868" s="80"/>
      <c r="M868" s="80"/>
      <c r="N868" s="80"/>
    </row>
    <row r="869">
      <c r="G869" s="80"/>
      <c r="H869" s="80"/>
      <c r="I869" s="80"/>
      <c r="J869" s="80"/>
      <c r="K869" s="80"/>
      <c r="L869" s="80"/>
      <c r="M869" s="80"/>
      <c r="N869" s="80"/>
    </row>
    <row r="870">
      <c r="G870" s="80"/>
      <c r="H870" s="80"/>
      <c r="I870" s="80"/>
      <c r="J870" s="80"/>
      <c r="K870" s="80"/>
      <c r="L870" s="80"/>
      <c r="M870" s="80"/>
      <c r="N870" s="80"/>
    </row>
    <row r="871">
      <c r="G871" s="80"/>
      <c r="H871" s="80"/>
      <c r="I871" s="80"/>
      <c r="J871" s="80"/>
      <c r="K871" s="80"/>
      <c r="L871" s="80"/>
      <c r="M871" s="80"/>
      <c r="N871" s="80"/>
    </row>
    <row r="872">
      <c r="G872" s="80"/>
      <c r="H872" s="80"/>
      <c r="I872" s="80"/>
      <c r="J872" s="80"/>
      <c r="K872" s="80"/>
      <c r="L872" s="80"/>
      <c r="M872" s="80"/>
      <c r="N872" s="80"/>
    </row>
    <row r="873">
      <c r="G873" s="80"/>
      <c r="H873" s="80"/>
      <c r="I873" s="80"/>
      <c r="J873" s="80"/>
      <c r="K873" s="80"/>
      <c r="L873" s="80"/>
      <c r="M873" s="80"/>
      <c r="N873" s="80"/>
    </row>
    <row r="874">
      <c r="G874" s="80"/>
      <c r="H874" s="80"/>
      <c r="I874" s="80"/>
      <c r="J874" s="80"/>
      <c r="K874" s="80"/>
      <c r="L874" s="80"/>
      <c r="M874" s="80"/>
      <c r="N874" s="80"/>
    </row>
    <row r="875">
      <c r="G875" s="80"/>
      <c r="H875" s="80"/>
      <c r="I875" s="80"/>
      <c r="J875" s="80"/>
      <c r="K875" s="80"/>
      <c r="L875" s="80"/>
      <c r="M875" s="80"/>
      <c r="N875" s="80"/>
    </row>
    <row r="876">
      <c r="G876" s="80"/>
      <c r="H876" s="80"/>
      <c r="I876" s="80"/>
      <c r="J876" s="80"/>
      <c r="K876" s="80"/>
      <c r="L876" s="80"/>
      <c r="M876" s="80"/>
      <c r="N876" s="80"/>
    </row>
    <row r="877">
      <c r="G877" s="80"/>
      <c r="H877" s="80"/>
      <c r="I877" s="80"/>
      <c r="J877" s="80"/>
      <c r="K877" s="80"/>
      <c r="L877" s="80"/>
      <c r="M877" s="80"/>
      <c r="N877" s="80"/>
    </row>
    <row r="878">
      <c r="G878" s="80"/>
      <c r="H878" s="80"/>
      <c r="I878" s="80"/>
      <c r="J878" s="80"/>
      <c r="K878" s="80"/>
      <c r="L878" s="80"/>
      <c r="M878" s="80"/>
      <c r="N878" s="80"/>
    </row>
    <row r="879">
      <c r="G879" s="80"/>
      <c r="H879" s="80"/>
      <c r="I879" s="80"/>
      <c r="J879" s="80"/>
      <c r="K879" s="80"/>
      <c r="L879" s="80"/>
      <c r="M879" s="80"/>
      <c r="N879" s="80"/>
    </row>
    <row r="880">
      <c r="G880" s="80"/>
      <c r="H880" s="80"/>
      <c r="I880" s="80"/>
      <c r="J880" s="80"/>
      <c r="K880" s="80"/>
      <c r="L880" s="80"/>
      <c r="M880" s="80"/>
      <c r="N880" s="80"/>
    </row>
    <row r="881">
      <c r="G881" s="80"/>
      <c r="H881" s="80"/>
      <c r="I881" s="80"/>
      <c r="J881" s="80"/>
      <c r="K881" s="80"/>
      <c r="L881" s="80"/>
      <c r="M881" s="80"/>
      <c r="N881" s="80"/>
    </row>
    <row r="882">
      <c r="G882" s="80"/>
      <c r="H882" s="80"/>
      <c r="I882" s="80"/>
      <c r="J882" s="80"/>
      <c r="K882" s="80"/>
      <c r="L882" s="80"/>
      <c r="M882" s="80"/>
      <c r="N882" s="80"/>
    </row>
    <row r="883">
      <c r="G883" s="80"/>
      <c r="H883" s="80"/>
      <c r="I883" s="80"/>
      <c r="J883" s="80"/>
      <c r="K883" s="80"/>
      <c r="L883" s="80"/>
      <c r="M883" s="80"/>
      <c r="N883" s="80"/>
    </row>
    <row r="884">
      <c r="G884" s="80"/>
      <c r="H884" s="80"/>
      <c r="I884" s="80"/>
      <c r="J884" s="80"/>
      <c r="K884" s="80"/>
      <c r="L884" s="80"/>
      <c r="M884" s="80"/>
      <c r="N884" s="80"/>
    </row>
    <row r="885">
      <c r="G885" s="80"/>
      <c r="H885" s="80"/>
      <c r="I885" s="80"/>
      <c r="J885" s="80"/>
      <c r="K885" s="80"/>
      <c r="L885" s="80"/>
      <c r="M885" s="80"/>
      <c r="N885" s="80"/>
    </row>
    <row r="886">
      <c r="G886" s="80"/>
      <c r="H886" s="80"/>
      <c r="I886" s="80"/>
      <c r="J886" s="80"/>
      <c r="K886" s="80"/>
      <c r="L886" s="80"/>
      <c r="M886" s="80"/>
      <c r="N886" s="80"/>
    </row>
    <row r="887">
      <c r="G887" s="80"/>
      <c r="H887" s="80"/>
      <c r="I887" s="80"/>
      <c r="J887" s="80"/>
      <c r="K887" s="80"/>
      <c r="L887" s="80"/>
      <c r="M887" s="80"/>
      <c r="N887" s="80"/>
    </row>
    <row r="888">
      <c r="G888" s="80"/>
      <c r="H888" s="80"/>
      <c r="I888" s="80"/>
      <c r="J888" s="80"/>
      <c r="K888" s="80"/>
      <c r="L888" s="80"/>
      <c r="M888" s="80"/>
      <c r="N888" s="80"/>
    </row>
    <row r="889">
      <c r="G889" s="80"/>
      <c r="H889" s="80"/>
      <c r="I889" s="80"/>
      <c r="J889" s="80"/>
      <c r="K889" s="80"/>
      <c r="L889" s="80"/>
      <c r="M889" s="80"/>
      <c r="N889" s="80"/>
    </row>
    <row r="890">
      <c r="G890" s="80"/>
      <c r="H890" s="80"/>
      <c r="I890" s="80"/>
      <c r="J890" s="80"/>
      <c r="K890" s="80"/>
      <c r="L890" s="80"/>
      <c r="M890" s="80"/>
      <c r="N890" s="80"/>
    </row>
    <row r="891">
      <c r="G891" s="80"/>
      <c r="H891" s="80"/>
      <c r="I891" s="80"/>
      <c r="J891" s="80"/>
      <c r="K891" s="80"/>
      <c r="L891" s="80"/>
      <c r="M891" s="80"/>
      <c r="N891" s="80"/>
    </row>
    <row r="892">
      <c r="G892" s="80"/>
      <c r="H892" s="80"/>
      <c r="I892" s="80"/>
      <c r="J892" s="80"/>
      <c r="K892" s="80"/>
      <c r="L892" s="80"/>
      <c r="M892" s="80"/>
      <c r="N892" s="80"/>
    </row>
    <row r="893">
      <c r="G893" s="80"/>
      <c r="H893" s="80"/>
      <c r="I893" s="80"/>
      <c r="J893" s="80"/>
      <c r="K893" s="80"/>
      <c r="L893" s="80"/>
      <c r="M893" s="80"/>
      <c r="N893" s="80"/>
    </row>
    <row r="894">
      <c r="G894" s="80"/>
      <c r="H894" s="80"/>
      <c r="I894" s="80"/>
      <c r="J894" s="80"/>
      <c r="K894" s="80"/>
      <c r="L894" s="80"/>
      <c r="M894" s="80"/>
      <c r="N894" s="80"/>
    </row>
    <row r="895">
      <c r="G895" s="80"/>
      <c r="H895" s="80"/>
      <c r="I895" s="80"/>
      <c r="J895" s="80"/>
      <c r="K895" s="80"/>
      <c r="L895" s="80"/>
      <c r="M895" s="80"/>
      <c r="N895" s="80"/>
    </row>
    <row r="896">
      <c r="G896" s="80"/>
      <c r="H896" s="80"/>
      <c r="I896" s="80"/>
      <c r="J896" s="80"/>
      <c r="K896" s="80"/>
      <c r="L896" s="80"/>
      <c r="M896" s="80"/>
      <c r="N896" s="80"/>
    </row>
    <row r="897">
      <c r="G897" s="80"/>
      <c r="H897" s="80"/>
      <c r="I897" s="80"/>
      <c r="J897" s="80"/>
      <c r="K897" s="80"/>
      <c r="L897" s="80"/>
      <c r="M897" s="80"/>
      <c r="N897" s="80"/>
    </row>
    <row r="898">
      <c r="G898" s="80"/>
      <c r="H898" s="80"/>
      <c r="I898" s="80"/>
      <c r="J898" s="80"/>
      <c r="K898" s="80"/>
      <c r="L898" s="80"/>
      <c r="M898" s="80"/>
      <c r="N898" s="80"/>
    </row>
    <row r="899">
      <c r="G899" s="80"/>
      <c r="H899" s="80"/>
      <c r="I899" s="80"/>
      <c r="J899" s="80"/>
      <c r="K899" s="80"/>
      <c r="L899" s="80"/>
      <c r="M899" s="80"/>
      <c r="N899" s="80"/>
    </row>
    <row r="900">
      <c r="G900" s="80"/>
      <c r="H900" s="80"/>
      <c r="I900" s="80"/>
      <c r="J900" s="80"/>
      <c r="K900" s="80"/>
      <c r="L900" s="80"/>
      <c r="M900" s="80"/>
      <c r="N900" s="80"/>
    </row>
    <row r="901">
      <c r="G901" s="80"/>
      <c r="H901" s="80"/>
      <c r="I901" s="80"/>
      <c r="J901" s="80"/>
      <c r="K901" s="80"/>
      <c r="L901" s="80"/>
      <c r="M901" s="80"/>
      <c r="N901" s="80"/>
    </row>
    <row r="902">
      <c r="G902" s="80"/>
      <c r="H902" s="80"/>
      <c r="I902" s="80"/>
      <c r="J902" s="80"/>
      <c r="K902" s="80"/>
      <c r="L902" s="80"/>
      <c r="M902" s="80"/>
      <c r="N902" s="80"/>
    </row>
    <row r="903">
      <c r="G903" s="80"/>
      <c r="H903" s="80"/>
      <c r="I903" s="80"/>
      <c r="J903" s="80"/>
      <c r="K903" s="80"/>
      <c r="L903" s="80"/>
      <c r="M903" s="80"/>
      <c r="N903" s="80"/>
    </row>
    <row r="904">
      <c r="G904" s="80"/>
      <c r="H904" s="80"/>
      <c r="I904" s="80"/>
      <c r="J904" s="80"/>
      <c r="K904" s="80"/>
      <c r="L904" s="80"/>
      <c r="M904" s="80"/>
      <c r="N904" s="80"/>
    </row>
    <row r="905">
      <c r="G905" s="80"/>
      <c r="H905" s="80"/>
      <c r="I905" s="80"/>
      <c r="J905" s="80"/>
      <c r="K905" s="80"/>
      <c r="L905" s="80"/>
      <c r="M905" s="80"/>
      <c r="N905" s="80"/>
    </row>
    <row r="906">
      <c r="G906" s="80"/>
      <c r="H906" s="80"/>
      <c r="I906" s="80"/>
      <c r="J906" s="80"/>
      <c r="K906" s="80"/>
      <c r="L906" s="80"/>
      <c r="M906" s="80"/>
      <c r="N906" s="80"/>
    </row>
    <row r="907">
      <c r="G907" s="80"/>
      <c r="H907" s="80"/>
      <c r="I907" s="80"/>
      <c r="J907" s="80"/>
      <c r="K907" s="80"/>
      <c r="L907" s="80"/>
      <c r="M907" s="80"/>
      <c r="N907" s="80"/>
    </row>
    <row r="908">
      <c r="G908" s="80"/>
      <c r="H908" s="80"/>
      <c r="I908" s="80"/>
      <c r="J908" s="80"/>
      <c r="K908" s="80"/>
      <c r="L908" s="80"/>
      <c r="M908" s="80"/>
      <c r="N908" s="80"/>
    </row>
    <row r="909">
      <c r="G909" s="80"/>
      <c r="H909" s="80"/>
      <c r="I909" s="80"/>
      <c r="J909" s="80"/>
      <c r="K909" s="80"/>
      <c r="L909" s="80"/>
      <c r="M909" s="80"/>
      <c r="N909" s="80"/>
    </row>
    <row r="910">
      <c r="G910" s="80"/>
      <c r="H910" s="80"/>
      <c r="I910" s="80"/>
      <c r="J910" s="80"/>
      <c r="K910" s="80"/>
      <c r="L910" s="80"/>
      <c r="M910" s="80"/>
      <c r="N910" s="80"/>
    </row>
    <row r="911">
      <c r="G911" s="80"/>
      <c r="H911" s="80"/>
      <c r="I911" s="80"/>
      <c r="J911" s="80"/>
      <c r="K911" s="80"/>
      <c r="L911" s="80"/>
      <c r="M911" s="80"/>
      <c r="N911" s="80"/>
    </row>
    <row r="912">
      <c r="G912" s="80"/>
      <c r="H912" s="80"/>
      <c r="I912" s="80"/>
      <c r="J912" s="80"/>
      <c r="K912" s="80"/>
      <c r="L912" s="80"/>
      <c r="M912" s="80"/>
      <c r="N912" s="80"/>
    </row>
    <row r="913">
      <c r="G913" s="80"/>
      <c r="H913" s="80"/>
      <c r="I913" s="80"/>
      <c r="J913" s="80"/>
      <c r="K913" s="80"/>
      <c r="L913" s="80"/>
      <c r="M913" s="80"/>
      <c r="N913" s="80"/>
    </row>
    <row r="914">
      <c r="G914" s="80"/>
      <c r="H914" s="80"/>
      <c r="I914" s="80"/>
      <c r="J914" s="80"/>
      <c r="K914" s="80"/>
      <c r="L914" s="80"/>
      <c r="M914" s="80"/>
      <c r="N914" s="80"/>
    </row>
    <row r="915">
      <c r="G915" s="80"/>
      <c r="H915" s="80"/>
      <c r="I915" s="80"/>
      <c r="J915" s="80"/>
      <c r="K915" s="80"/>
      <c r="L915" s="80"/>
      <c r="M915" s="80"/>
      <c r="N915" s="80"/>
    </row>
    <row r="916">
      <c r="G916" s="80"/>
      <c r="H916" s="80"/>
      <c r="I916" s="80"/>
      <c r="J916" s="80"/>
      <c r="K916" s="80"/>
      <c r="L916" s="80"/>
      <c r="M916" s="80"/>
      <c r="N916" s="80"/>
    </row>
    <row r="917">
      <c r="G917" s="80"/>
      <c r="H917" s="80"/>
      <c r="I917" s="80"/>
      <c r="J917" s="80"/>
      <c r="K917" s="80"/>
      <c r="L917" s="80"/>
      <c r="M917" s="80"/>
      <c r="N917" s="80"/>
    </row>
    <row r="918">
      <c r="G918" s="80"/>
      <c r="H918" s="80"/>
      <c r="I918" s="80"/>
      <c r="J918" s="80"/>
      <c r="K918" s="80"/>
      <c r="L918" s="80"/>
      <c r="M918" s="80"/>
      <c r="N918" s="80"/>
    </row>
    <row r="919">
      <c r="G919" s="80"/>
      <c r="H919" s="80"/>
      <c r="I919" s="80"/>
      <c r="J919" s="80"/>
      <c r="K919" s="80"/>
      <c r="L919" s="80"/>
      <c r="M919" s="80"/>
      <c r="N919" s="80"/>
    </row>
    <row r="920">
      <c r="G920" s="80"/>
      <c r="H920" s="80"/>
      <c r="I920" s="80"/>
      <c r="J920" s="80"/>
      <c r="K920" s="80"/>
      <c r="L920" s="80"/>
      <c r="M920" s="80"/>
      <c r="N920" s="80"/>
    </row>
    <row r="921">
      <c r="G921" s="80"/>
      <c r="H921" s="80"/>
      <c r="I921" s="80"/>
      <c r="J921" s="80"/>
      <c r="K921" s="80"/>
      <c r="L921" s="80"/>
      <c r="M921" s="80"/>
      <c r="N921" s="80"/>
    </row>
    <row r="922">
      <c r="G922" s="80"/>
      <c r="H922" s="80"/>
      <c r="I922" s="80"/>
      <c r="J922" s="80"/>
      <c r="K922" s="80"/>
      <c r="L922" s="80"/>
      <c r="M922" s="80"/>
      <c r="N922" s="80"/>
    </row>
    <row r="923">
      <c r="G923" s="80"/>
      <c r="H923" s="80"/>
      <c r="I923" s="80"/>
      <c r="J923" s="80"/>
      <c r="K923" s="80"/>
      <c r="L923" s="80"/>
      <c r="M923" s="80"/>
      <c r="N923" s="80"/>
    </row>
    <row r="924">
      <c r="G924" s="80"/>
      <c r="H924" s="80"/>
      <c r="I924" s="80"/>
      <c r="J924" s="80"/>
      <c r="K924" s="80"/>
      <c r="L924" s="80"/>
      <c r="M924" s="80"/>
      <c r="N924" s="80"/>
    </row>
    <row r="925">
      <c r="G925" s="80"/>
      <c r="H925" s="80"/>
      <c r="I925" s="80"/>
      <c r="J925" s="80"/>
      <c r="K925" s="80"/>
      <c r="L925" s="80"/>
      <c r="M925" s="80"/>
      <c r="N925" s="80"/>
    </row>
    <row r="926">
      <c r="G926" s="80"/>
      <c r="H926" s="80"/>
      <c r="I926" s="80"/>
      <c r="J926" s="80"/>
      <c r="K926" s="80"/>
      <c r="L926" s="80"/>
      <c r="M926" s="80"/>
      <c r="N926" s="80"/>
    </row>
    <row r="927">
      <c r="G927" s="80"/>
      <c r="H927" s="80"/>
      <c r="I927" s="80"/>
      <c r="J927" s="80"/>
      <c r="K927" s="80"/>
      <c r="L927" s="80"/>
      <c r="M927" s="80"/>
      <c r="N927" s="80"/>
    </row>
    <row r="928">
      <c r="G928" s="80"/>
      <c r="H928" s="80"/>
      <c r="I928" s="80"/>
      <c r="J928" s="80"/>
      <c r="K928" s="80"/>
      <c r="L928" s="80"/>
      <c r="M928" s="80"/>
      <c r="N928" s="80"/>
    </row>
    <row r="929">
      <c r="G929" s="80"/>
      <c r="H929" s="80"/>
      <c r="I929" s="80"/>
      <c r="J929" s="80"/>
      <c r="K929" s="80"/>
      <c r="L929" s="80"/>
      <c r="M929" s="80"/>
      <c r="N929" s="80"/>
    </row>
    <row r="930">
      <c r="G930" s="80"/>
      <c r="H930" s="80"/>
      <c r="I930" s="80"/>
      <c r="J930" s="80"/>
      <c r="K930" s="80"/>
      <c r="L930" s="80"/>
      <c r="M930" s="80"/>
      <c r="N930" s="80"/>
    </row>
    <row r="931">
      <c r="G931" s="80"/>
      <c r="H931" s="80"/>
      <c r="I931" s="80"/>
      <c r="J931" s="80"/>
      <c r="K931" s="80"/>
      <c r="L931" s="80"/>
      <c r="M931" s="80"/>
      <c r="N931" s="80"/>
    </row>
    <row r="932">
      <c r="G932" s="80"/>
      <c r="H932" s="80"/>
      <c r="I932" s="80"/>
      <c r="J932" s="80"/>
      <c r="K932" s="80"/>
      <c r="L932" s="80"/>
      <c r="M932" s="80"/>
      <c r="N932" s="80"/>
    </row>
    <row r="933">
      <c r="G933" s="80"/>
      <c r="H933" s="80"/>
      <c r="I933" s="80"/>
      <c r="J933" s="80"/>
      <c r="K933" s="80"/>
      <c r="L933" s="80"/>
      <c r="M933" s="80"/>
      <c r="N933" s="80"/>
    </row>
    <row r="934">
      <c r="G934" s="80"/>
      <c r="H934" s="80"/>
      <c r="I934" s="80"/>
      <c r="J934" s="80"/>
      <c r="K934" s="80"/>
      <c r="L934" s="80"/>
      <c r="M934" s="80"/>
      <c r="N934" s="80"/>
    </row>
    <row r="935">
      <c r="G935" s="80"/>
      <c r="H935" s="80"/>
      <c r="I935" s="80"/>
      <c r="J935" s="80"/>
      <c r="K935" s="80"/>
      <c r="L935" s="80"/>
      <c r="M935" s="80"/>
      <c r="N935" s="80"/>
    </row>
    <row r="936">
      <c r="G936" s="80"/>
      <c r="H936" s="80"/>
      <c r="I936" s="80"/>
      <c r="J936" s="80"/>
      <c r="K936" s="80"/>
      <c r="L936" s="80"/>
      <c r="M936" s="80"/>
      <c r="N936" s="80"/>
    </row>
    <row r="937">
      <c r="G937" s="80"/>
      <c r="H937" s="80"/>
      <c r="I937" s="80"/>
      <c r="J937" s="80"/>
      <c r="K937" s="80"/>
      <c r="L937" s="80"/>
      <c r="M937" s="80"/>
      <c r="N937" s="80"/>
    </row>
    <row r="938">
      <c r="G938" s="80"/>
      <c r="H938" s="80"/>
      <c r="I938" s="80"/>
      <c r="J938" s="80"/>
      <c r="K938" s="80"/>
      <c r="L938" s="80"/>
      <c r="M938" s="80"/>
      <c r="N938" s="80"/>
    </row>
    <row r="939">
      <c r="G939" s="80"/>
      <c r="H939" s="80"/>
      <c r="I939" s="80"/>
      <c r="J939" s="80"/>
      <c r="K939" s="80"/>
      <c r="L939" s="80"/>
      <c r="M939" s="80"/>
      <c r="N939" s="80"/>
    </row>
    <row r="940">
      <c r="G940" s="80"/>
      <c r="H940" s="80"/>
      <c r="I940" s="80"/>
      <c r="J940" s="80"/>
      <c r="K940" s="80"/>
      <c r="L940" s="80"/>
      <c r="M940" s="80"/>
      <c r="N940" s="80"/>
    </row>
    <row r="941">
      <c r="G941" s="80"/>
      <c r="H941" s="80"/>
      <c r="I941" s="80"/>
      <c r="J941" s="80"/>
      <c r="K941" s="80"/>
      <c r="L941" s="80"/>
      <c r="M941" s="80"/>
      <c r="N941" s="80"/>
    </row>
    <row r="942">
      <c r="G942" s="80"/>
      <c r="H942" s="80"/>
      <c r="I942" s="80"/>
      <c r="J942" s="80"/>
      <c r="K942" s="80"/>
      <c r="L942" s="80"/>
      <c r="M942" s="80"/>
      <c r="N942" s="80"/>
    </row>
    <row r="943">
      <c r="G943" s="80"/>
      <c r="H943" s="80"/>
      <c r="I943" s="80"/>
      <c r="J943" s="80"/>
      <c r="K943" s="80"/>
      <c r="L943" s="80"/>
      <c r="M943" s="80"/>
      <c r="N943" s="80"/>
    </row>
    <row r="944">
      <c r="G944" s="80"/>
      <c r="H944" s="80"/>
      <c r="I944" s="80"/>
      <c r="J944" s="80"/>
      <c r="K944" s="80"/>
      <c r="L944" s="80"/>
      <c r="M944" s="80"/>
      <c r="N944" s="80"/>
    </row>
    <row r="945">
      <c r="G945" s="80"/>
      <c r="H945" s="80"/>
      <c r="I945" s="80"/>
      <c r="J945" s="80"/>
      <c r="K945" s="80"/>
      <c r="L945" s="80"/>
      <c r="M945" s="80"/>
      <c r="N945" s="80"/>
    </row>
    <row r="946">
      <c r="G946" s="80"/>
      <c r="H946" s="80"/>
      <c r="I946" s="80"/>
      <c r="J946" s="80"/>
      <c r="K946" s="80"/>
      <c r="L946" s="80"/>
      <c r="M946" s="80"/>
      <c r="N946" s="80"/>
    </row>
    <row r="947">
      <c r="G947" s="80"/>
      <c r="H947" s="80"/>
      <c r="I947" s="80"/>
      <c r="J947" s="80"/>
      <c r="K947" s="80"/>
      <c r="L947" s="80"/>
      <c r="M947" s="80"/>
      <c r="N947" s="80"/>
    </row>
    <row r="948">
      <c r="G948" s="80"/>
      <c r="H948" s="80"/>
      <c r="I948" s="80"/>
      <c r="J948" s="80"/>
      <c r="K948" s="80"/>
      <c r="L948" s="80"/>
      <c r="M948" s="80"/>
      <c r="N948" s="80"/>
    </row>
    <row r="949">
      <c r="G949" s="80"/>
      <c r="H949" s="80"/>
      <c r="I949" s="80"/>
      <c r="J949" s="80"/>
      <c r="K949" s="80"/>
      <c r="L949" s="80"/>
      <c r="M949" s="80"/>
      <c r="N949" s="80"/>
    </row>
    <row r="950">
      <c r="G950" s="80"/>
      <c r="H950" s="80"/>
      <c r="I950" s="80"/>
      <c r="J950" s="80"/>
      <c r="K950" s="80"/>
      <c r="L950" s="80"/>
      <c r="M950" s="80"/>
      <c r="N950" s="80"/>
    </row>
    <row r="951">
      <c r="G951" s="80"/>
      <c r="H951" s="80"/>
      <c r="I951" s="80"/>
      <c r="J951" s="80"/>
      <c r="K951" s="80"/>
      <c r="L951" s="80"/>
      <c r="M951" s="80"/>
      <c r="N951" s="80"/>
    </row>
    <row r="952">
      <c r="G952" s="80"/>
      <c r="H952" s="80"/>
      <c r="I952" s="80"/>
      <c r="J952" s="80"/>
      <c r="K952" s="80"/>
      <c r="L952" s="80"/>
      <c r="M952" s="80"/>
      <c r="N952" s="80"/>
    </row>
    <row r="953">
      <c r="G953" s="80"/>
      <c r="H953" s="80"/>
      <c r="I953" s="80"/>
      <c r="J953" s="80"/>
      <c r="K953" s="80"/>
      <c r="L953" s="80"/>
      <c r="M953" s="80"/>
      <c r="N953" s="80"/>
    </row>
    <row r="954">
      <c r="G954" s="80"/>
      <c r="H954" s="80"/>
      <c r="I954" s="80"/>
      <c r="J954" s="80"/>
      <c r="K954" s="80"/>
      <c r="L954" s="80"/>
      <c r="M954" s="80"/>
      <c r="N954" s="80"/>
    </row>
    <row r="955">
      <c r="G955" s="80"/>
      <c r="H955" s="80"/>
      <c r="I955" s="80"/>
      <c r="J955" s="80"/>
      <c r="K955" s="80"/>
      <c r="L955" s="80"/>
      <c r="M955" s="80"/>
      <c r="N955" s="80"/>
    </row>
    <row r="956">
      <c r="G956" s="80"/>
      <c r="H956" s="80"/>
      <c r="I956" s="80"/>
      <c r="J956" s="80"/>
      <c r="K956" s="80"/>
      <c r="L956" s="80"/>
      <c r="M956" s="80"/>
      <c r="N956" s="80"/>
    </row>
    <row r="957">
      <c r="G957" s="80"/>
      <c r="H957" s="80"/>
      <c r="I957" s="80"/>
      <c r="J957" s="80"/>
      <c r="K957" s="80"/>
      <c r="L957" s="80"/>
      <c r="M957" s="80"/>
      <c r="N957" s="80"/>
    </row>
    <row r="958">
      <c r="G958" s="80"/>
      <c r="H958" s="80"/>
      <c r="I958" s="80"/>
      <c r="J958" s="80"/>
      <c r="K958" s="80"/>
      <c r="L958" s="80"/>
      <c r="M958" s="80"/>
      <c r="N958" s="80"/>
    </row>
    <row r="959">
      <c r="G959" s="80"/>
      <c r="H959" s="80"/>
      <c r="I959" s="80"/>
      <c r="J959" s="80"/>
      <c r="K959" s="80"/>
      <c r="L959" s="80"/>
      <c r="M959" s="80"/>
      <c r="N959" s="80"/>
    </row>
    <row r="960">
      <c r="G960" s="80"/>
      <c r="H960" s="80"/>
      <c r="I960" s="80"/>
      <c r="J960" s="80"/>
      <c r="K960" s="80"/>
      <c r="L960" s="80"/>
      <c r="M960" s="80"/>
      <c r="N960" s="80"/>
    </row>
    <row r="961">
      <c r="G961" s="80"/>
      <c r="H961" s="80"/>
      <c r="I961" s="80"/>
      <c r="J961" s="80"/>
      <c r="K961" s="80"/>
      <c r="L961" s="80"/>
      <c r="M961" s="80"/>
      <c r="N961" s="80"/>
    </row>
    <row r="962">
      <c r="G962" s="80"/>
      <c r="H962" s="80"/>
      <c r="I962" s="80"/>
      <c r="J962" s="80"/>
      <c r="K962" s="80"/>
      <c r="L962" s="80"/>
      <c r="M962" s="80"/>
      <c r="N962" s="80"/>
    </row>
    <row r="963">
      <c r="G963" s="80"/>
      <c r="H963" s="80"/>
      <c r="I963" s="80"/>
      <c r="J963" s="80"/>
      <c r="K963" s="80"/>
      <c r="L963" s="80"/>
      <c r="M963" s="80"/>
      <c r="N963" s="80"/>
    </row>
    <row r="964">
      <c r="G964" s="80"/>
      <c r="H964" s="80"/>
      <c r="I964" s="80"/>
      <c r="J964" s="80"/>
      <c r="K964" s="80"/>
      <c r="L964" s="80"/>
      <c r="M964" s="80"/>
      <c r="N964" s="80"/>
    </row>
    <row r="965">
      <c r="G965" s="80"/>
      <c r="H965" s="80"/>
      <c r="I965" s="80"/>
      <c r="J965" s="80"/>
      <c r="K965" s="80"/>
      <c r="L965" s="80"/>
      <c r="M965" s="80"/>
      <c r="N965" s="80"/>
    </row>
    <row r="966">
      <c r="G966" s="80"/>
      <c r="H966" s="80"/>
      <c r="I966" s="80"/>
      <c r="J966" s="80"/>
      <c r="K966" s="80"/>
      <c r="L966" s="80"/>
      <c r="M966" s="80"/>
      <c r="N966" s="80"/>
    </row>
    <row r="967">
      <c r="G967" s="80"/>
      <c r="H967" s="80"/>
      <c r="I967" s="80"/>
      <c r="J967" s="80"/>
      <c r="K967" s="80"/>
      <c r="L967" s="80"/>
      <c r="M967" s="80"/>
      <c r="N967" s="80"/>
    </row>
    <row r="968">
      <c r="G968" s="80"/>
      <c r="H968" s="80"/>
      <c r="I968" s="80"/>
      <c r="J968" s="80"/>
      <c r="K968" s="80"/>
      <c r="L968" s="80"/>
      <c r="M968" s="80"/>
      <c r="N968" s="80"/>
    </row>
    <row r="969">
      <c r="G969" s="80"/>
      <c r="H969" s="80"/>
      <c r="I969" s="80"/>
      <c r="J969" s="80"/>
      <c r="K969" s="80"/>
      <c r="L969" s="80"/>
      <c r="M969" s="80"/>
      <c r="N969" s="80"/>
    </row>
    <row r="970">
      <c r="G970" s="80"/>
      <c r="H970" s="80"/>
      <c r="I970" s="80"/>
      <c r="J970" s="80"/>
      <c r="K970" s="80"/>
      <c r="L970" s="80"/>
      <c r="M970" s="80"/>
      <c r="N970" s="80"/>
    </row>
    <row r="971">
      <c r="G971" s="80"/>
      <c r="H971" s="80"/>
      <c r="I971" s="80"/>
      <c r="J971" s="80"/>
      <c r="K971" s="80"/>
      <c r="L971" s="80"/>
      <c r="M971" s="80"/>
      <c r="N971" s="80"/>
    </row>
    <row r="972">
      <c r="G972" s="80"/>
      <c r="H972" s="80"/>
      <c r="I972" s="80"/>
      <c r="J972" s="80"/>
      <c r="K972" s="80"/>
      <c r="L972" s="80"/>
      <c r="M972" s="80"/>
      <c r="N972" s="80"/>
    </row>
    <row r="973">
      <c r="G973" s="80"/>
      <c r="H973" s="80"/>
      <c r="I973" s="80"/>
      <c r="J973" s="80"/>
      <c r="K973" s="80"/>
      <c r="L973" s="80"/>
      <c r="M973" s="80"/>
      <c r="N973" s="80"/>
    </row>
    <row r="974">
      <c r="G974" s="80"/>
      <c r="H974" s="80"/>
      <c r="I974" s="80"/>
      <c r="J974" s="80"/>
      <c r="K974" s="80"/>
      <c r="L974" s="80"/>
      <c r="M974" s="80"/>
      <c r="N974" s="80"/>
    </row>
    <row r="975">
      <c r="G975" s="80"/>
      <c r="H975" s="80"/>
      <c r="I975" s="80"/>
      <c r="J975" s="80"/>
      <c r="K975" s="80"/>
      <c r="L975" s="80"/>
      <c r="M975" s="80"/>
      <c r="N975" s="80"/>
    </row>
  </sheetData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  <hyperlink r:id="rId8" ref="O11"/>
    <hyperlink r:id="rId9" ref="O12"/>
    <hyperlink r:id="rId10" ref="O13"/>
    <hyperlink r:id="rId11" ref="O14"/>
    <hyperlink r:id="rId12" ref="O15"/>
    <hyperlink r:id="rId13" ref="O16"/>
  </hyperlinks>
  <drawing r:id="rId14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7.63"/>
    <col customWidth="1" min="3" max="3" width="6.88"/>
    <col customWidth="1" min="4" max="4" width="8.38"/>
    <col customWidth="1" min="5" max="6" width="16.38"/>
    <col customWidth="1" min="7" max="7" width="10.25"/>
    <col customWidth="1" min="9" max="9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76" t="s">
        <v>539</v>
      </c>
      <c r="H1" s="1" t="s">
        <v>604</v>
      </c>
      <c r="J1" s="1" t="s">
        <v>8</v>
      </c>
    </row>
    <row r="2">
      <c r="A2" s="10">
        <v>75.0</v>
      </c>
      <c r="B2" s="10">
        <v>300.0</v>
      </c>
      <c r="C2" s="10">
        <f t="shared" ref="C2:C3" si="1">B2/A2</f>
        <v>4</v>
      </c>
      <c r="D2" s="10">
        <v>183.0</v>
      </c>
      <c r="E2" s="10" t="s">
        <v>19</v>
      </c>
      <c r="F2" s="10" t="s">
        <v>65</v>
      </c>
      <c r="G2" s="11">
        <v>0.009918981481481482</v>
      </c>
      <c r="H2" s="11">
        <v>0.0018402777777777777</v>
      </c>
      <c r="I2" s="37" t="str">
        <f t="shared" ref="I2:I3" si="2">HYPERLINK("https://www.strava.com/activities/2760816431","Strava")</f>
        <v>Strava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286</v>
      </c>
      <c r="F3" s="10" t="s">
        <v>286</v>
      </c>
      <c r="G3" s="11">
        <v>0.010115740740740741</v>
      </c>
      <c r="H3" s="11">
        <v>0.0018981481481481482</v>
      </c>
      <c r="I3" s="37" t="str">
        <f t="shared" si="2"/>
        <v>Strava</v>
      </c>
    </row>
    <row r="4">
      <c r="A4" s="10"/>
      <c r="B4" s="10"/>
      <c r="C4" s="10"/>
      <c r="D4" s="10"/>
      <c r="E4" s="10"/>
      <c r="F4" s="10"/>
      <c r="G4" s="11"/>
      <c r="H4" s="11"/>
    </row>
    <row r="5">
      <c r="A5" s="10"/>
      <c r="B5" s="10"/>
      <c r="C5" s="10"/>
      <c r="D5" s="10"/>
      <c r="E5" s="10"/>
      <c r="F5" s="10"/>
      <c r="G5" s="10"/>
      <c r="H5" s="11"/>
    </row>
    <row r="6">
      <c r="A6" s="10"/>
      <c r="B6" s="10"/>
      <c r="C6" s="10"/>
      <c r="D6" s="10"/>
      <c r="E6" s="10"/>
      <c r="F6" s="10"/>
      <c r="G6" s="10"/>
      <c r="H6" s="11"/>
    </row>
    <row r="7">
      <c r="A7" s="10"/>
      <c r="B7" s="10"/>
      <c r="C7" s="10"/>
      <c r="D7" s="10"/>
      <c r="E7" s="10"/>
      <c r="F7" s="10"/>
      <c r="G7" s="10"/>
      <c r="H7" s="11"/>
    </row>
    <row r="8">
      <c r="A8" s="10"/>
      <c r="B8" s="10"/>
      <c r="C8" s="10"/>
      <c r="D8" s="10"/>
      <c r="E8" s="10"/>
      <c r="F8" s="10"/>
      <c r="G8" s="10"/>
      <c r="H8" s="11"/>
    </row>
    <row r="9">
      <c r="A9" s="10"/>
      <c r="B9" s="10"/>
      <c r="C9" s="10"/>
      <c r="D9" s="10"/>
      <c r="E9" s="10"/>
      <c r="F9" s="10"/>
      <c r="G9" s="10"/>
      <c r="H9" s="11"/>
      <c r="I9" s="62"/>
    </row>
    <row r="10">
      <c r="A10" s="10"/>
      <c r="B10" s="10"/>
      <c r="C10" s="10"/>
      <c r="D10" s="10"/>
      <c r="E10" s="10"/>
      <c r="F10" s="10"/>
      <c r="G10" s="10"/>
      <c r="H10" s="11"/>
      <c r="I10" s="62"/>
    </row>
    <row r="11">
      <c r="A11" s="10"/>
      <c r="B11" s="10"/>
      <c r="C11" s="10"/>
      <c r="D11" s="10"/>
      <c r="E11" s="10"/>
      <c r="F11" s="10"/>
      <c r="G11" s="10"/>
      <c r="H11" s="11"/>
      <c r="I11" s="62"/>
    </row>
    <row r="12">
      <c r="G12" s="11"/>
      <c r="H12" s="11"/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1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11"/>
      <c r="H26" s="11"/>
    </row>
    <row r="27">
      <c r="G27" s="11"/>
      <c r="H27" s="11"/>
    </row>
    <row r="28">
      <c r="G28" s="80"/>
      <c r="H28" s="80"/>
    </row>
    <row r="29">
      <c r="G29" s="80"/>
      <c r="H29" s="80"/>
    </row>
    <row r="30">
      <c r="G30" s="80"/>
      <c r="H30" s="80"/>
    </row>
    <row r="31">
      <c r="G31" s="80"/>
      <c r="H31" s="80"/>
    </row>
    <row r="32">
      <c r="G32" s="80"/>
      <c r="H32" s="80"/>
    </row>
    <row r="33">
      <c r="G33" s="80"/>
      <c r="H33" s="80"/>
    </row>
    <row r="34">
      <c r="G34" s="80"/>
      <c r="H34" s="80"/>
    </row>
    <row r="35">
      <c r="G35" s="80"/>
      <c r="H35" s="80"/>
    </row>
    <row r="36">
      <c r="G36" s="80"/>
      <c r="H36" s="80"/>
    </row>
    <row r="37">
      <c r="G37" s="80"/>
      <c r="H37" s="80"/>
    </row>
    <row r="38">
      <c r="G38" s="80"/>
      <c r="H38" s="80"/>
    </row>
    <row r="39">
      <c r="G39" s="80"/>
      <c r="H39" s="80"/>
    </row>
    <row r="40">
      <c r="G40" s="80"/>
      <c r="H40" s="80"/>
    </row>
    <row r="41">
      <c r="G41" s="80"/>
      <c r="H41" s="80"/>
    </row>
    <row r="42">
      <c r="G42" s="80"/>
      <c r="H42" s="80"/>
    </row>
    <row r="43">
      <c r="G43" s="80"/>
      <c r="H43" s="80"/>
    </row>
    <row r="44">
      <c r="G44" s="80"/>
      <c r="H44" s="80"/>
    </row>
    <row r="45">
      <c r="G45" s="80"/>
      <c r="H45" s="80"/>
    </row>
    <row r="46">
      <c r="G46" s="80"/>
      <c r="H46" s="80"/>
    </row>
    <row r="47">
      <c r="G47" s="80"/>
      <c r="H47" s="80"/>
    </row>
    <row r="48">
      <c r="G48" s="80"/>
      <c r="H48" s="80"/>
    </row>
    <row r="49">
      <c r="G49" s="80"/>
      <c r="H49" s="80"/>
    </row>
    <row r="50">
      <c r="G50" s="80"/>
      <c r="H50" s="80"/>
    </row>
    <row r="51">
      <c r="G51" s="80"/>
      <c r="H51" s="80"/>
    </row>
    <row r="52">
      <c r="G52" s="80"/>
      <c r="H52" s="80"/>
    </row>
    <row r="53">
      <c r="G53" s="80"/>
      <c r="H53" s="80"/>
    </row>
    <row r="54">
      <c r="G54" s="80"/>
      <c r="H54" s="80"/>
    </row>
    <row r="55">
      <c r="G55" s="80"/>
      <c r="H55" s="80"/>
    </row>
    <row r="56">
      <c r="G56" s="80"/>
      <c r="H56" s="80"/>
    </row>
    <row r="57">
      <c r="G57" s="80"/>
      <c r="H57" s="80"/>
    </row>
    <row r="58">
      <c r="G58" s="80"/>
      <c r="H58" s="80"/>
    </row>
    <row r="59">
      <c r="G59" s="80"/>
      <c r="H59" s="80"/>
    </row>
    <row r="60">
      <c r="G60" s="80"/>
      <c r="H60" s="80"/>
    </row>
    <row r="61">
      <c r="G61" s="80"/>
      <c r="H61" s="80"/>
    </row>
    <row r="62">
      <c r="G62" s="80"/>
      <c r="H62" s="80"/>
    </row>
    <row r="63">
      <c r="G63" s="80"/>
      <c r="H63" s="80"/>
    </row>
    <row r="64">
      <c r="G64" s="80"/>
      <c r="H64" s="80"/>
    </row>
    <row r="65">
      <c r="G65" s="80"/>
      <c r="H65" s="80"/>
    </row>
    <row r="66">
      <c r="G66" s="80"/>
      <c r="H66" s="80"/>
    </row>
    <row r="67">
      <c r="G67" s="80"/>
      <c r="H67" s="80"/>
    </row>
    <row r="68">
      <c r="G68" s="80"/>
      <c r="H68" s="80"/>
    </row>
    <row r="69">
      <c r="G69" s="80"/>
      <c r="H69" s="80"/>
    </row>
    <row r="70">
      <c r="G70" s="80"/>
      <c r="H70" s="80"/>
    </row>
    <row r="71">
      <c r="G71" s="80"/>
      <c r="H71" s="80"/>
    </row>
    <row r="72">
      <c r="G72" s="80"/>
      <c r="H72" s="80"/>
    </row>
    <row r="73">
      <c r="G73" s="80"/>
      <c r="H73" s="80"/>
    </row>
    <row r="74">
      <c r="G74" s="80"/>
      <c r="H74" s="80"/>
    </row>
    <row r="75">
      <c r="G75" s="80"/>
      <c r="H75" s="80"/>
    </row>
    <row r="76">
      <c r="G76" s="80"/>
      <c r="H76" s="80"/>
    </row>
    <row r="77">
      <c r="G77" s="80"/>
      <c r="H77" s="80"/>
    </row>
    <row r="78">
      <c r="G78" s="80"/>
      <c r="H78" s="80"/>
    </row>
    <row r="79">
      <c r="G79" s="80"/>
      <c r="H79" s="80"/>
    </row>
    <row r="80">
      <c r="G80" s="80"/>
      <c r="H80" s="80"/>
    </row>
    <row r="81">
      <c r="G81" s="80"/>
      <c r="H81" s="80"/>
    </row>
    <row r="82">
      <c r="G82" s="80"/>
      <c r="H82" s="80"/>
    </row>
    <row r="83">
      <c r="G83" s="80"/>
      <c r="H83" s="80"/>
    </row>
    <row r="84">
      <c r="G84" s="80"/>
      <c r="H84" s="80"/>
    </row>
    <row r="85">
      <c r="G85" s="80"/>
      <c r="H85" s="80"/>
    </row>
    <row r="86">
      <c r="G86" s="80"/>
      <c r="H86" s="80"/>
    </row>
    <row r="87">
      <c r="G87" s="80"/>
      <c r="H87" s="80"/>
    </row>
    <row r="88">
      <c r="G88" s="80"/>
      <c r="H88" s="80"/>
    </row>
    <row r="89">
      <c r="G89" s="80"/>
      <c r="H89" s="80"/>
    </row>
    <row r="90">
      <c r="G90" s="80"/>
      <c r="H90" s="80"/>
    </row>
    <row r="91">
      <c r="G91" s="80"/>
      <c r="H91" s="80"/>
    </row>
    <row r="92">
      <c r="G92" s="80"/>
      <c r="H92" s="80"/>
    </row>
    <row r="93">
      <c r="G93" s="80"/>
      <c r="H93" s="80"/>
    </row>
    <row r="94">
      <c r="G94" s="80"/>
      <c r="H94" s="80"/>
    </row>
    <row r="95">
      <c r="G95" s="80"/>
      <c r="H95" s="80"/>
    </row>
    <row r="96">
      <c r="G96" s="80"/>
      <c r="H96" s="80"/>
    </row>
    <row r="97">
      <c r="G97" s="80"/>
      <c r="H97" s="80"/>
    </row>
    <row r="98">
      <c r="G98" s="80"/>
      <c r="H98" s="80"/>
    </row>
    <row r="99">
      <c r="G99" s="80"/>
      <c r="H99" s="80"/>
    </row>
    <row r="100">
      <c r="G100" s="80"/>
      <c r="H100" s="80"/>
    </row>
    <row r="101">
      <c r="G101" s="80"/>
      <c r="H101" s="80"/>
    </row>
    <row r="102">
      <c r="G102" s="80"/>
      <c r="H102" s="80"/>
    </row>
    <row r="103">
      <c r="G103" s="80"/>
      <c r="H103" s="80"/>
    </row>
    <row r="104">
      <c r="G104" s="80"/>
      <c r="H104" s="80"/>
    </row>
    <row r="105">
      <c r="G105" s="80"/>
      <c r="H105" s="80"/>
    </row>
    <row r="106">
      <c r="G106" s="80"/>
      <c r="H106" s="80"/>
    </row>
    <row r="107">
      <c r="G107" s="80"/>
      <c r="H107" s="80"/>
    </row>
    <row r="108">
      <c r="G108" s="80"/>
      <c r="H108" s="80"/>
    </row>
    <row r="109">
      <c r="G109" s="80"/>
      <c r="H109" s="80"/>
    </row>
    <row r="110">
      <c r="G110" s="80"/>
      <c r="H110" s="80"/>
    </row>
    <row r="111">
      <c r="G111" s="80"/>
      <c r="H111" s="80"/>
    </row>
    <row r="112">
      <c r="G112" s="80"/>
      <c r="H112" s="80"/>
    </row>
    <row r="113">
      <c r="G113" s="80"/>
      <c r="H113" s="80"/>
    </row>
    <row r="114">
      <c r="G114" s="80"/>
      <c r="H114" s="80"/>
    </row>
    <row r="115">
      <c r="G115" s="80"/>
      <c r="H115" s="80"/>
    </row>
    <row r="116">
      <c r="G116" s="80"/>
      <c r="H116" s="80"/>
    </row>
    <row r="117">
      <c r="G117" s="80"/>
      <c r="H117" s="80"/>
    </row>
    <row r="118">
      <c r="G118" s="80"/>
      <c r="H118" s="80"/>
    </row>
    <row r="119">
      <c r="G119" s="80"/>
      <c r="H119" s="80"/>
    </row>
    <row r="120">
      <c r="G120" s="80"/>
      <c r="H120" s="80"/>
    </row>
    <row r="121">
      <c r="G121" s="80"/>
      <c r="H121" s="80"/>
    </row>
    <row r="122">
      <c r="G122" s="80"/>
      <c r="H122" s="80"/>
    </row>
    <row r="123">
      <c r="G123" s="80"/>
      <c r="H123" s="80"/>
    </row>
    <row r="124">
      <c r="G124" s="80"/>
      <c r="H124" s="80"/>
    </row>
    <row r="125">
      <c r="G125" s="80"/>
      <c r="H125" s="80"/>
    </row>
    <row r="126">
      <c r="G126" s="80"/>
      <c r="H126" s="80"/>
    </row>
    <row r="127">
      <c r="G127" s="80"/>
      <c r="H127" s="80"/>
    </row>
    <row r="128">
      <c r="G128" s="80"/>
      <c r="H128" s="80"/>
    </row>
    <row r="129">
      <c r="G129" s="80"/>
      <c r="H129" s="80"/>
    </row>
    <row r="130">
      <c r="G130" s="80"/>
      <c r="H130" s="80"/>
    </row>
    <row r="131">
      <c r="G131" s="80"/>
      <c r="H131" s="80"/>
    </row>
    <row r="132">
      <c r="G132" s="80"/>
      <c r="H132" s="80"/>
    </row>
    <row r="133">
      <c r="G133" s="80"/>
      <c r="H133" s="80"/>
    </row>
    <row r="134">
      <c r="G134" s="80"/>
      <c r="H134" s="80"/>
    </row>
    <row r="135">
      <c r="G135" s="80"/>
      <c r="H135" s="80"/>
    </row>
    <row r="136">
      <c r="G136" s="80"/>
      <c r="H136" s="80"/>
    </row>
    <row r="137">
      <c r="G137" s="80"/>
      <c r="H137" s="80"/>
    </row>
    <row r="138">
      <c r="G138" s="80"/>
      <c r="H138" s="80"/>
    </row>
    <row r="139">
      <c r="G139" s="80"/>
      <c r="H139" s="80"/>
    </row>
    <row r="140">
      <c r="G140" s="80"/>
      <c r="H140" s="80"/>
    </row>
    <row r="141">
      <c r="G141" s="80"/>
      <c r="H141" s="80"/>
    </row>
    <row r="142">
      <c r="G142" s="80"/>
      <c r="H142" s="80"/>
    </row>
    <row r="143">
      <c r="G143" s="80"/>
      <c r="H143" s="80"/>
    </row>
    <row r="144">
      <c r="G144" s="80"/>
      <c r="H144" s="80"/>
    </row>
    <row r="145">
      <c r="G145" s="80"/>
      <c r="H145" s="80"/>
    </row>
    <row r="146">
      <c r="G146" s="80"/>
      <c r="H146" s="80"/>
    </row>
    <row r="147">
      <c r="G147" s="80"/>
      <c r="H147" s="80"/>
    </row>
    <row r="148">
      <c r="G148" s="80"/>
      <c r="H148" s="80"/>
    </row>
    <row r="149">
      <c r="G149" s="80"/>
      <c r="H149" s="80"/>
    </row>
    <row r="150">
      <c r="G150" s="80"/>
      <c r="H150" s="80"/>
    </row>
    <row r="151">
      <c r="G151" s="80"/>
      <c r="H151" s="80"/>
    </row>
    <row r="152">
      <c r="G152" s="80"/>
      <c r="H152" s="80"/>
    </row>
    <row r="153">
      <c r="G153" s="80"/>
      <c r="H153" s="80"/>
    </row>
    <row r="154">
      <c r="G154" s="80"/>
      <c r="H154" s="80"/>
    </row>
    <row r="155">
      <c r="G155" s="80"/>
      <c r="H155" s="80"/>
    </row>
    <row r="156">
      <c r="G156" s="80"/>
      <c r="H156" s="80"/>
    </row>
    <row r="157">
      <c r="G157" s="80"/>
      <c r="H157" s="80"/>
    </row>
    <row r="158">
      <c r="G158" s="80"/>
      <c r="H158" s="80"/>
    </row>
    <row r="159">
      <c r="G159" s="80"/>
      <c r="H159" s="80"/>
    </row>
    <row r="160">
      <c r="G160" s="80"/>
      <c r="H160" s="80"/>
    </row>
    <row r="161">
      <c r="G161" s="80"/>
      <c r="H161" s="80"/>
    </row>
    <row r="162">
      <c r="G162" s="80"/>
      <c r="H162" s="80"/>
    </row>
    <row r="163">
      <c r="G163" s="80"/>
      <c r="H163" s="80"/>
    </row>
    <row r="164">
      <c r="G164" s="80"/>
      <c r="H164" s="80"/>
    </row>
    <row r="165">
      <c r="G165" s="80"/>
      <c r="H165" s="80"/>
    </row>
    <row r="166">
      <c r="G166" s="80"/>
      <c r="H166" s="80"/>
    </row>
    <row r="167">
      <c r="G167" s="80"/>
      <c r="H167" s="80"/>
    </row>
    <row r="168">
      <c r="G168" s="80"/>
      <c r="H168" s="80"/>
    </row>
    <row r="169">
      <c r="G169" s="80"/>
      <c r="H169" s="80"/>
    </row>
    <row r="170">
      <c r="G170" s="80"/>
      <c r="H170" s="80"/>
    </row>
    <row r="171">
      <c r="G171" s="80"/>
      <c r="H171" s="80"/>
    </row>
    <row r="172">
      <c r="G172" s="80"/>
      <c r="H172" s="80"/>
    </row>
    <row r="173">
      <c r="G173" s="80"/>
      <c r="H173" s="80"/>
    </row>
    <row r="174">
      <c r="G174" s="80"/>
      <c r="H174" s="80"/>
    </row>
    <row r="175">
      <c r="G175" s="80"/>
      <c r="H175" s="80"/>
    </row>
    <row r="176">
      <c r="G176" s="80"/>
      <c r="H176" s="80"/>
    </row>
    <row r="177">
      <c r="G177" s="80"/>
      <c r="H177" s="80"/>
    </row>
    <row r="178">
      <c r="G178" s="80"/>
      <c r="H178" s="80"/>
    </row>
    <row r="179">
      <c r="G179" s="80"/>
      <c r="H179" s="80"/>
    </row>
    <row r="180">
      <c r="G180" s="80"/>
      <c r="H180" s="80"/>
    </row>
    <row r="181">
      <c r="G181" s="80"/>
      <c r="H181" s="80"/>
    </row>
    <row r="182">
      <c r="G182" s="80"/>
      <c r="H182" s="80"/>
    </row>
    <row r="183">
      <c r="G183" s="80"/>
      <c r="H183" s="80"/>
    </row>
    <row r="184">
      <c r="G184" s="80"/>
      <c r="H184" s="80"/>
    </row>
    <row r="185">
      <c r="G185" s="80"/>
      <c r="H185" s="80"/>
    </row>
    <row r="186">
      <c r="G186" s="80"/>
      <c r="H186" s="80"/>
    </row>
    <row r="187">
      <c r="G187" s="80"/>
      <c r="H187" s="80"/>
    </row>
    <row r="188">
      <c r="G188" s="80"/>
      <c r="H188" s="80"/>
    </row>
    <row r="189">
      <c r="G189" s="80"/>
      <c r="H189" s="80"/>
    </row>
    <row r="190">
      <c r="G190" s="80"/>
      <c r="H190" s="80"/>
    </row>
    <row r="191">
      <c r="G191" s="80"/>
      <c r="H191" s="80"/>
    </row>
    <row r="192">
      <c r="G192" s="80"/>
      <c r="H192" s="80"/>
    </row>
    <row r="193">
      <c r="G193" s="80"/>
      <c r="H193" s="80"/>
    </row>
    <row r="194">
      <c r="G194" s="80"/>
      <c r="H194" s="80"/>
    </row>
    <row r="195">
      <c r="G195" s="80"/>
      <c r="H195" s="80"/>
    </row>
    <row r="196">
      <c r="G196" s="80"/>
      <c r="H196" s="80"/>
    </row>
    <row r="197">
      <c r="G197" s="80"/>
      <c r="H197" s="80"/>
    </row>
    <row r="198">
      <c r="G198" s="80"/>
      <c r="H198" s="80"/>
    </row>
    <row r="199">
      <c r="G199" s="80"/>
      <c r="H199" s="80"/>
    </row>
    <row r="200">
      <c r="G200" s="80"/>
      <c r="H200" s="80"/>
    </row>
    <row r="201">
      <c r="G201" s="80"/>
      <c r="H201" s="80"/>
    </row>
    <row r="202">
      <c r="G202" s="80"/>
      <c r="H202" s="80"/>
    </row>
    <row r="203">
      <c r="G203" s="80"/>
      <c r="H203" s="80"/>
    </row>
    <row r="204">
      <c r="G204" s="80"/>
      <c r="H204" s="80"/>
    </row>
    <row r="205">
      <c r="G205" s="80"/>
      <c r="H205" s="80"/>
    </row>
    <row r="206">
      <c r="G206" s="80"/>
      <c r="H206" s="80"/>
    </row>
    <row r="207">
      <c r="G207" s="80"/>
      <c r="H207" s="80"/>
    </row>
    <row r="208">
      <c r="G208" s="80"/>
      <c r="H208" s="80"/>
    </row>
    <row r="209">
      <c r="G209" s="80"/>
      <c r="H209" s="80"/>
    </row>
    <row r="210">
      <c r="G210" s="80"/>
      <c r="H210" s="80"/>
    </row>
    <row r="211">
      <c r="G211" s="80"/>
      <c r="H211" s="80"/>
    </row>
    <row r="212">
      <c r="G212" s="80"/>
      <c r="H212" s="80"/>
    </row>
    <row r="213">
      <c r="G213" s="80"/>
      <c r="H213" s="80"/>
    </row>
    <row r="214">
      <c r="G214" s="80"/>
      <c r="H214" s="80"/>
    </row>
    <row r="215">
      <c r="G215" s="80"/>
      <c r="H215" s="80"/>
    </row>
    <row r="216">
      <c r="G216" s="80"/>
      <c r="H216" s="80"/>
    </row>
    <row r="217">
      <c r="G217" s="80"/>
      <c r="H217" s="80"/>
    </row>
    <row r="218">
      <c r="G218" s="80"/>
      <c r="H218" s="80"/>
    </row>
    <row r="219">
      <c r="G219" s="80"/>
      <c r="H219" s="80"/>
    </row>
    <row r="220">
      <c r="G220" s="80"/>
      <c r="H220" s="80"/>
    </row>
    <row r="221">
      <c r="G221" s="80"/>
      <c r="H221" s="80"/>
    </row>
    <row r="222">
      <c r="G222" s="80"/>
      <c r="H222" s="80"/>
    </row>
    <row r="223">
      <c r="G223" s="80"/>
      <c r="H223" s="80"/>
    </row>
    <row r="224">
      <c r="G224" s="80"/>
      <c r="H224" s="80"/>
    </row>
    <row r="225">
      <c r="G225" s="80"/>
      <c r="H225" s="80"/>
    </row>
    <row r="226">
      <c r="G226" s="80"/>
      <c r="H226" s="80"/>
    </row>
    <row r="227">
      <c r="G227" s="80"/>
      <c r="H227" s="80"/>
    </row>
    <row r="228">
      <c r="G228" s="80"/>
      <c r="H228" s="80"/>
    </row>
    <row r="229">
      <c r="G229" s="80"/>
      <c r="H229" s="80"/>
    </row>
    <row r="230">
      <c r="G230" s="80"/>
      <c r="H230" s="80"/>
    </row>
    <row r="231">
      <c r="G231" s="80"/>
      <c r="H231" s="80"/>
    </row>
    <row r="232">
      <c r="G232" s="80"/>
      <c r="H232" s="80"/>
    </row>
    <row r="233">
      <c r="G233" s="80"/>
      <c r="H233" s="80"/>
    </row>
    <row r="234">
      <c r="G234" s="80"/>
      <c r="H234" s="80"/>
    </row>
    <row r="235">
      <c r="G235" s="80"/>
      <c r="H235" s="80"/>
    </row>
    <row r="236">
      <c r="G236" s="80"/>
      <c r="H236" s="80"/>
    </row>
    <row r="237">
      <c r="G237" s="80"/>
      <c r="H237" s="80"/>
    </row>
    <row r="238">
      <c r="G238" s="80"/>
      <c r="H238" s="80"/>
    </row>
    <row r="239">
      <c r="G239" s="80"/>
      <c r="H239" s="80"/>
    </row>
    <row r="240">
      <c r="G240" s="80"/>
      <c r="H240" s="80"/>
    </row>
    <row r="241">
      <c r="G241" s="80"/>
      <c r="H241" s="80"/>
    </row>
    <row r="242">
      <c r="G242" s="80"/>
      <c r="H242" s="80"/>
    </row>
    <row r="243">
      <c r="G243" s="80"/>
      <c r="H243" s="80"/>
    </row>
    <row r="244">
      <c r="G244" s="80"/>
      <c r="H244" s="80"/>
    </row>
    <row r="245">
      <c r="G245" s="80"/>
      <c r="H245" s="80"/>
    </row>
    <row r="246">
      <c r="G246" s="80"/>
      <c r="H246" s="80"/>
    </row>
    <row r="247">
      <c r="G247" s="80"/>
      <c r="H247" s="80"/>
    </row>
    <row r="248">
      <c r="G248" s="80"/>
      <c r="H248" s="80"/>
    </row>
    <row r="249">
      <c r="G249" s="80"/>
      <c r="H249" s="80"/>
    </row>
    <row r="250">
      <c r="G250" s="80"/>
      <c r="H250" s="80"/>
    </row>
    <row r="251">
      <c r="G251" s="80"/>
      <c r="H251" s="80"/>
    </row>
    <row r="252">
      <c r="G252" s="80"/>
      <c r="H252" s="80"/>
    </row>
    <row r="253">
      <c r="G253" s="80"/>
      <c r="H253" s="80"/>
    </row>
    <row r="254">
      <c r="G254" s="80"/>
      <c r="H254" s="80"/>
    </row>
    <row r="255">
      <c r="G255" s="80"/>
      <c r="H255" s="80"/>
    </row>
    <row r="256">
      <c r="G256" s="80"/>
      <c r="H256" s="80"/>
    </row>
    <row r="257">
      <c r="G257" s="80"/>
      <c r="H257" s="80"/>
    </row>
    <row r="258">
      <c r="G258" s="80"/>
      <c r="H258" s="80"/>
    </row>
    <row r="259">
      <c r="G259" s="80"/>
      <c r="H259" s="80"/>
    </row>
    <row r="260">
      <c r="G260" s="80"/>
      <c r="H260" s="80"/>
    </row>
    <row r="261">
      <c r="G261" s="80"/>
      <c r="H261" s="80"/>
    </row>
    <row r="262">
      <c r="G262" s="80"/>
      <c r="H262" s="80"/>
    </row>
    <row r="263">
      <c r="G263" s="80"/>
      <c r="H263" s="80"/>
    </row>
    <row r="264">
      <c r="G264" s="80"/>
      <c r="H264" s="80"/>
    </row>
    <row r="265">
      <c r="G265" s="80"/>
      <c r="H265" s="80"/>
    </row>
    <row r="266">
      <c r="G266" s="80"/>
      <c r="H266" s="80"/>
    </row>
    <row r="267">
      <c r="G267" s="80"/>
      <c r="H267" s="80"/>
    </row>
    <row r="268">
      <c r="G268" s="80"/>
      <c r="H268" s="80"/>
    </row>
    <row r="269">
      <c r="G269" s="80"/>
      <c r="H269" s="80"/>
    </row>
    <row r="270">
      <c r="G270" s="80"/>
      <c r="H270" s="80"/>
    </row>
    <row r="271">
      <c r="G271" s="80"/>
      <c r="H271" s="80"/>
    </row>
    <row r="272">
      <c r="G272" s="80"/>
      <c r="H272" s="80"/>
    </row>
    <row r="273">
      <c r="G273" s="80"/>
      <c r="H273" s="80"/>
    </row>
    <row r="274">
      <c r="G274" s="80"/>
      <c r="H274" s="80"/>
    </row>
    <row r="275">
      <c r="G275" s="80"/>
      <c r="H275" s="80"/>
    </row>
    <row r="276">
      <c r="G276" s="80"/>
      <c r="H276" s="80"/>
    </row>
    <row r="277">
      <c r="G277" s="80"/>
      <c r="H277" s="80"/>
    </row>
    <row r="278">
      <c r="G278" s="80"/>
      <c r="H278" s="80"/>
    </row>
    <row r="279">
      <c r="G279" s="80"/>
      <c r="H279" s="80"/>
    </row>
    <row r="280">
      <c r="G280" s="80"/>
      <c r="H280" s="80"/>
    </row>
    <row r="281">
      <c r="G281" s="80"/>
      <c r="H281" s="80"/>
    </row>
    <row r="282">
      <c r="G282" s="80"/>
      <c r="H282" s="80"/>
    </row>
    <row r="283">
      <c r="G283" s="80"/>
      <c r="H283" s="80"/>
    </row>
    <row r="284">
      <c r="G284" s="80"/>
      <c r="H284" s="80"/>
    </row>
    <row r="285">
      <c r="G285" s="80"/>
      <c r="H285" s="80"/>
    </row>
    <row r="286">
      <c r="G286" s="80"/>
      <c r="H286" s="80"/>
    </row>
    <row r="287">
      <c r="G287" s="80"/>
      <c r="H287" s="80"/>
    </row>
    <row r="288">
      <c r="G288" s="80"/>
      <c r="H288" s="80"/>
    </row>
    <row r="289">
      <c r="G289" s="80"/>
      <c r="H289" s="80"/>
    </row>
    <row r="290">
      <c r="G290" s="80"/>
      <c r="H290" s="80"/>
    </row>
    <row r="291">
      <c r="G291" s="80"/>
      <c r="H291" s="80"/>
    </row>
    <row r="292">
      <c r="G292" s="80"/>
      <c r="H292" s="80"/>
    </row>
    <row r="293">
      <c r="G293" s="80"/>
      <c r="H293" s="80"/>
    </row>
    <row r="294">
      <c r="G294" s="80"/>
      <c r="H294" s="80"/>
    </row>
    <row r="295">
      <c r="G295" s="80"/>
      <c r="H295" s="80"/>
    </row>
    <row r="296">
      <c r="G296" s="80"/>
      <c r="H296" s="80"/>
    </row>
    <row r="297">
      <c r="G297" s="80"/>
      <c r="H297" s="80"/>
    </row>
    <row r="298">
      <c r="G298" s="80"/>
      <c r="H298" s="80"/>
    </row>
    <row r="299">
      <c r="G299" s="80"/>
      <c r="H299" s="80"/>
    </row>
    <row r="300">
      <c r="G300" s="80"/>
      <c r="H300" s="80"/>
    </row>
    <row r="301">
      <c r="G301" s="80"/>
      <c r="H301" s="80"/>
    </row>
    <row r="302">
      <c r="G302" s="80"/>
      <c r="H302" s="80"/>
    </row>
    <row r="303">
      <c r="G303" s="80"/>
      <c r="H303" s="80"/>
    </row>
    <row r="304">
      <c r="G304" s="80"/>
      <c r="H304" s="80"/>
    </row>
    <row r="305">
      <c r="G305" s="80"/>
      <c r="H305" s="80"/>
    </row>
    <row r="306">
      <c r="G306" s="80"/>
      <c r="H306" s="80"/>
    </row>
    <row r="307">
      <c r="G307" s="80"/>
      <c r="H307" s="80"/>
    </row>
    <row r="308">
      <c r="G308" s="80"/>
      <c r="H308" s="80"/>
    </row>
    <row r="309">
      <c r="G309" s="80"/>
      <c r="H309" s="80"/>
    </row>
    <row r="310">
      <c r="G310" s="80"/>
      <c r="H310" s="80"/>
    </row>
    <row r="311">
      <c r="G311" s="80"/>
      <c r="H311" s="80"/>
    </row>
    <row r="312">
      <c r="G312" s="80"/>
      <c r="H312" s="80"/>
    </row>
    <row r="313">
      <c r="G313" s="80"/>
      <c r="H313" s="80"/>
    </row>
    <row r="314">
      <c r="G314" s="80"/>
      <c r="H314" s="80"/>
    </row>
    <row r="315">
      <c r="G315" s="80"/>
      <c r="H315" s="80"/>
    </row>
    <row r="316">
      <c r="G316" s="80"/>
      <c r="H316" s="80"/>
    </row>
    <row r="317">
      <c r="G317" s="80"/>
      <c r="H317" s="80"/>
    </row>
    <row r="318">
      <c r="G318" s="80"/>
      <c r="H318" s="80"/>
    </row>
    <row r="319">
      <c r="G319" s="80"/>
      <c r="H319" s="80"/>
    </row>
    <row r="320">
      <c r="G320" s="80"/>
      <c r="H320" s="80"/>
    </row>
    <row r="321">
      <c r="G321" s="80"/>
      <c r="H321" s="80"/>
    </row>
    <row r="322">
      <c r="G322" s="80"/>
      <c r="H322" s="80"/>
    </row>
    <row r="323">
      <c r="G323" s="80"/>
      <c r="H323" s="80"/>
    </row>
    <row r="324">
      <c r="G324" s="80"/>
      <c r="H324" s="80"/>
    </row>
    <row r="325">
      <c r="G325" s="80"/>
      <c r="H325" s="80"/>
    </row>
    <row r="326">
      <c r="G326" s="80"/>
      <c r="H326" s="80"/>
    </row>
    <row r="327">
      <c r="G327" s="80"/>
      <c r="H327" s="80"/>
    </row>
    <row r="328">
      <c r="G328" s="80"/>
      <c r="H328" s="80"/>
    </row>
    <row r="329">
      <c r="G329" s="80"/>
      <c r="H329" s="80"/>
    </row>
    <row r="330">
      <c r="G330" s="80"/>
      <c r="H330" s="80"/>
    </row>
    <row r="331">
      <c r="G331" s="80"/>
      <c r="H331" s="80"/>
    </row>
    <row r="332">
      <c r="G332" s="80"/>
      <c r="H332" s="80"/>
    </row>
    <row r="333">
      <c r="G333" s="80"/>
      <c r="H333" s="80"/>
    </row>
    <row r="334">
      <c r="G334" s="80"/>
      <c r="H334" s="80"/>
    </row>
    <row r="335">
      <c r="G335" s="80"/>
      <c r="H335" s="80"/>
    </row>
    <row r="336">
      <c r="G336" s="80"/>
      <c r="H336" s="80"/>
    </row>
    <row r="337">
      <c r="G337" s="80"/>
      <c r="H337" s="80"/>
    </row>
    <row r="338">
      <c r="G338" s="80"/>
      <c r="H338" s="80"/>
    </row>
    <row r="339">
      <c r="G339" s="80"/>
      <c r="H339" s="80"/>
    </row>
    <row r="340">
      <c r="G340" s="80"/>
      <c r="H340" s="80"/>
    </row>
    <row r="341">
      <c r="G341" s="80"/>
      <c r="H341" s="80"/>
    </row>
    <row r="342">
      <c r="G342" s="80"/>
      <c r="H342" s="80"/>
    </row>
    <row r="343">
      <c r="G343" s="80"/>
      <c r="H343" s="80"/>
    </row>
    <row r="344">
      <c r="G344" s="80"/>
      <c r="H344" s="80"/>
    </row>
    <row r="345">
      <c r="G345" s="80"/>
      <c r="H345" s="80"/>
    </row>
    <row r="346">
      <c r="G346" s="80"/>
      <c r="H346" s="80"/>
    </row>
    <row r="347">
      <c r="G347" s="80"/>
      <c r="H347" s="80"/>
    </row>
    <row r="348">
      <c r="G348" s="80"/>
      <c r="H348" s="80"/>
    </row>
    <row r="349">
      <c r="G349" s="80"/>
      <c r="H349" s="80"/>
    </row>
    <row r="350">
      <c r="G350" s="80"/>
      <c r="H350" s="80"/>
    </row>
    <row r="351">
      <c r="G351" s="80"/>
      <c r="H351" s="80"/>
    </row>
    <row r="352">
      <c r="G352" s="80"/>
      <c r="H352" s="80"/>
    </row>
    <row r="353">
      <c r="G353" s="80"/>
      <c r="H353" s="80"/>
    </row>
    <row r="354">
      <c r="G354" s="80"/>
      <c r="H354" s="80"/>
    </row>
    <row r="355">
      <c r="G355" s="80"/>
      <c r="H355" s="80"/>
    </row>
    <row r="356">
      <c r="G356" s="80"/>
      <c r="H356" s="80"/>
    </row>
    <row r="357">
      <c r="G357" s="80"/>
      <c r="H357" s="80"/>
    </row>
    <row r="358">
      <c r="G358" s="80"/>
      <c r="H358" s="80"/>
    </row>
    <row r="359">
      <c r="G359" s="80"/>
      <c r="H359" s="80"/>
    </row>
    <row r="360">
      <c r="G360" s="80"/>
      <c r="H360" s="80"/>
    </row>
    <row r="361">
      <c r="G361" s="80"/>
      <c r="H361" s="80"/>
    </row>
    <row r="362">
      <c r="G362" s="80"/>
      <c r="H362" s="80"/>
    </row>
    <row r="363">
      <c r="G363" s="80"/>
      <c r="H363" s="80"/>
    </row>
    <row r="364">
      <c r="G364" s="80"/>
      <c r="H364" s="80"/>
    </row>
    <row r="365">
      <c r="G365" s="80"/>
      <c r="H365" s="80"/>
    </row>
    <row r="366">
      <c r="G366" s="80"/>
      <c r="H366" s="80"/>
    </row>
    <row r="367">
      <c r="G367" s="80"/>
      <c r="H367" s="80"/>
    </row>
    <row r="368">
      <c r="G368" s="80"/>
      <c r="H368" s="80"/>
    </row>
    <row r="369">
      <c r="G369" s="80"/>
      <c r="H369" s="80"/>
    </row>
    <row r="370">
      <c r="G370" s="80"/>
      <c r="H370" s="80"/>
    </row>
    <row r="371">
      <c r="G371" s="80"/>
      <c r="H371" s="80"/>
    </row>
    <row r="372">
      <c r="G372" s="80"/>
      <c r="H372" s="80"/>
    </row>
    <row r="373">
      <c r="G373" s="80"/>
      <c r="H373" s="80"/>
    </row>
    <row r="374">
      <c r="G374" s="80"/>
      <c r="H374" s="80"/>
    </row>
    <row r="375">
      <c r="G375" s="80"/>
      <c r="H375" s="80"/>
    </row>
    <row r="376">
      <c r="G376" s="80"/>
      <c r="H376" s="80"/>
    </row>
    <row r="377">
      <c r="G377" s="80"/>
      <c r="H377" s="80"/>
    </row>
    <row r="378">
      <c r="G378" s="80"/>
      <c r="H378" s="80"/>
    </row>
    <row r="379">
      <c r="G379" s="80"/>
      <c r="H379" s="80"/>
    </row>
    <row r="380">
      <c r="G380" s="80"/>
      <c r="H380" s="80"/>
    </row>
    <row r="381">
      <c r="G381" s="80"/>
      <c r="H381" s="80"/>
    </row>
    <row r="382">
      <c r="G382" s="80"/>
      <c r="H382" s="80"/>
    </row>
    <row r="383">
      <c r="G383" s="80"/>
      <c r="H383" s="80"/>
    </row>
    <row r="384">
      <c r="G384" s="80"/>
      <c r="H384" s="80"/>
    </row>
    <row r="385">
      <c r="G385" s="80"/>
      <c r="H385" s="80"/>
    </row>
    <row r="386">
      <c r="G386" s="80"/>
      <c r="H386" s="80"/>
    </row>
    <row r="387">
      <c r="G387" s="80"/>
      <c r="H387" s="80"/>
    </row>
    <row r="388">
      <c r="G388" s="80"/>
      <c r="H388" s="80"/>
    </row>
    <row r="389">
      <c r="G389" s="80"/>
      <c r="H389" s="80"/>
    </row>
    <row r="390">
      <c r="G390" s="80"/>
      <c r="H390" s="80"/>
    </row>
    <row r="391">
      <c r="G391" s="80"/>
      <c r="H391" s="80"/>
    </row>
    <row r="392">
      <c r="G392" s="80"/>
      <c r="H392" s="80"/>
    </row>
    <row r="393">
      <c r="G393" s="80"/>
      <c r="H393" s="80"/>
    </row>
    <row r="394">
      <c r="G394" s="80"/>
      <c r="H394" s="80"/>
    </row>
    <row r="395">
      <c r="G395" s="80"/>
      <c r="H395" s="80"/>
    </row>
    <row r="396">
      <c r="G396" s="80"/>
      <c r="H396" s="80"/>
    </row>
    <row r="397">
      <c r="G397" s="80"/>
      <c r="H397" s="80"/>
    </row>
    <row r="398">
      <c r="G398" s="80"/>
      <c r="H398" s="80"/>
    </row>
    <row r="399">
      <c r="G399" s="80"/>
      <c r="H399" s="80"/>
    </row>
    <row r="400">
      <c r="G400" s="80"/>
      <c r="H400" s="80"/>
    </row>
    <row r="401">
      <c r="G401" s="80"/>
      <c r="H401" s="80"/>
    </row>
    <row r="402">
      <c r="G402" s="80"/>
      <c r="H402" s="80"/>
    </row>
    <row r="403">
      <c r="G403" s="80"/>
      <c r="H403" s="80"/>
    </row>
    <row r="404">
      <c r="G404" s="80"/>
      <c r="H404" s="80"/>
    </row>
    <row r="405">
      <c r="G405" s="80"/>
      <c r="H405" s="80"/>
    </row>
    <row r="406">
      <c r="G406" s="80"/>
      <c r="H406" s="80"/>
    </row>
    <row r="407">
      <c r="G407" s="80"/>
      <c r="H407" s="80"/>
    </row>
    <row r="408">
      <c r="G408" s="80"/>
      <c r="H408" s="80"/>
    </row>
    <row r="409">
      <c r="G409" s="80"/>
      <c r="H409" s="80"/>
    </row>
    <row r="410">
      <c r="G410" s="80"/>
      <c r="H410" s="80"/>
    </row>
    <row r="411">
      <c r="G411" s="80"/>
      <c r="H411" s="80"/>
    </row>
    <row r="412">
      <c r="G412" s="80"/>
      <c r="H412" s="80"/>
    </row>
    <row r="413">
      <c r="G413" s="80"/>
      <c r="H413" s="80"/>
    </row>
    <row r="414">
      <c r="G414" s="80"/>
      <c r="H414" s="80"/>
    </row>
    <row r="415">
      <c r="G415" s="80"/>
      <c r="H415" s="80"/>
    </row>
    <row r="416">
      <c r="G416" s="80"/>
      <c r="H416" s="80"/>
    </row>
    <row r="417">
      <c r="G417" s="80"/>
      <c r="H417" s="80"/>
    </row>
    <row r="418">
      <c r="G418" s="80"/>
      <c r="H418" s="80"/>
    </row>
    <row r="419">
      <c r="G419" s="80"/>
      <c r="H419" s="80"/>
    </row>
    <row r="420">
      <c r="G420" s="80"/>
      <c r="H420" s="80"/>
    </row>
    <row r="421">
      <c r="G421" s="80"/>
      <c r="H421" s="80"/>
    </row>
    <row r="422">
      <c r="G422" s="80"/>
      <c r="H422" s="80"/>
    </row>
    <row r="423">
      <c r="G423" s="80"/>
      <c r="H423" s="80"/>
    </row>
    <row r="424">
      <c r="G424" s="80"/>
      <c r="H424" s="80"/>
    </row>
    <row r="425">
      <c r="G425" s="80"/>
      <c r="H425" s="80"/>
    </row>
    <row r="426">
      <c r="G426" s="80"/>
      <c r="H426" s="80"/>
    </row>
    <row r="427">
      <c r="G427" s="80"/>
      <c r="H427" s="80"/>
    </row>
    <row r="428">
      <c r="G428" s="80"/>
      <c r="H428" s="80"/>
    </row>
    <row r="429">
      <c r="G429" s="80"/>
      <c r="H429" s="80"/>
    </row>
    <row r="430">
      <c r="G430" s="80"/>
      <c r="H430" s="80"/>
    </row>
    <row r="431">
      <c r="G431" s="80"/>
      <c r="H431" s="80"/>
    </row>
    <row r="432">
      <c r="G432" s="80"/>
      <c r="H432" s="80"/>
    </row>
    <row r="433">
      <c r="G433" s="80"/>
      <c r="H433" s="80"/>
    </row>
    <row r="434">
      <c r="G434" s="80"/>
      <c r="H434" s="80"/>
    </row>
    <row r="435">
      <c r="G435" s="80"/>
      <c r="H435" s="80"/>
    </row>
    <row r="436">
      <c r="G436" s="80"/>
      <c r="H436" s="80"/>
    </row>
    <row r="437">
      <c r="G437" s="80"/>
      <c r="H437" s="80"/>
    </row>
    <row r="438">
      <c r="G438" s="80"/>
      <c r="H438" s="80"/>
    </row>
    <row r="439">
      <c r="G439" s="80"/>
      <c r="H439" s="80"/>
    </row>
    <row r="440">
      <c r="G440" s="80"/>
      <c r="H440" s="80"/>
    </row>
    <row r="441">
      <c r="G441" s="80"/>
      <c r="H441" s="80"/>
    </row>
    <row r="442">
      <c r="G442" s="80"/>
      <c r="H442" s="80"/>
    </row>
    <row r="443">
      <c r="G443" s="80"/>
      <c r="H443" s="80"/>
    </row>
    <row r="444">
      <c r="G444" s="80"/>
      <c r="H444" s="80"/>
    </row>
    <row r="445">
      <c r="G445" s="80"/>
      <c r="H445" s="80"/>
    </row>
    <row r="446">
      <c r="G446" s="80"/>
      <c r="H446" s="80"/>
    </row>
    <row r="447">
      <c r="G447" s="80"/>
      <c r="H447" s="80"/>
    </row>
    <row r="448">
      <c r="G448" s="80"/>
      <c r="H448" s="80"/>
    </row>
    <row r="449">
      <c r="G449" s="80"/>
      <c r="H449" s="80"/>
    </row>
    <row r="450">
      <c r="G450" s="80"/>
      <c r="H450" s="80"/>
    </row>
    <row r="451">
      <c r="G451" s="80"/>
      <c r="H451" s="80"/>
    </row>
    <row r="452">
      <c r="G452" s="80"/>
      <c r="H452" s="80"/>
    </row>
    <row r="453">
      <c r="G453" s="80"/>
      <c r="H453" s="80"/>
    </row>
    <row r="454">
      <c r="G454" s="80"/>
      <c r="H454" s="80"/>
    </row>
    <row r="455">
      <c r="G455" s="80"/>
      <c r="H455" s="80"/>
    </row>
    <row r="456">
      <c r="G456" s="80"/>
      <c r="H456" s="80"/>
    </row>
    <row r="457">
      <c r="G457" s="80"/>
      <c r="H457" s="80"/>
    </row>
    <row r="458">
      <c r="G458" s="80"/>
      <c r="H458" s="80"/>
    </row>
    <row r="459">
      <c r="G459" s="80"/>
      <c r="H459" s="80"/>
    </row>
    <row r="460">
      <c r="G460" s="80"/>
      <c r="H460" s="80"/>
    </row>
    <row r="461">
      <c r="G461" s="80"/>
      <c r="H461" s="80"/>
    </row>
    <row r="462">
      <c r="G462" s="80"/>
      <c r="H462" s="80"/>
    </row>
    <row r="463">
      <c r="G463" s="80"/>
      <c r="H463" s="80"/>
    </row>
    <row r="464">
      <c r="G464" s="80"/>
      <c r="H464" s="80"/>
    </row>
    <row r="465">
      <c r="G465" s="80"/>
      <c r="H465" s="80"/>
    </row>
    <row r="466">
      <c r="G466" s="80"/>
      <c r="H466" s="80"/>
    </row>
    <row r="467">
      <c r="G467" s="80"/>
      <c r="H467" s="80"/>
    </row>
    <row r="468">
      <c r="G468" s="80"/>
      <c r="H468" s="80"/>
    </row>
    <row r="469">
      <c r="G469" s="80"/>
      <c r="H469" s="80"/>
    </row>
    <row r="470">
      <c r="G470" s="80"/>
      <c r="H470" s="80"/>
    </row>
    <row r="471">
      <c r="G471" s="80"/>
      <c r="H471" s="80"/>
    </row>
    <row r="472">
      <c r="G472" s="80"/>
      <c r="H472" s="80"/>
    </row>
    <row r="473">
      <c r="G473" s="80"/>
      <c r="H473" s="80"/>
    </row>
    <row r="474">
      <c r="G474" s="80"/>
      <c r="H474" s="80"/>
    </row>
    <row r="475">
      <c r="G475" s="80"/>
      <c r="H475" s="80"/>
    </row>
    <row r="476">
      <c r="G476" s="80"/>
      <c r="H476" s="80"/>
    </row>
    <row r="477">
      <c r="G477" s="80"/>
      <c r="H477" s="80"/>
    </row>
    <row r="478">
      <c r="G478" s="80"/>
      <c r="H478" s="80"/>
    </row>
    <row r="479">
      <c r="G479" s="80"/>
      <c r="H479" s="80"/>
    </row>
    <row r="480">
      <c r="G480" s="80"/>
      <c r="H480" s="80"/>
    </row>
    <row r="481">
      <c r="G481" s="80"/>
      <c r="H481" s="80"/>
    </row>
    <row r="482">
      <c r="G482" s="80"/>
      <c r="H482" s="80"/>
    </row>
    <row r="483">
      <c r="G483" s="80"/>
      <c r="H483" s="80"/>
    </row>
    <row r="484">
      <c r="G484" s="80"/>
      <c r="H484" s="80"/>
    </row>
    <row r="485">
      <c r="G485" s="80"/>
      <c r="H485" s="80"/>
    </row>
    <row r="486">
      <c r="G486" s="80"/>
      <c r="H486" s="80"/>
    </row>
    <row r="487">
      <c r="G487" s="80"/>
      <c r="H487" s="80"/>
    </row>
    <row r="488">
      <c r="G488" s="80"/>
      <c r="H488" s="80"/>
    </row>
    <row r="489">
      <c r="G489" s="80"/>
      <c r="H489" s="80"/>
    </row>
    <row r="490">
      <c r="G490" s="80"/>
      <c r="H490" s="80"/>
    </row>
    <row r="491">
      <c r="G491" s="80"/>
      <c r="H491" s="80"/>
    </row>
    <row r="492">
      <c r="G492" s="80"/>
      <c r="H492" s="80"/>
    </row>
    <row r="493">
      <c r="G493" s="80"/>
      <c r="H493" s="80"/>
    </row>
    <row r="494">
      <c r="G494" s="80"/>
      <c r="H494" s="80"/>
    </row>
    <row r="495">
      <c r="G495" s="80"/>
      <c r="H495" s="80"/>
    </row>
    <row r="496">
      <c r="G496" s="80"/>
      <c r="H496" s="80"/>
    </row>
    <row r="497">
      <c r="G497" s="80"/>
      <c r="H497" s="80"/>
    </row>
    <row r="498">
      <c r="G498" s="80"/>
      <c r="H498" s="80"/>
    </row>
    <row r="499">
      <c r="G499" s="80"/>
      <c r="H499" s="80"/>
    </row>
    <row r="500">
      <c r="G500" s="80"/>
      <c r="H500" s="80"/>
    </row>
    <row r="501">
      <c r="G501" s="80"/>
      <c r="H501" s="80"/>
    </row>
    <row r="502">
      <c r="G502" s="80"/>
      <c r="H502" s="80"/>
    </row>
    <row r="503">
      <c r="G503" s="80"/>
      <c r="H503" s="80"/>
    </row>
    <row r="504">
      <c r="G504" s="80"/>
      <c r="H504" s="80"/>
    </row>
    <row r="505">
      <c r="G505" s="80"/>
      <c r="H505" s="80"/>
    </row>
    <row r="506">
      <c r="G506" s="80"/>
      <c r="H506" s="80"/>
    </row>
    <row r="507">
      <c r="G507" s="80"/>
      <c r="H507" s="80"/>
    </row>
    <row r="508">
      <c r="G508" s="80"/>
      <c r="H508" s="80"/>
    </row>
    <row r="509">
      <c r="G509" s="80"/>
      <c r="H509" s="80"/>
    </row>
    <row r="510">
      <c r="G510" s="80"/>
      <c r="H510" s="80"/>
    </row>
    <row r="511">
      <c r="G511" s="80"/>
      <c r="H511" s="80"/>
    </row>
    <row r="512">
      <c r="G512" s="80"/>
      <c r="H512" s="80"/>
    </row>
    <row r="513">
      <c r="G513" s="80"/>
      <c r="H513" s="80"/>
    </row>
    <row r="514">
      <c r="G514" s="80"/>
      <c r="H514" s="80"/>
    </row>
    <row r="515">
      <c r="G515" s="80"/>
      <c r="H515" s="80"/>
    </row>
    <row r="516">
      <c r="G516" s="80"/>
      <c r="H516" s="80"/>
    </row>
    <row r="517">
      <c r="G517" s="80"/>
      <c r="H517" s="80"/>
    </row>
    <row r="518">
      <c r="G518" s="80"/>
      <c r="H518" s="80"/>
    </row>
    <row r="519">
      <c r="G519" s="80"/>
      <c r="H519" s="80"/>
    </row>
    <row r="520">
      <c r="G520" s="80"/>
      <c r="H520" s="80"/>
    </row>
    <row r="521">
      <c r="G521" s="80"/>
      <c r="H521" s="80"/>
    </row>
    <row r="522">
      <c r="G522" s="80"/>
      <c r="H522" s="80"/>
    </row>
    <row r="523">
      <c r="G523" s="80"/>
      <c r="H523" s="80"/>
    </row>
    <row r="524">
      <c r="G524" s="80"/>
      <c r="H524" s="80"/>
    </row>
    <row r="525">
      <c r="G525" s="80"/>
      <c r="H525" s="80"/>
    </row>
    <row r="526">
      <c r="G526" s="80"/>
      <c r="H526" s="80"/>
    </row>
    <row r="527">
      <c r="G527" s="80"/>
      <c r="H527" s="80"/>
    </row>
    <row r="528">
      <c r="G528" s="80"/>
      <c r="H528" s="80"/>
    </row>
    <row r="529">
      <c r="G529" s="80"/>
      <c r="H529" s="80"/>
    </row>
    <row r="530">
      <c r="G530" s="80"/>
      <c r="H530" s="80"/>
    </row>
    <row r="531">
      <c r="G531" s="80"/>
      <c r="H531" s="80"/>
    </row>
    <row r="532">
      <c r="G532" s="80"/>
      <c r="H532" s="80"/>
    </row>
    <row r="533">
      <c r="G533" s="80"/>
      <c r="H533" s="80"/>
    </row>
    <row r="534">
      <c r="G534" s="80"/>
      <c r="H534" s="80"/>
    </row>
    <row r="535">
      <c r="G535" s="80"/>
      <c r="H535" s="80"/>
    </row>
    <row r="536">
      <c r="G536" s="80"/>
      <c r="H536" s="80"/>
    </row>
    <row r="537">
      <c r="G537" s="80"/>
      <c r="H537" s="80"/>
    </row>
    <row r="538">
      <c r="G538" s="80"/>
      <c r="H538" s="80"/>
    </row>
    <row r="539">
      <c r="G539" s="80"/>
      <c r="H539" s="80"/>
    </row>
    <row r="540">
      <c r="G540" s="80"/>
      <c r="H540" s="80"/>
    </row>
    <row r="541">
      <c r="G541" s="80"/>
      <c r="H541" s="80"/>
    </row>
    <row r="542">
      <c r="G542" s="80"/>
      <c r="H542" s="80"/>
    </row>
    <row r="543">
      <c r="G543" s="80"/>
      <c r="H543" s="80"/>
    </row>
    <row r="544">
      <c r="G544" s="80"/>
      <c r="H544" s="80"/>
    </row>
    <row r="545">
      <c r="G545" s="80"/>
      <c r="H545" s="80"/>
    </row>
    <row r="546">
      <c r="G546" s="80"/>
      <c r="H546" s="80"/>
    </row>
    <row r="547">
      <c r="G547" s="80"/>
      <c r="H547" s="80"/>
    </row>
    <row r="548">
      <c r="G548" s="80"/>
      <c r="H548" s="80"/>
    </row>
    <row r="549">
      <c r="G549" s="80"/>
      <c r="H549" s="80"/>
    </row>
    <row r="550">
      <c r="G550" s="80"/>
      <c r="H550" s="80"/>
    </row>
    <row r="551">
      <c r="G551" s="80"/>
      <c r="H551" s="80"/>
    </row>
    <row r="552">
      <c r="G552" s="80"/>
      <c r="H552" s="80"/>
    </row>
    <row r="553">
      <c r="G553" s="80"/>
      <c r="H553" s="80"/>
    </row>
    <row r="554">
      <c r="G554" s="80"/>
      <c r="H554" s="80"/>
    </row>
    <row r="555">
      <c r="G555" s="80"/>
      <c r="H555" s="80"/>
    </row>
    <row r="556">
      <c r="G556" s="80"/>
      <c r="H556" s="80"/>
    </row>
    <row r="557">
      <c r="G557" s="80"/>
      <c r="H557" s="80"/>
    </row>
    <row r="558">
      <c r="G558" s="80"/>
      <c r="H558" s="80"/>
    </row>
    <row r="559">
      <c r="G559" s="80"/>
      <c r="H559" s="80"/>
    </row>
    <row r="560">
      <c r="G560" s="80"/>
      <c r="H560" s="80"/>
    </row>
    <row r="561">
      <c r="G561" s="80"/>
      <c r="H561" s="80"/>
    </row>
    <row r="562">
      <c r="G562" s="80"/>
      <c r="H562" s="80"/>
    </row>
    <row r="563">
      <c r="G563" s="80"/>
      <c r="H563" s="80"/>
    </row>
    <row r="564">
      <c r="G564" s="80"/>
      <c r="H564" s="80"/>
    </row>
    <row r="565">
      <c r="G565" s="80"/>
      <c r="H565" s="80"/>
    </row>
    <row r="566">
      <c r="G566" s="80"/>
      <c r="H566" s="80"/>
    </row>
    <row r="567">
      <c r="G567" s="80"/>
      <c r="H567" s="80"/>
    </row>
    <row r="568">
      <c r="G568" s="80"/>
      <c r="H568" s="80"/>
    </row>
    <row r="569">
      <c r="G569" s="80"/>
      <c r="H569" s="80"/>
    </row>
    <row r="570">
      <c r="G570" s="80"/>
      <c r="H570" s="80"/>
    </row>
    <row r="571">
      <c r="G571" s="80"/>
      <c r="H571" s="80"/>
    </row>
    <row r="572">
      <c r="G572" s="80"/>
      <c r="H572" s="80"/>
    </row>
    <row r="573">
      <c r="G573" s="80"/>
      <c r="H573" s="80"/>
    </row>
    <row r="574">
      <c r="G574" s="80"/>
      <c r="H574" s="80"/>
    </row>
    <row r="575">
      <c r="G575" s="80"/>
      <c r="H575" s="80"/>
    </row>
    <row r="576">
      <c r="G576" s="80"/>
      <c r="H576" s="80"/>
    </row>
    <row r="577">
      <c r="G577" s="80"/>
      <c r="H577" s="80"/>
    </row>
    <row r="578">
      <c r="G578" s="80"/>
      <c r="H578" s="80"/>
    </row>
    <row r="579">
      <c r="G579" s="80"/>
      <c r="H579" s="80"/>
    </row>
    <row r="580">
      <c r="G580" s="80"/>
      <c r="H580" s="80"/>
    </row>
    <row r="581">
      <c r="G581" s="80"/>
      <c r="H581" s="80"/>
    </row>
    <row r="582">
      <c r="G582" s="80"/>
      <c r="H582" s="80"/>
    </row>
    <row r="583">
      <c r="G583" s="80"/>
      <c r="H583" s="80"/>
    </row>
    <row r="584">
      <c r="G584" s="80"/>
      <c r="H584" s="80"/>
    </row>
    <row r="585">
      <c r="G585" s="80"/>
      <c r="H585" s="80"/>
    </row>
    <row r="586">
      <c r="G586" s="80"/>
      <c r="H586" s="80"/>
    </row>
    <row r="587">
      <c r="G587" s="80"/>
      <c r="H587" s="80"/>
    </row>
    <row r="588">
      <c r="G588" s="80"/>
      <c r="H588" s="80"/>
    </row>
    <row r="589">
      <c r="G589" s="80"/>
      <c r="H589" s="80"/>
    </row>
    <row r="590">
      <c r="G590" s="80"/>
      <c r="H590" s="80"/>
    </row>
    <row r="591">
      <c r="G591" s="80"/>
      <c r="H591" s="80"/>
    </row>
    <row r="592">
      <c r="G592" s="80"/>
      <c r="H592" s="80"/>
    </row>
    <row r="593">
      <c r="G593" s="80"/>
      <c r="H593" s="80"/>
    </row>
    <row r="594">
      <c r="G594" s="80"/>
      <c r="H594" s="80"/>
    </row>
    <row r="595">
      <c r="G595" s="80"/>
      <c r="H595" s="80"/>
    </row>
    <row r="596">
      <c r="G596" s="80"/>
      <c r="H596" s="80"/>
    </row>
    <row r="597">
      <c r="G597" s="80"/>
      <c r="H597" s="80"/>
    </row>
    <row r="598">
      <c r="G598" s="80"/>
      <c r="H598" s="80"/>
    </row>
    <row r="599">
      <c r="G599" s="80"/>
      <c r="H599" s="80"/>
    </row>
    <row r="600">
      <c r="G600" s="80"/>
      <c r="H600" s="80"/>
    </row>
    <row r="601">
      <c r="G601" s="80"/>
      <c r="H601" s="80"/>
    </row>
    <row r="602">
      <c r="G602" s="80"/>
      <c r="H602" s="80"/>
    </row>
    <row r="603">
      <c r="G603" s="80"/>
      <c r="H603" s="80"/>
    </row>
    <row r="604">
      <c r="G604" s="80"/>
      <c r="H604" s="80"/>
    </row>
    <row r="605">
      <c r="G605" s="80"/>
      <c r="H605" s="80"/>
    </row>
    <row r="606">
      <c r="G606" s="80"/>
      <c r="H606" s="80"/>
    </row>
    <row r="607">
      <c r="G607" s="80"/>
      <c r="H607" s="80"/>
    </row>
    <row r="608">
      <c r="G608" s="80"/>
      <c r="H608" s="80"/>
    </row>
    <row r="609">
      <c r="G609" s="80"/>
      <c r="H609" s="80"/>
    </row>
    <row r="610">
      <c r="G610" s="80"/>
      <c r="H610" s="80"/>
    </row>
    <row r="611">
      <c r="G611" s="80"/>
      <c r="H611" s="80"/>
    </row>
    <row r="612">
      <c r="G612" s="80"/>
      <c r="H612" s="80"/>
    </row>
    <row r="613">
      <c r="G613" s="80"/>
      <c r="H613" s="80"/>
    </row>
    <row r="614">
      <c r="G614" s="80"/>
      <c r="H614" s="80"/>
    </row>
    <row r="615">
      <c r="G615" s="80"/>
      <c r="H615" s="80"/>
    </row>
    <row r="616">
      <c r="G616" s="80"/>
      <c r="H616" s="80"/>
    </row>
    <row r="617">
      <c r="G617" s="80"/>
      <c r="H617" s="80"/>
    </row>
    <row r="618">
      <c r="G618" s="80"/>
      <c r="H618" s="80"/>
    </row>
    <row r="619">
      <c r="G619" s="80"/>
      <c r="H619" s="80"/>
    </row>
    <row r="620">
      <c r="G620" s="80"/>
      <c r="H620" s="80"/>
    </row>
    <row r="621">
      <c r="G621" s="80"/>
      <c r="H621" s="80"/>
    </row>
    <row r="622">
      <c r="G622" s="80"/>
      <c r="H622" s="80"/>
    </row>
    <row r="623">
      <c r="G623" s="80"/>
      <c r="H623" s="80"/>
    </row>
    <row r="624">
      <c r="G624" s="80"/>
      <c r="H624" s="80"/>
    </row>
    <row r="625">
      <c r="G625" s="80"/>
      <c r="H625" s="80"/>
    </row>
    <row r="626">
      <c r="G626" s="80"/>
      <c r="H626" s="80"/>
    </row>
    <row r="627">
      <c r="G627" s="80"/>
      <c r="H627" s="80"/>
    </row>
    <row r="628">
      <c r="G628" s="80"/>
      <c r="H628" s="80"/>
    </row>
    <row r="629">
      <c r="G629" s="80"/>
      <c r="H629" s="80"/>
    </row>
    <row r="630">
      <c r="G630" s="80"/>
      <c r="H630" s="80"/>
    </row>
    <row r="631">
      <c r="G631" s="80"/>
      <c r="H631" s="80"/>
    </row>
    <row r="632">
      <c r="G632" s="80"/>
      <c r="H632" s="80"/>
    </row>
    <row r="633">
      <c r="G633" s="80"/>
      <c r="H633" s="80"/>
    </row>
    <row r="634">
      <c r="G634" s="80"/>
      <c r="H634" s="80"/>
    </row>
    <row r="635">
      <c r="G635" s="80"/>
      <c r="H635" s="80"/>
    </row>
    <row r="636">
      <c r="G636" s="80"/>
      <c r="H636" s="80"/>
    </row>
    <row r="637">
      <c r="G637" s="80"/>
      <c r="H637" s="80"/>
    </row>
    <row r="638">
      <c r="G638" s="80"/>
      <c r="H638" s="80"/>
    </row>
    <row r="639">
      <c r="G639" s="80"/>
      <c r="H639" s="80"/>
    </row>
    <row r="640">
      <c r="G640" s="80"/>
      <c r="H640" s="80"/>
    </row>
    <row r="641">
      <c r="G641" s="80"/>
      <c r="H641" s="80"/>
    </row>
    <row r="642">
      <c r="G642" s="80"/>
      <c r="H642" s="80"/>
    </row>
    <row r="643">
      <c r="G643" s="80"/>
      <c r="H643" s="80"/>
    </row>
    <row r="644">
      <c r="G644" s="80"/>
      <c r="H644" s="80"/>
    </row>
    <row r="645">
      <c r="G645" s="80"/>
      <c r="H645" s="80"/>
    </row>
    <row r="646">
      <c r="G646" s="80"/>
      <c r="H646" s="80"/>
    </row>
    <row r="647">
      <c r="G647" s="80"/>
      <c r="H647" s="80"/>
    </row>
    <row r="648">
      <c r="G648" s="80"/>
      <c r="H648" s="80"/>
    </row>
    <row r="649">
      <c r="G649" s="80"/>
      <c r="H649" s="80"/>
    </row>
    <row r="650">
      <c r="G650" s="80"/>
      <c r="H650" s="80"/>
    </row>
    <row r="651">
      <c r="G651" s="80"/>
      <c r="H651" s="80"/>
    </row>
    <row r="652">
      <c r="G652" s="80"/>
      <c r="H652" s="80"/>
    </row>
    <row r="653">
      <c r="G653" s="80"/>
      <c r="H653" s="80"/>
    </row>
    <row r="654">
      <c r="G654" s="80"/>
      <c r="H654" s="80"/>
    </row>
    <row r="655">
      <c r="G655" s="80"/>
      <c r="H655" s="80"/>
    </row>
    <row r="656">
      <c r="G656" s="80"/>
      <c r="H656" s="80"/>
    </row>
    <row r="657">
      <c r="G657" s="80"/>
      <c r="H657" s="80"/>
    </row>
    <row r="658">
      <c r="G658" s="80"/>
      <c r="H658" s="80"/>
    </row>
    <row r="659">
      <c r="G659" s="80"/>
      <c r="H659" s="80"/>
    </row>
    <row r="660">
      <c r="G660" s="80"/>
      <c r="H660" s="80"/>
    </row>
    <row r="661">
      <c r="G661" s="80"/>
      <c r="H661" s="80"/>
    </row>
    <row r="662">
      <c r="G662" s="80"/>
      <c r="H662" s="80"/>
    </row>
    <row r="663">
      <c r="G663" s="80"/>
      <c r="H663" s="80"/>
    </row>
    <row r="664">
      <c r="G664" s="80"/>
      <c r="H664" s="80"/>
    </row>
    <row r="665">
      <c r="G665" s="80"/>
      <c r="H665" s="80"/>
    </row>
    <row r="666">
      <c r="G666" s="80"/>
      <c r="H666" s="80"/>
    </row>
    <row r="667">
      <c r="G667" s="80"/>
      <c r="H667" s="80"/>
    </row>
    <row r="668">
      <c r="G668" s="80"/>
      <c r="H668" s="80"/>
    </row>
    <row r="669">
      <c r="G669" s="80"/>
      <c r="H669" s="80"/>
    </row>
    <row r="670">
      <c r="G670" s="80"/>
      <c r="H670" s="80"/>
    </row>
    <row r="671">
      <c r="G671" s="80"/>
      <c r="H671" s="80"/>
    </row>
    <row r="672">
      <c r="G672" s="80"/>
      <c r="H672" s="80"/>
    </row>
    <row r="673">
      <c r="G673" s="80"/>
      <c r="H673" s="80"/>
    </row>
    <row r="674">
      <c r="G674" s="80"/>
      <c r="H674" s="80"/>
    </row>
    <row r="675">
      <c r="G675" s="80"/>
      <c r="H675" s="80"/>
    </row>
    <row r="676">
      <c r="G676" s="80"/>
      <c r="H676" s="80"/>
    </row>
    <row r="677">
      <c r="G677" s="80"/>
      <c r="H677" s="80"/>
    </row>
    <row r="678">
      <c r="G678" s="80"/>
      <c r="H678" s="80"/>
    </row>
    <row r="679">
      <c r="G679" s="80"/>
      <c r="H679" s="80"/>
    </row>
    <row r="680">
      <c r="G680" s="80"/>
      <c r="H680" s="80"/>
    </row>
    <row r="681">
      <c r="G681" s="80"/>
      <c r="H681" s="80"/>
    </row>
    <row r="682">
      <c r="G682" s="80"/>
      <c r="H682" s="80"/>
    </row>
    <row r="683">
      <c r="G683" s="80"/>
      <c r="H683" s="80"/>
    </row>
    <row r="684">
      <c r="G684" s="80"/>
      <c r="H684" s="80"/>
    </row>
    <row r="685">
      <c r="G685" s="80"/>
      <c r="H685" s="80"/>
    </row>
    <row r="686">
      <c r="G686" s="80"/>
      <c r="H686" s="80"/>
    </row>
    <row r="687">
      <c r="G687" s="80"/>
      <c r="H687" s="80"/>
    </row>
    <row r="688">
      <c r="G688" s="80"/>
      <c r="H688" s="80"/>
    </row>
    <row r="689">
      <c r="G689" s="80"/>
      <c r="H689" s="80"/>
    </row>
    <row r="690">
      <c r="G690" s="80"/>
      <c r="H690" s="80"/>
    </row>
    <row r="691">
      <c r="G691" s="80"/>
      <c r="H691" s="80"/>
    </row>
    <row r="692">
      <c r="G692" s="80"/>
      <c r="H692" s="80"/>
    </row>
    <row r="693">
      <c r="G693" s="80"/>
      <c r="H693" s="80"/>
    </row>
    <row r="694">
      <c r="G694" s="80"/>
      <c r="H694" s="80"/>
    </row>
    <row r="695">
      <c r="G695" s="80"/>
      <c r="H695" s="80"/>
    </row>
    <row r="696">
      <c r="G696" s="80"/>
      <c r="H696" s="80"/>
    </row>
    <row r="697">
      <c r="G697" s="80"/>
      <c r="H697" s="80"/>
    </row>
    <row r="698">
      <c r="G698" s="80"/>
      <c r="H698" s="80"/>
    </row>
    <row r="699">
      <c r="G699" s="80"/>
      <c r="H699" s="80"/>
    </row>
    <row r="700">
      <c r="G700" s="80"/>
      <c r="H700" s="80"/>
    </row>
    <row r="701">
      <c r="G701" s="80"/>
      <c r="H701" s="80"/>
    </row>
    <row r="702">
      <c r="G702" s="80"/>
      <c r="H702" s="80"/>
    </row>
    <row r="703">
      <c r="G703" s="80"/>
      <c r="H703" s="80"/>
    </row>
    <row r="704">
      <c r="G704" s="80"/>
      <c r="H704" s="80"/>
    </row>
    <row r="705">
      <c r="G705" s="80"/>
      <c r="H705" s="80"/>
    </row>
    <row r="706">
      <c r="G706" s="80"/>
      <c r="H706" s="80"/>
    </row>
    <row r="707">
      <c r="G707" s="80"/>
      <c r="H707" s="80"/>
    </row>
    <row r="708">
      <c r="G708" s="80"/>
      <c r="H708" s="80"/>
    </row>
    <row r="709">
      <c r="G709" s="80"/>
      <c r="H709" s="80"/>
    </row>
    <row r="710">
      <c r="G710" s="80"/>
      <c r="H710" s="80"/>
    </row>
    <row r="711">
      <c r="G711" s="80"/>
      <c r="H711" s="80"/>
    </row>
    <row r="712">
      <c r="G712" s="80"/>
      <c r="H712" s="80"/>
    </row>
    <row r="713">
      <c r="G713" s="80"/>
      <c r="H713" s="80"/>
    </row>
    <row r="714">
      <c r="G714" s="80"/>
      <c r="H714" s="80"/>
    </row>
    <row r="715">
      <c r="G715" s="80"/>
      <c r="H715" s="80"/>
    </row>
    <row r="716">
      <c r="G716" s="80"/>
      <c r="H716" s="80"/>
    </row>
    <row r="717">
      <c r="G717" s="80"/>
      <c r="H717" s="80"/>
    </row>
    <row r="718">
      <c r="G718" s="80"/>
      <c r="H718" s="80"/>
    </row>
    <row r="719">
      <c r="G719" s="80"/>
      <c r="H719" s="80"/>
    </row>
    <row r="720">
      <c r="G720" s="80"/>
      <c r="H720" s="80"/>
    </row>
    <row r="721">
      <c r="G721" s="80"/>
      <c r="H721" s="80"/>
    </row>
    <row r="722">
      <c r="G722" s="80"/>
      <c r="H722" s="80"/>
    </row>
    <row r="723">
      <c r="G723" s="80"/>
      <c r="H723" s="80"/>
    </row>
    <row r="724">
      <c r="G724" s="80"/>
      <c r="H724" s="80"/>
    </row>
    <row r="725">
      <c r="G725" s="80"/>
      <c r="H725" s="80"/>
    </row>
    <row r="726">
      <c r="G726" s="80"/>
      <c r="H726" s="80"/>
    </row>
    <row r="727">
      <c r="G727" s="80"/>
      <c r="H727" s="80"/>
    </row>
    <row r="728">
      <c r="G728" s="80"/>
      <c r="H728" s="80"/>
    </row>
    <row r="729">
      <c r="G729" s="80"/>
      <c r="H729" s="80"/>
    </row>
    <row r="730">
      <c r="G730" s="80"/>
      <c r="H730" s="80"/>
    </row>
    <row r="731">
      <c r="G731" s="80"/>
      <c r="H731" s="80"/>
    </row>
    <row r="732">
      <c r="G732" s="80"/>
      <c r="H732" s="80"/>
    </row>
    <row r="733">
      <c r="G733" s="80"/>
      <c r="H733" s="80"/>
    </row>
    <row r="734">
      <c r="G734" s="80"/>
      <c r="H734" s="80"/>
    </row>
    <row r="735">
      <c r="G735" s="80"/>
      <c r="H735" s="80"/>
    </row>
    <row r="736">
      <c r="G736" s="80"/>
      <c r="H736" s="80"/>
    </row>
    <row r="737">
      <c r="G737" s="80"/>
      <c r="H737" s="80"/>
    </row>
    <row r="738">
      <c r="G738" s="80"/>
      <c r="H738" s="80"/>
    </row>
    <row r="739">
      <c r="G739" s="80"/>
      <c r="H739" s="80"/>
    </row>
    <row r="740">
      <c r="G740" s="80"/>
      <c r="H740" s="80"/>
    </row>
    <row r="741">
      <c r="G741" s="80"/>
      <c r="H741" s="80"/>
    </row>
    <row r="742">
      <c r="G742" s="80"/>
      <c r="H742" s="80"/>
    </row>
    <row r="743">
      <c r="G743" s="80"/>
      <c r="H743" s="80"/>
    </row>
    <row r="744">
      <c r="G744" s="80"/>
      <c r="H744" s="80"/>
    </row>
    <row r="745">
      <c r="G745" s="80"/>
      <c r="H745" s="80"/>
    </row>
    <row r="746">
      <c r="G746" s="80"/>
      <c r="H746" s="80"/>
    </row>
    <row r="747">
      <c r="G747" s="80"/>
      <c r="H747" s="80"/>
    </row>
    <row r="748">
      <c r="G748" s="80"/>
      <c r="H748" s="80"/>
    </row>
    <row r="749">
      <c r="G749" s="80"/>
      <c r="H749" s="80"/>
    </row>
    <row r="750">
      <c r="G750" s="80"/>
      <c r="H750" s="80"/>
    </row>
    <row r="751">
      <c r="G751" s="80"/>
      <c r="H751" s="80"/>
    </row>
    <row r="752">
      <c r="G752" s="80"/>
      <c r="H752" s="80"/>
    </row>
    <row r="753">
      <c r="G753" s="80"/>
      <c r="H753" s="80"/>
    </row>
    <row r="754">
      <c r="G754" s="80"/>
      <c r="H754" s="80"/>
    </row>
    <row r="755">
      <c r="G755" s="80"/>
      <c r="H755" s="80"/>
    </row>
    <row r="756">
      <c r="G756" s="80"/>
      <c r="H756" s="80"/>
    </row>
    <row r="757">
      <c r="G757" s="80"/>
      <c r="H757" s="80"/>
    </row>
    <row r="758">
      <c r="G758" s="80"/>
      <c r="H758" s="80"/>
    </row>
    <row r="759">
      <c r="G759" s="80"/>
      <c r="H759" s="80"/>
    </row>
    <row r="760">
      <c r="G760" s="80"/>
      <c r="H760" s="80"/>
    </row>
    <row r="761">
      <c r="G761" s="80"/>
      <c r="H761" s="80"/>
    </row>
    <row r="762">
      <c r="G762" s="80"/>
      <c r="H762" s="80"/>
    </row>
    <row r="763">
      <c r="G763" s="80"/>
      <c r="H763" s="80"/>
    </row>
    <row r="764">
      <c r="G764" s="80"/>
      <c r="H764" s="80"/>
    </row>
    <row r="765">
      <c r="G765" s="80"/>
      <c r="H765" s="80"/>
    </row>
    <row r="766">
      <c r="G766" s="80"/>
      <c r="H766" s="80"/>
    </row>
    <row r="767">
      <c r="G767" s="80"/>
      <c r="H767" s="80"/>
    </row>
    <row r="768">
      <c r="G768" s="80"/>
      <c r="H768" s="80"/>
    </row>
    <row r="769">
      <c r="G769" s="80"/>
      <c r="H769" s="80"/>
    </row>
    <row r="770">
      <c r="G770" s="80"/>
      <c r="H770" s="80"/>
    </row>
    <row r="771">
      <c r="G771" s="80"/>
      <c r="H771" s="80"/>
    </row>
    <row r="772">
      <c r="G772" s="80"/>
      <c r="H772" s="80"/>
    </row>
    <row r="773">
      <c r="G773" s="80"/>
      <c r="H773" s="80"/>
    </row>
    <row r="774">
      <c r="G774" s="80"/>
      <c r="H774" s="80"/>
    </row>
    <row r="775">
      <c r="G775" s="80"/>
      <c r="H775" s="80"/>
    </row>
    <row r="776">
      <c r="G776" s="80"/>
      <c r="H776" s="80"/>
    </row>
    <row r="777">
      <c r="G777" s="80"/>
      <c r="H777" s="80"/>
    </row>
    <row r="778">
      <c r="G778" s="80"/>
      <c r="H778" s="80"/>
    </row>
    <row r="779">
      <c r="G779" s="80"/>
      <c r="H779" s="80"/>
    </row>
    <row r="780">
      <c r="G780" s="80"/>
      <c r="H780" s="80"/>
    </row>
    <row r="781">
      <c r="G781" s="80"/>
      <c r="H781" s="80"/>
    </row>
    <row r="782">
      <c r="G782" s="80"/>
      <c r="H782" s="80"/>
    </row>
    <row r="783">
      <c r="G783" s="80"/>
      <c r="H783" s="80"/>
    </row>
    <row r="784">
      <c r="G784" s="80"/>
      <c r="H784" s="80"/>
    </row>
    <row r="785">
      <c r="G785" s="80"/>
      <c r="H785" s="80"/>
    </row>
    <row r="786">
      <c r="G786" s="80"/>
      <c r="H786" s="80"/>
    </row>
    <row r="787">
      <c r="G787" s="80"/>
      <c r="H787" s="80"/>
    </row>
    <row r="788">
      <c r="G788" s="80"/>
      <c r="H788" s="80"/>
    </row>
    <row r="789">
      <c r="G789" s="80"/>
      <c r="H789" s="80"/>
    </row>
    <row r="790">
      <c r="G790" s="80"/>
      <c r="H790" s="80"/>
    </row>
    <row r="791">
      <c r="G791" s="80"/>
      <c r="H791" s="80"/>
    </row>
    <row r="792">
      <c r="G792" s="80"/>
      <c r="H792" s="80"/>
    </row>
    <row r="793">
      <c r="G793" s="80"/>
      <c r="H793" s="80"/>
    </row>
    <row r="794">
      <c r="G794" s="80"/>
      <c r="H794" s="80"/>
    </row>
    <row r="795">
      <c r="G795" s="80"/>
      <c r="H795" s="80"/>
    </row>
    <row r="796">
      <c r="G796" s="80"/>
      <c r="H796" s="80"/>
    </row>
    <row r="797">
      <c r="G797" s="80"/>
      <c r="H797" s="80"/>
    </row>
    <row r="798">
      <c r="G798" s="80"/>
      <c r="H798" s="80"/>
    </row>
    <row r="799">
      <c r="G799" s="80"/>
      <c r="H799" s="80"/>
    </row>
    <row r="800">
      <c r="G800" s="80"/>
      <c r="H800" s="80"/>
    </row>
    <row r="801">
      <c r="G801" s="80"/>
      <c r="H801" s="80"/>
    </row>
    <row r="802">
      <c r="G802" s="80"/>
      <c r="H802" s="80"/>
    </row>
    <row r="803">
      <c r="G803" s="80"/>
      <c r="H803" s="80"/>
    </row>
    <row r="804">
      <c r="G804" s="80"/>
      <c r="H804" s="80"/>
    </row>
    <row r="805">
      <c r="G805" s="80"/>
      <c r="H805" s="80"/>
    </row>
    <row r="806">
      <c r="G806" s="80"/>
      <c r="H806" s="80"/>
    </row>
    <row r="807">
      <c r="G807" s="80"/>
      <c r="H807" s="80"/>
    </row>
    <row r="808">
      <c r="G808" s="80"/>
      <c r="H808" s="80"/>
    </row>
    <row r="809">
      <c r="G809" s="80"/>
      <c r="H809" s="80"/>
    </row>
    <row r="810">
      <c r="G810" s="80"/>
      <c r="H810" s="80"/>
    </row>
    <row r="811">
      <c r="G811" s="80"/>
      <c r="H811" s="80"/>
    </row>
    <row r="812">
      <c r="G812" s="80"/>
      <c r="H812" s="80"/>
    </row>
    <row r="813">
      <c r="G813" s="80"/>
      <c r="H813" s="80"/>
    </row>
    <row r="814">
      <c r="G814" s="80"/>
      <c r="H814" s="80"/>
    </row>
    <row r="815">
      <c r="G815" s="80"/>
      <c r="H815" s="80"/>
    </row>
    <row r="816">
      <c r="G816" s="80"/>
      <c r="H816" s="80"/>
    </row>
    <row r="817">
      <c r="G817" s="80"/>
      <c r="H817" s="80"/>
    </row>
    <row r="818">
      <c r="G818" s="80"/>
      <c r="H818" s="80"/>
    </row>
    <row r="819">
      <c r="G819" s="80"/>
      <c r="H819" s="80"/>
    </row>
    <row r="820">
      <c r="G820" s="80"/>
      <c r="H820" s="80"/>
    </row>
    <row r="821">
      <c r="G821" s="80"/>
      <c r="H821" s="80"/>
    </row>
    <row r="822">
      <c r="G822" s="80"/>
      <c r="H822" s="80"/>
    </row>
    <row r="823">
      <c r="G823" s="80"/>
      <c r="H823" s="80"/>
    </row>
    <row r="824">
      <c r="G824" s="80"/>
      <c r="H824" s="80"/>
    </row>
    <row r="825">
      <c r="G825" s="80"/>
      <c r="H825" s="80"/>
    </row>
    <row r="826">
      <c r="G826" s="80"/>
      <c r="H826" s="80"/>
    </row>
    <row r="827">
      <c r="G827" s="80"/>
      <c r="H827" s="80"/>
    </row>
    <row r="828">
      <c r="G828" s="80"/>
      <c r="H828" s="80"/>
    </row>
    <row r="829">
      <c r="G829" s="80"/>
      <c r="H829" s="80"/>
    </row>
    <row r="830">
      <c r="G830" s="80"/>
      <c r="H830" s="80"/>
    </row>
    <row r="831">
      <c r="G831" s="80"/>
      <c r="H831" s="80"/>
    </row>
    <row r="832">
      <c r="G832" s="80"/>
      <c r="H832" s="80"/>
    </row>
    <row r="833">
      <c r="G833" s="80"/>
      <c r="H833" s="80"/>
    </row>
    <row r="834">
      <c r="G834" s="80"/>
      <c r="H834" s="80"/>
    </row>
    <row r="835">
      <c r="G835" s="80"/>
      <c r="H835" s="80"/>
    </row>
    <row r="836">
      <c r="G836" s="80"/>
      <c r="H836" s="80"/>
    </row>
    <row r="837">
      <c r="G837" s="80"/>
      <c r="H837" s="80"/>
    </row>
    <row r="838">
      <c r="G838" s="80"/>
      <c r="H838" s="80"/>
    </row>
    <row r="839">
      <c r="G839" s="80"/>
      <c r="H839" s="80"/>
    </row>
    <row r="840">
      <c r="G840" s="80"/>
      <c r="H840" s="80"/>
    </row>
    <row r="841">
      <c r="G841" s="80"/>
      <c r="H841" s="80"/>
    </row>
    <row r="842">
      <c r="G842" s="80"/>
      <c r="H842" s="80"/>
    </row>
    <row r="843">
      <c r="G843" s="80"/>
      <c r="H843" s="80"/>
    </row>
    <row r="844">
      <c r="G844" s="80"/>
      <c r="H844" s="80"/>
    </row>
    <row r="845">
      <c r="G845" s="80"/>
      <c r="H845" s="80"/>
    </row>
    <row r="846">
      <c r="G846" s="80"/>
      <c r="H846" s="80"/>
    </row>
    <row r="847">
      <c r="G847" s="80"/>
      <c r="H847" s="80"/>
    </row>
    <row r="848">
      <c r="G848" s="80"/>
      <c r="H848" s="80"/>
    </row>
    <row r="849">
      <c r="G849" s="80"/>
      <c r="H849" s="80"/>
    </row>
    <row r="850">
      <c r="G850" s="80"/>
      <c r="H850" s="80"/>
    </row>
    <row r="851">
      <c r="G851" s="80"/>
      <c r="H851" s="80"/>
    </row>
    <row r="852">
      <c r="G852" s="80"/>
      <c r="H852" s="80"/>
    </row>
    <row r="853">
      <c r="G853" s="80"/>
      <c r="H853" s="80"/>
    </row>
    <row r="854">
      <c r="G854" s="80"/>
      <c r="H854" s="80"/>
    </row>
    <row r="855">
      <c r="G855" s="80"/>
      <c r="H855" s="80"/>
    </row>
    <row r="856">
      <c r="G856" s="80"/>
      <c r="H856" s="80"/>
    </row>
    <row r="857">
      <c r="G857" s="80"/>
      <c r="H857" s="80"/>
    </row>
    <row r="858">
      <c r="G858" s="80"/>
      <c r="H858" s="80"/>
    </row>
    <row r="859">
      <c r="G859" s="80"/>
      <c r="H859" s="80"/>
    </row>
    <row r="860">
      <c r="G860" s="80"/>
      <c r="H860" s="80"/>
    </row>
    <row r="861">
      <c r="G861" s="80"/>
      <c r="H861" s="80"/>
    </row>
    <row r="862">
      <c r="G862" s="80"/>
      <c r="H862" s="80"/>
    </row>
    <row r="863">
      <c r="G863" s="80"/>
      <c r="H863" s="80"/>
    </row>
    <row r="864">
      <c r="G864" s="80"/>
      <c r="H864" s="80"/>
    </row>
    <row r="865">
      <c r="G865" s="80"/>
      <c r="H865" s="80"/>
    </row>
    <row r="866">
      <c r="G866" s="80"/>
      <c r="H866" s="80"/>
    </row>
    <row r="867">
      <c r="G867" s="80"/>
      <c r="H867" s="80"/>
    </row>
    <row r="868">
      <c r="G868" s="80"/>
      <c r="H868" s="80"/>
    </row>
    <row r="869">
      <c r="G869" s="80"/>
      <c r="H869" s="80"/>
    </row>
    <row r="870">
      <c r="G870" s="80"/>
      <c r="H870" s="80"/>
    </row>
    <row r="871">
      <c r="G871" s="80"/>
      <c r="H871" s="80"/>
    </row>
    <row r="872">
      <c r="G872" s="80"/>
      <c r="H872" s="80"/>
    </row>
    <row r="873">
      <c r="G873" s="80"/>
      <c r="H873" s="80"/>
    </row>
    <row r="874">
      <c r="G874" s="80"/>
      <c r="H874" s="80"/>
    </row>
    <row r="875">
      <c r="G875" s="80"/>
      <c r="H875" s="80"/>
    </row>
    <row r="876">
      <c r="G876" s="80"/>
      <c r="H876" s="80"/>
    </row>
    <row r="877">
      <c r="G877" s="80"/>
      <c r="H877" s="80"/>
    </row>
    <row r="878">
      <c r="G878" s="80"/>
      <c r="H878" s="80"/>
    </row>
    <row r="879">
      <c r="G879" s="80"/>
      <c r="H879" s="80"/>
    </row>
    <row r="880">
      <c r="G880" s="80"/>
      <c r="H880" s="80"/>
    </row>
    <row r="881">
      <c r="G881" s="80"/>
      <c r="H881" s="80"/>
    </row>
    <row r="882">
      <c r="G882" s="80"/>
      <c r="H882" s="80"/>
    </row>
    <row r="883">
      <c r="G883" s="80"/>
      <c r="H883" s="80"/>
    </row>
    <row r="884">
      <c r="G884" s="80"/>
      <c r="H884" s="80"/>
    </row>
    <row r="885">
      <c r="G885" s="80"/>
      <c r="H885" s="80"/>
    </row>
    <row r="886">
      <c r="G886" s="80"/>
      <c r="H886" s="80"/>
    </row>
    <row r="887">
      <c r="G887" s="80"/>
      <c r="H887" s="80"/>
    </row>
    <row r="888">
      <c r="G888" s="80"/>
      <c r="H888" s="80"/>
    </row>
    <row r="889">
      <c r="G889" s="80"/>
      <c r="H889" s="80"/>
    </row>
    <row r="890">
      <c r="G890" s="80"/>
      <c r="H890" s="80"/>
    </row>
    <row r="891">
      <c r="G891" s="80"/>
      <c r="H891" s="80"/>
    </row>
    <row r="892">
      <c r="G892" s="80"/>
      <c r="H892" s="80"/>
    </row>
    <row r="893">
      <c r="G893" s="80"/>
      <c r="H893" s="80"/>
    </row>
    <row r="894">
      <c r="G894" s="80"/>
      <c r="H894" s="80"/>
    </row>
    <row r="895">
      <c r="G895" s="80"/>
      <c r="H895" s="80"/>
    </row>
    <row r="896">
      <c r="G896" s="80"/>
      <c r="H896" s="80"/>
    </row>
    <row r="897">
      <c r="G897" s="80"/>
      <c r="H897" s="80"/>
    </row>
    <row r="898">
      <c r="G898" s="80"/>
      <c r="H898" s="80"/>
    </row>
    <row r="899">
      <c r="G899" s="80"/>
      <c r="H899" s="80"/>
    </row>
    <row r="900">
      <c r="G900" s="80"/>
      <c r="H900" s="80"/>
    </row>
    <row r="901">
      <c r="G901" s="80"/>
      <c r="H901" s="80"/>
    </row>
    <row r="902">
      <c r="G902" s="80"/>
      <c r="H902" s="80"/>
    </row>
    <row r="903">
      <c r="G903" s="80"/>
      <c r="H903" s="80"/>
    </row>
    <row r="904">
      <c r="G904" s="80"/>
      <c r="H904" s="80"/>
    </row>
    <row r="905">
      <c r="G905" s="80"/>
      <c r="H905" s="80"/>
    </row>
    <row r="906">
      <c r="G906" s="80"/>
      <c r="H906" s="80"/>
    </row>
    <row r="907">
      <c r="G907" s="80"/>
      <c r="H907" s="80"/>
    </row>
    <row r="908">
      <c r="G908" s="80"/>
      <c r="H908" s="80"/>
    </row>
    <row r="909">
      <c r="G909" s="80"/>
      <c r="H909" s="80"/>
    </row>
    <row r="910">
      <c r="G910" s="80"/>
      <c r="H910" s="80"/>
    </row>
    <row r="911">
      <c r="G911" s="80"/>
      <c r="H911" s="80"/>
    </row>
    <row r="912">
      <c r="G912" s="80"/>
      <c r="H912" s="80"/>
    </row>
    <row r="913">
      <c r="G913" s="80"/>
      <c r="H913" s="80"/>
    </row>
    <row r="914">
      <c r="G914" s="80"/>
      <c r="H914" s="80"/>
    </row>
    <row r="915">
      <c r="G915" s="80"/>
      <c r="H915" s="80"/>
    </row>
    <row r="916">
      <c r="G916" s="80"/>
      <c r="H916" s="80"/>
    </row>
    <row r="917">
      <c r="G917" s="80"/>
      <c r="H917" s="80"/>
    </row>
    <row r="918">
      <c r="G918" s="80"/>
      <c r="H918" s="80"/>
    </row>
    <row r="919">
      <c r="G919" s="80"/>
      <c r="H919" s="80"/>
    </row>
    <row r="920">
      <c r="G920" s="80"/>
      <c r="H920" s="80"/>
    </row>
    <row r="921">
      <c r="G921" s="80"/>
      <c r="H921" s="80"/>
    </row>
    <row r="922">
      <c r="G922" s="80"/>
      <c r="H922" s="80"/>
    </row>
    <row r="923">
      <c r="G923" s="80"/>
      <c r="H923" s="80"/>
    </row>
    <row r="924">
      <c r="G924" s="80"/>
      <c r="H924" s="80"/>
    </row>
    <row r="925">
      <c r="G925" s="80"/>
      <c r="H925" s="80"/>
    </row>
    <row r="926">
      <c r="G926" s="80"/>
      <c r="H926" s="80"/>
    </row>
    <row r="927">
      <c r="G927" s="80"/>
      <c r="H927" s="80"/>
    </row>
    <row r="928">
      <c r="G928" s="80"/>
      <c r="H928" s="80"/>
    </row>
    <row r="929">
      <c r="G929" s="80"/>
      <c r="H929" s="80"/>
    </row>
    <row r="930">
      <c r="G930" s="80"/>
      <c r="H930" s="80"/>
    </row>
    <row r="931">
      <c r="G931" s="80"/>
      <c r="H931" s="80"/>
    </row>
    <row r="932">
      <c r="G932" s="80"/>
      <c r="H932" s="80"/>
    </row>
    <row r="933">
      <c r="G933" s="80"/>
      <c r="H933" s="80"/>
    </row>
    <row r="934">
      <c r="G934" s="80"/>
      <c r="H934" s="80"/>
    </row>
    <row r="935">
      <c r="G935" s="80"/>
      <c r="H935" s="80"/>
    </row>
    <row r="936">
      <c r="G936" s="80"/>
      <c r="H936" s="80"/>
    </row>
    <row r="937">
      <c r="G937" s="80"/>
      <c r="H937" s="80"/>
    </row>
    <row r="938">
      <c r="G938" s="80"/>
      <c r="H938" s="80"/>
    </row>
    <row r="939">
      <c r="G939" s="80"/>
      <c r="H939" s="80"/>
    </row>
    <row r="940">
      <c r="G940" s="80"/>
      <c r="H940" s="80"/>
    </row>
    <row r="941">
      <c r="G941" s="80"/>
      <c r="H941" s="80"/>
    </row>
    <row r="942">
      <c r="G942" s="80"/>
      <c r="H942" s="80"/>
    </row>
    <row r="943">
      <c r="G943" s="80"/>
      <c r="H943" s="80"/>
    </row>
    <row r="944">
      <c r="G944" s="80"/>
      <c r="H944" s="80"/>
    </row>
    <row r="945">
      <c r="G945" s="80"/>
      <c r="H945" s="80"/>
    </row>
    <row r="946">
      <c r="G946" s="80"/>
      <c r="H946" s="80"/>
    </row>
    <row r="947">
      <c r="G947" s="80"/>
      <c r="H947" s="80"/>
    </row>
    <row r="948">
      <c r="G948" s="80"/>
      <c r="H948" s="80"/>
    </row>
    <row r="949">
      <c r="G949" s="80"/>
      <c r="H949" s="80"/>
    </row>
    <row r="950">
      <c r="G950" s="80"/>
      <c r="H950" s="80"/>
    </row>
    <row r="951">
      <c r="G951" s="80"/>
      <c r="H951" s="80"/>
    </row>
    <row r="952">
      <c r="G952" s="80"/>
      <c r="H952" s="80"/>
    </row>
    <row r="953">
      <c r="G953" s="80"/>
      <c r="H953" s="80"/>
    </row>
    <row r="954">
      <c r="G954" s="80"/>
      <c r="H954" s="80"/>
    </row>
    <row r="955">
      <c r="G955" s="80"/>
      <c r="H955" s="80"/>
    </row>
    <row r="956">
      <c r="G956" s="80"/>
      <c r="H956" s="80"/>
    </row>
    <row r="957">
      <c r="G957" s="80"/>
      <c r="H957" s="80"/>
    </row>
    <row r="958">
      <c r="G958" s="80"/>
      <c r="H958" s="80"/>
    </row>
    <row r="959">
      <c r="G959" s="80"/>
      <c r="H959" s="80"/>
    </row>
    <row r="960">
      <c r="G960" s="80"/>
      <c r="H960" s="80"/>
    </row>
    <row r="961">
      <c r="G961" s="80"/>
      <c r="H961" s="80"/>
    </row>
    <row r="962">
      <c r="G962" s="80"/>
      <c r="H962" s="80"/>
    </row>
    <row r="963">
      <c r="G963" s="80"/>
      <c r="H963" s="80"/>
    </row>
    <row r="964">
      <c r="G964" s="80"/>
      <c r="H964" s="80"/>
    </row>
    <row r="965">
      <c r="G965" s="80"/>
      <c r="H965" s="80"/>
    </row>
    <row r="966">
      <c r="G966" s="80"/>
      <c r="H966" s="80"/>
    </row>
    <row r="967">
      <c r="G967" s="80"/>
      <c r="H967" s="80"/>
    </row>
    <row r="968">
      <c r="G968" s="80"/>
      <c r="H968" s="8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7.63"/>
    <col customWidth="1" min="3" max="3" width="6.88"/>
    <col customWidth="1" min="4" max="4" width="8.38"/>
    <col customWidth="1" min="5" max="6" width="16.38"/>
    <col customWidth="1" min="7" max="7" width="10.25"/>
    <col customWidth="1" min="9" max="9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76" t="s">
        <v>539</v>
      </c>
      <c r="H1" s="1" t="s">
        <v>604</v>
      </c>
      <c r="J1" s="1" t="s">
        <v>8</v>
      </c>
    </row>
    <row r="2">
      <c r="A2" s="10">
        <v>75.0</v>
      </c>
      <c r="B2" s="10">
        <v>300.0</v>
      </c>
      <c r="C2" s="10">
        <f t="shared" ref="C2:C9" si="1">B2/A2</f>
        <v>4</v>
      </c>
      <c r="D2" s="10">
        <v>183.0</v>
      </c>
      <c r="E2" s="10" t="s">
        <v>73</v>
      </c>
      <c r="F2" s="10" t="s">
        <v>351</v>
      </c>
      <c r="G2" s="11">
        <v>0.009872685185185186</v>
      </c>
      <c r="H2" s="11">
        <v>0.0032291666666666666</v>
      </c>
      <c r="I2" s="28" t="s">
        <v>679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9</v>
      </c>
      <c r="F3" s="10" t="s">
        <v>634</v>
      </c>
      <c r="G3" s="11">
        <v>0.009872685185185186</v>
      </c>
      <c r="H3" s="11">
        <v>0.0032407407407407406</v>
      </c>
      <c r="I3" s="28" t="s">
        <v>679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9</v>
      </c>
      <c r="F4" s="10" t="s">
        <v>79</v>
      </c>
      <c r="G4" s="11">
        <v>0.009895833333333333</v>
      </c>
      <c r="H4" s="11">
        <v>0.0032407407407407406</v>
      </c>
      <c r="I4" s="28" t="s">
        <v>680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9</v>
      </c>
      <c r="F5" s="10" t="s">
        <v>133</v>
      </c>
      <c r="G5" s="11">
        <v>0.009988425925925927</v>
      </c>
      <c r="H5" s="11">
        <v>0.0032523148148148147</v>
      </c>
      <c r="I5" s="28" t="s">
        <v>681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9</v>
      </c>
      <c r="F6" s="10" t="s">
        <v>129</v>
      </c>
      <c r="G6" s="11">
        <v>0.009942129629629629</v>
      </c>
      <c r="H6" s="11">
        <v>0.0032407407407407406</v>
      </c>
      <c r="I6" s="28" t="s">
        <v>680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61</v>
      </c>
      <c r="F7" s="10" t="s">
        <v>634</v>
      </c>
      <c r="G7" s="11">
        <v>0.009872685185185186</v>
      </c>
      <c r="H7" s="11">
        <v>0.0032407407407407406</v>
      </c>
      <c r="I7" s="62"/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 t="s">
        <v>58</v>
      </c>
      <c r="F8" s="10" t="s">
        <v>634</v>
      </c>
      <c r="G8" s="11">
        <v>0.00986111111111111</v>
      </c>
      <c r="H8" s="11">
        <v>0.0032407407407407406</v>
      </c>
      <c r="I8" s="62"/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 t="s">
        <v>63</v>
      </c>
      <c r="F9" s="10" t="s">
        <v>634</v>
      </c>
      <c r="G9" s="11">
        <v>0.009872685185185186</v>
      </c>
      <c r="H9" s="11">
        <v>0.0032407407407407406</v>
      </c>
      <c r="I9" s="62"/>
    </row>
    <row r="10">
      <c r="G10" s="11"/>
      <c r="H10" s="11"/>
    </row>
    <row r="11">
      <c r="G11" s="11"/>
      <c r="H11" s="11"/>
    </row>
    <row r="12">
      <c r="G12" s="11"/>
      <c r="H12" s="11"/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1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80"/>
      <c r="H26" s="80"/>
    </row>
    <row r="27">
      <c r="G27" s="80"/>
      <c r="H27" s="80"/>
    </row>
    <row r="28">
      <c r="G28" s="80"/>
      <c r="H28" s="80"/>
    </row>
    <row r="29">
      <c r="G29" s="80"/>
      <c r="H29" s="80"/>
    </row>
    <row r="30">
      <c r="G30" s="80"/>
      <c r="H30" s="80"/>
    </row>
    <row r="31">
      <c r="G31" s="80"/>
      <c r="H31" s="80"/>
    </row>
    <row r="32">
      <c r="G32" s="80"/>
      <c r="H32" s="80"/>
    </row>
    <row r="33">
      <c r="G33" s="80"/>
      <c r="H33" s="80"/>
    </row>
    <row r="34">
      <c r="G34" s="80"/>
      <c r="H34" s="80"/>
    </row>
    <row r="35">
      <c r="G35" s="80"/>
      <c r="H35" s="80"/>
    </row>
    <row r="36">
      <c r="G36" s="80"/>
      <c r="H36" s="80"/>
    </row>
    <row r="37">
      <c r="G37" s="80"/>
      <c r="H37" s="80"/>
    </row>
    <row r="38">
      <c r="G38" s="80"/>
      <c r="H38" s="80"/>
    </row>
    <row r="39">
      <c r="G39" s="80"/>
      <c r="H39" s="80"/>
    </row>
    <row r="40">
      <c r="G40" s="80"/>
      <c r="H40" s="80"/>
    </row>
    <row r="41">
      <c r="G41" s="80"/>
      <c r="H41" s="80"/>
    </row>
    <row r="42">
      <c r="G42" s="80"/>
      <c r="H42" s="80"/>
    </row>
    <row r="43">
      <c r="G43" s="80"/>
      <c r="H43" s="80"/>
    </row>
    <row r="44">
      <c r="G44" s="80"/>
      <c r="H44" s="80"/>
    </row>
    <row r="45">
      <c r="G45" s="80"/>
      <c r="H45" s="80"/>
    </row>
    <row r="46">
      <c r="G46" s="80"/>
      <c r="H46" s="80"/>
    </row>
    <row r="47">
      <c r="G47" s="80"/>
      <c r="H47" s="80"/>
    </row>
    <row r="48">
      <c r="G48" s="80"/>
      <c r="H48" s="80"/>
    </row>
    <row r="49">
      <c r="G49" s="80"/>
      <c r="H49" s="80"/>
    </row>
    <row r="50">
      <c r="G50" s="80"/>
      <c r="H50" s="80"/>
    </row>
    <row r="51">
      <c r="G51" s="80"/>
      <c r="H51" s="80"/>
    </row>
    <row r="52">
      <c r="G52" s="80"/>
      <c r="H52" s="80"/>
    </row>
    <row r="53">
      <c r="G53" s="80"/>
      <c r="H53" s="80"/>
    </row>
    <row r="54">
      <c r="G54" s="80"/>
      <c r="H54" s="80"/>
    </row>
    <row r="55">
      <c r="G55" s="80"/>
      <c r="H55" s="80"/>
    </row>
    <row r="56">
      <c r="G56" s="80"/>
      <c r="H56" s="80"/>
    </row>
    <row r="57">
      <c r="G57" s="80"/>
      <c r="H57" s="80"/>
    </row>
    <row r="58">
      <c r="G58" s="80"/>
      <c r="H58" s="80"/>
    </row>
    <row r="59">
      <c r="G59" s="80"/>
      <c r="H59" s="80"/>
    </row>
    <row r="60">
      <c r="G60" s="80"/>
      <c r="H60" s="80"/>
    </row>
    <row r="61">
      <c r="G61" s="80"/>
      <c r="H61" s="80"/>
    </row>
    <row r="62">
      <c r="G62" s="80"/>
      <c r="H62" s="80"/>
    </row>
    <row r="63">
      <c r="G63" s="80"/>
      <c r="H63" s="80"/>
    </row>
    <row r="64">
      <c r="G64" s="80"/>
      <c r="H64" s="80"/>
    </row>
    <row r="65">
      <c r="G65" s="80"/>
      <c r="H65" s="80"/>
    </row>
    <row r="66">
      <c r="G66" s="80"/>
      <c r="H66" s="80"/>
    </row>
    <row r="67">
      <c r="G67" s="80"/>
      <c r="H67" s="80"/>
    </row>
    <row r="68">
      <c r="G68" s="80"/>
      <c r="H68" s="80"/>
    </row>
    <row r="69">
      <c r="G69" s="80"/>
      <c r="H69" s="80"/>
    </row>
    <row r="70">
      <c r="G70" s="80"/>
      <c r="H70" s="80"/>
    </row>
    <row r="71">
      <c r="G71" s="80"/>
      <c r="H71" s="80"/>
    </row>
    <row r="72">
      <c r="G72" s="80"/>
      <c r="H72" s="80"/>
    </row>
    <row r="73">
      <c r="G73" s="80"/>
      <c r="H73" s="80"/>
    </row>
    <row r="74">
      <c r="G74" s="80"/>
      <c r="H74" s="80"/>
    </row>
    <row r="75">
      <c r="G75" s="80"/>
      <c r="H75" s="80"/>
    </row>
    <row r="76">
      <c r="G76" s="80"/>
      <c r="H76" s="80"/>
    </row>
    <row r="77">
      <c r="G77" s="80"/>
      <c r="H77" s="80"/>
    </row>
    <row r="78">
      <c r="G78" s="80"/>
      <c r="H78" s="80"/>
    </row>
    <row r="79">
      <c r="G79" s="80"/>
      <c r="H79" s="80"/>
    </row>
    <row r="80">
      <c r="G80" s="80"/>
      <c r="H80" s="80"/>
    </row>
    <row r="81">
      <c r="G81" s="80"/>
      <c r="H81" s="80"/>
    </row>
    <row r="82">
      <c r="G82" s="80"/>
      <c r="H82" s="80"/>
    </row>
    <row r="83">
      <c r="G83" s="80"/>
      <c r="H83" s="80"/>
    </row>
    <row r="84">
      <c r="G84" s="80"/>
      <c r="H84" s="80"/>
    </row>
    <row r="85">
      <c r="G85" s="80"/>
      <c r="H85" s="80"/>
    </row>
    <row r="86">
      <c r="G86" s="80"/>
      <c r="H86" s="80"/>
    </row>
    <row r="87">
      <c r="G87" s="80"/>
      <c r="H87" s="80"/>
    </row>
    <row r="88">
      <c r="G88" s="80"/>
      <c r="H88" s="80"/>
    </row>
    <row r="89">
      <c r="G89" s="80"/>
      <c r="H89" s="80"/>
    </row>
    <row r="90">
      <c r="G90" s="80"/>
      <c r="H90" s="80"/>
    </row>
    <row r="91">
      <c r="G91" s="80"/>
      <c r="H91" s="80"/>
    </row>
    <row r="92">
      <c r="G92" s="80"/>
      <c r="H92" s="80"/>
    </row>
    <row r="93">
      <c r="G93" s="80"/>
      <c r="H93" s="80"/>
    </row>
    <row r="94">
      <c r="G94" s="80"/>
      <c r="H94" s="80"/>
    </row>
    <row r="95">
      <c r="G95" s="80"/>
      <c r="H95" s="80"/>
    </row>
    <row r="96">
      <c r="G96" s="80"/>
      <c r="H96" s="80"/>
    </row>
    <row r="97">
      <c r="G97" s="80"/>
      <c r="H97" s="80"/>
    </row>
    <row r="98">
      <c r="G98" s="80"/>
      <c r="H98" s="80"/>
    </row>
    <row r="99">
      <c r="G99" s="80"/>
      <c r="H99" s="80"/>
    </row>
    <row r="100">
      <c r="G100" s="80"/>
      <c r="H100" s="80"/>
    </row>
    <row r="101">
      <c r="G101" s="80"/>
      <c r="H101" s="80"/>
    </row>
    <row r="102">
      <c r="G102" s="80"/>
      <c r="H102" s="80"/>
    </row>
    <row r="103">
      <c r="G103" s="80"/>
      <c r="H103" s="80"/>
    </row>
    <row r="104">
      <c r="G104" s="80"/>
      <c r="H104" s="80"/>
    </row>
    <row r="105">
      <c r="G105" s="80"/>
      <c r="H105" s="80"/>
    </row>
    <row r="106">
      <c r="G106" s="80"/>
      <c r="H106" s="80"/>
    </row>
    <row r="107">
      <c r="G107" s="80"/>
      <c r="H107" s="80"/>
    </row>
    <row r="108">
      <c r="G108" s="80"/>
      <c r="H108" s="80"/>
    </row>
    <row r="109">
      <c r="G109" s="80"/>
      <c r="H109" s="80"/>
    </row>
    <row r="110">
      <c r="G110" s="80"/>
      <c r="H110" s="80"/>
    </row>
    <row r="111">
      <c r="G111" s="80"/>
      <c r="H111" s="80"/>
    </row>
    <row r="112">
      <c r="G112" s="80"/>
      <c r="H112" s="80"/>
    </row>
    <row r="113">
      <c r="G113" s="80"/>
      <c r="H113" s="80"/>
    </row>
    <row r="114">
      <c r="G114" s="80"/>
      <c r="H114" s="80"/>
    </row>
    <row r="115">
      <c r="G115" s="80"/>
      <c r="H115" s="80"/>
    </row>
    <row r="116">
      <c r="G116" s="80"/>
      <c r="H116" s="80"/>
    </row>
    <row r="117">
      <c r="G117" s="80"/>
      <c r="H117" s="80"/>
    </row>
    <row r="118">
      <c r="G118" s="80"/>
      <c r="H118" s="80"/>
    </row>
    <row r="119">
      <c r="G119" s="80"/>
      <c r="H119" s="80"/>
    </row>
    <row r="120">
      <c r="G120" s="80"/>
      <c r="H120" s="80"/>
    </row>
    <row r="121">
      <c r="G121" s="80"/>
      <c r="H121" s="80"/>
    </row>
    <row r="122">
      <c r="G122" s="80"/>
      <c r="H122" s="80"/>
    </row>
    <row r="123">
      <c r="G123" s="80"/>
      <c r="H123" s="80"/>
    </row>
    <row r="124">
      <c r="G124" s="80"/>
      <c r="H124" s="80"/>
    </row>
    <row r="125">
      <c r="G125" s="80"/>
      <c r="H125" s="80"/>
    </row>
    <row r="126">
      <c r="G126" s="80"/>
      <c r="H126" s="80"/>
    </row>
    <row r="127">
      <c r="G127" s="80"/>
      <c r="H127" s="80"/>
    </row>
    <row r="128">
      <c r="G128" s="80"/>
      <c r="H128" s="80"/>
    </row>
    <row r="129">
      <c r="G129" s="80"/>
      <c r="H129" s="80"/>
    </row>
    <row r="130">
      <c r="G130" s="80"/>
      <c r="H130" s="80"/>
    </row>
    <row r="131">
      <c r="G131" s="80"/>
      <c r="H131" s="80"/>
    </row>
    <row r="132">
      <c r="G132" s="80"/>
      <c r="H132" s="80"/>
    </row>
    <row r="133">
      <c r="G133" s="80"/>
      <c r="H133" s="80"/>
    </row>
    <row r="134">
      <c r="G134" s="80"/>
      <c r="H134" s="80"/>
    </row>
    <row r="135">
      <c r="G135" s="80"/>
      <c r="H135" s="80"/>
    </row>
    <row r="136">
      <c r="G136" s="80"/>
      <c r="H136" s="80"/>
    </row>
    <row r="137">
      <c r="G137" s="80"/>
      <c r="H137" s="80"/>
    </row>
    <row r="138">
      <c r="G138" s="80"/>
      <c r="H138" s="80"/>
    </row>
    <row r="139">
      <c r="G139" s="80"/>
      <c r="H139" s="80"/>
    </row>
    <row r="140">
      <c r="G140" s="80"/>
      <c r="H140" s="80"/>
    </row>
    <row r="141">
      <c r="G141" s="80"/>
      <c r="H141" s="80"/>
    </row>
    <row r="142">
      <c r="G142" s="80"/>
      <c r="H142" s="80"/>
    </row>
    <row r="143">
      <c r="G143" s="80"/>
      <c r="H143" s="80"/>
    </row>
    <row r="144">
      <c r="G144" s="80"/>
      <c r="H144" s="80"/>
    </row>
    <row r="145">
      <c r="G145" s="80"/>
      <c r="H145" s="80"/>
    </row>
    <row r="146">
      <c r="G146" s="80"/>
      <c r="H146" s="80"/>
    </row>
    <row r="147">
      <c r="G147" s="80"/>
      <c r="H147" s="80"/>
    </row>
    <row r="148">
      <c r="G148" s="80"/>
      <c r="H148" s="80"/>
    </row>
    <row r="149">
      <c r="G149" s="80"/>
      <c r="H149" s="80"/>
    </row>
    <row r="150">
      <c r="G150" s="80"/>
      <c r="H150" s="80"/>
    </row>
    <row r="151">
      <c r="G151" s="80"/>
      <c r="H151" s="80"/>
    </row>
    <row r="152">
      <c r="G152" s="80"/>
      <c r="H152" s="80"/>
    </row>
    <row r="153">
      <c r="G153" s="80"/>
      <c r="H153" s="80"/>
    </row>
    <row r="154">
      <c r="G154" s="80"/>
      <c r="H154" s="80"/>
    </row>
    <row r="155">
      <c r="G155" s="80"/>
      <c r="H155" s="80"/>
    </row>
    <row r="156">
      <c r="G156" s="80"/>
      <c r="H156" s="80"/>
    </row>
    <row r="157">
      <c r="G157" s="80"/>
      <c r="H157" s="80"/>
    </row>
    <row r="158">
      <c r="G158" s="80"/>
      <c r="H158" s="80"/>
    </row>
    <row r="159">
      <c r="G159" s="80"/>
      <c r="H159" s="80"/>
    </row>
    <row r="160">
      <c r="G160" s="80"/>
      <c r="H160" s="80"/>
    </row>
    <row r="161">
      <c r="G161" s="80"/>
      <c r="H161" s="80"/>
    </row>
    <row r="162">
      <c r="G162" s="80"/>
      <c r="H162" s="80"/>
    </row>
    <row r="163">
      <c r="G163" s="80"/>
      <c r="H163" s="80"/>
    </row>
    <row r="164">
      <c r="G164" s="80"/>
      <c r="H164" s="80"/>
    </row>
    <row r="165">
      <c r="G165" s="80"/>
      <c r="H165" s="80"/>
    </row>
    <row r="166">
      <c r="G166" s="80"/>
      <c r="H166" s="80"/>
    </row>
    <row r="167">
      <c r="G167" s="80"/>
      <c r="H167" s="80"/>
    </row>
    <row r="168">
      <c r="G168" s="80"/>
      <c r="H168" s="80"/>
    </row>
    <row r="169">
      <c r="G169" s="80"/>
      <c r="H169" s="80"/>
    </row>
    <row r="170">
      <c r="G170" s="80"/>
      <c r="H170" s="80"/>
    </row>
    <row r="171">
      <c r="G171" s="80"/>
      <c r="H171" s="80"/>
    </row>
    <row r="172">
      <c r="G172" s="80"/>
      <c r="H172" s="80"/>
    </row>
    <row r="173">
      <c r="G173" s="80"/>
      <c r="H173" s="80"/>
    </row>
    <row r="174">
      <c r="G174" s="80"/>
      <c r="H174" s="80"/>
    </row>
    <row r="175">
      <c r="G175" s="80"/>
      <c r="H175" s="80"/>
    </row>
    <row r="176">
      <c r="G176" s="80"/>
      <c r="H176" s="80"/>
    </row>
    <row r="177">
      <c r="G177" s="80"/>
      <c r="H177" s="80"/>
    </row>
    <row r="178">
      <c r="G178" s="80"/>
      <c r="H178" s="80"/>
    </row>
    <row r="179">
      <c r="G179" s="80"/>
      <c r="H179" s="80"/>
    </row>
    <row r="180">
      <c r="G180" s="80"/>
      <c r="H180" s="80"/>
    </row>
    <row r="181">
      <c r="G181" s="80"/>
      <c r="H181" s="80"/>
    </row>
    <row r="182">
      <c r="G182" s="80"/>
      <c r="H182" s="80"/>
    </row>
    <row r="183">
      <c r="G183" s="80"/>
      <c r="H183" s="80"/>
    </row>
    <row r="184">
      <c r="G184" s="80"/>
      <c r="H184" s="80"/>
    </row>
    <row r="185">
      <c r="G185" s="80"/>
      <c r="H185" s="80"/>
    </row>
    <row r="186">
      <c r="G186" s="80"/>
      <c r="H186" s="80"/>
    </row>
    <row r="187">
      <c r="G187" s="80"/>
      <c r="H187" s="80"/>
    </row>
    <row r="188">
      <c r="G188" s="80"/>
      <c r="H188" s="80"/>
    </row>
    <row r="189">
      <c r="G189" s="80"/>
      <c r="H189" s="80"/>
    </row>
    <row r="190">
      <c r="G190" s="80"/>
      <c r="H190" s="80"/>
    </row>
    <row r="191">
      <c r="G191" s="80"/>
      <c r="H191" s="80"/>
    </row>
    <row r="192">
      <c r="G192" s="80"/>
      <c r="H192" s="80"/>
    </row>
    <row r="193">
      <c r="G193" s="80"/>
      <c r="H193" s="80"/>
    </row>
    <row r="194">
      <c r="G194" s="80"/>
      <c r="H194" s="80"/>
    </row>
    <row r="195">
      <c r="G195" s="80"/>
      <c r="H195" s="80"/>
    </row>
    <row r="196">
      <c r="G196" s="80"/>
      <c r="H196" s="80"/>
    </row>
    <row r="197">
      <c r="G197" s="80"/>
      <c r="H197" s="80"/>
    </row>
    <row r="198">
      <c r="G198" s="80"/>
      <c r="H198" s="80"/>
    </row>
    <row r="199">
      <c r="G199" s="80"/>
      <c r="H199" s="80"/>
    </row>
    <row r="200">
      <c r="G200" s="80"/>
      <c r="H200" s="80"/>
    </row>
    <row r="201">
      <c r="G201" s="80"/>
      <c r="H201" s="80"/>
    </row>
    <row r="202">
      <c r="G202" s="80"/>
      <c r="H202" s="80"/>
    </row>
    <row r="203">
      <c r="G203" s="80"/>
      <c r="H203" s="80"/>
    </row>
    <row r="204">
      <c r="G204" s="80"/>
      <c r="H204" s="80"/>
    </row>
    <row r="205">
      <c r="G205" s="80"/>
      <c r="H205" s="80"/>
    </row>
    <row r="206">
      <c r="G206" s="80"/>
      <c r="H206" s="80"/>
    </row>
    <row r="207">
      <c r="G207" s="80"/>
      <c r="H207" s="80"/>
    </row>
    <row r="208">
      <c r="G208" s="80"/>
      <c r="H208" s="80"/>
    </row>
    <row r="209">
      <c r="G209" s="80"/>
      <c r="H209" s="80"/>
    </row>
    <row r="210">
      <c r="G210" s="80"/>
      <c r="H210" s="80"/>
    </row>
    <row r="211">
      <c r="G211" s="80"/>
      <c r="H211" s="80"/>
    </row>
    <row r="212">
      <c r="G212" s="80"/>
      <c r="H212" s="80"/>
    </row>
    <row r="213">
      <c r="G213" s="80"/>
      <c r="H213" s="80"/>
    </row>
    <row r="214">
      <c r="G214" s="80"/>
      <c r="H214" s="80"/>
    </row>
    <row r="215">
      <c r="G215" s="80"/>
      <c r="H215" s="80"/>
    </row>
    <row r="216">
      <c r="G216" s="80"/>
      <c r="H216" s="80"/>
    </row>
    <row r="217">
      <c r="G217" s="80"/>
      <c r="H217" s="80"/>
    </row>
    <row r="218">
      <c r="G218" s="80"/>
      <c r="H218" s="80"/>
    </row>
    <row r="219">
      <c r="G219" s="80"/>
      <c r="H219" s="80"/>
    </row>
    <row r="220">
      <c r="G220" s="80"/>
      <c r="H220" s="80"/>
    </row>
    <row r="221">
      <c r="G221" s="80"/>
      <c r="H221" s="80"/>
    </row>
    <row r="222">
      <c r="G222" s="80"/>
      <c r="H222" s="80"/>
    </row>
    <row r="223">
      <c r="G223" s="80"/>
      <c r="H223" s="80"/>
    </row>
    <row r="224">
      <c r="G224" s="80"/>
      <c r="H224" s="80"/>
    </row>
    <row r="225">
      <c r="G225" s="80"/>
      <c r="H225" s="80"/>
    </row>
    <row r="226">
      <c r="G226" s="80"/>
      <c r="H226" s="80"/>
    </row>
    <row r="227">
      <c r="G227" s="80"/>
      <c r="H227" s="80"/>
    </row>
    <row r="228">
      <c r="G228" s="80"/>
      <c r="H228" s="80"/>
    </row>
    <row r="229">
      <c r="G229" s="80"/>
      <c r="H229" s="80"/>
    </row>
    <row r="230">
      <c r="G230" s="80"/>
      <c r="H230" s="80"/>
    </row>
    <row r="231">
      <c r="G231" s="80"/>
      <c r="H231" s="80"/>
    </row>
    <row r="232">
      <c r="G232" s="80"/>
      <c r="H232" s="80"/>
    </row>
    <row r="233">
      <c r="G233" s="80"/>
      <c r="H233" s="80"/>
    </row>
    <row r="234">
      <c r="G234" s="80"/>
      <c r="H234" s="80"/>
    </row>
    <row r="235">
      <c r="G235" s="80"/>
      <c r="H235" s="80"/>
    </row>
    <row r="236">
      <c r="G236" s="80"/>
      <c r="H236" s="80"/>
    </row>
    <row r="237">
      <c r="G237" s="80"/>
      <c r="H237" s="80"/>
    </row>
    <row r="238">
      <c r="G238" s="80"/>
      <c r="H238" s="80"/>
    </row>
    <row r="239">
      <c r="G239" s="80"/>
      <c r="H239" s="80"/>
    </row>
    <row r="240">
      <c r="G240" s="80"/>
      <c r="H240" s="80"/>
    </row>
    <row r="241">
      <c r="G241" s="80"/>
      <c r="H241" s="80"/>
    </row>
    <row r="242">
      <c r="G242" s="80"/>
      <c r="H242" s="80"/>
    </row>
    <row r="243">
      <c r="G243" s="80"/>
      <c r="H243" s="80"/>
    </row>
    <row r="244">
      <c r="G244" s="80"/>
      <c r="H244" s="80"/>
    </row>
    <row r="245">
      <c r="G245" s="80"/>
      <c r="H245" s="80"/>
    </row>
    <row r="246">
      <c r="G246" s="80"/>
      <c r="H246" s="80"/>
    </row>
    <row r="247">
      <c r="G247" s="80"/>
      <c r="H247" s="80"/>
    </row>
    <row r="248">
      <c r="G248" s="80"/>
      <c r="H248" s="80"/>
    </row>
    <row r="249">
      <c r="G249" s="80"/>
      <c r="H249" s="80"/>
    </row>
    <row r="250">
      <c r="G250" s="80"/>
      <c r="H250" s="80"/>
    </row>
    <row r="251">
      <c r="G251" s="80"/>
      <c r="H251" s="80"/>
    </row>
    <row r="252">
      <c r="G252" s="80"/>
      <c r="H252" s="80"/>
    </row>
    <row r="253">
      <c r="G253" s="80"/>
      <c r="H253" s="80"/>
    </row>
    <row r="254">
      <c r="G254" s="80"/>
      <c r="H254" s="80"/>
    </row>
    <row r="255">
      <c r="G255" s="80"/>
      <c r="H255" s="80"/>
    </row>
    <row r="256">
      <c r="G256" s="80"/>
      <c r="H256" s="80"/>
    </row>
    <row r="257">
      <c r="G257" s="80"/>
      <c r="H257" s="80"/>
    </row>
    <row r="258">
      <c r="G258" s="80"/>
      <c r="H258" s="80"/>
    </row>
    <row r="259">
      <c r="G259" s="80"/>
      <c r="H259" s="80"/>
    </row>
    <row r="260">
      <c r="G260" s="80"/>
      <c r="H260" s="80"/>
    </row>
    <row r="261">
      <c r="G261" s="80"/>
      <c r="H261" s="80"/>
    </row>
    <row r="262">
      <c r="G262" s="80"/>
      <c r="H262" s="80"/>
    </row>
    <row r="263">
      <c r="G263" s="80"/>
      <c r="H263" s="80"/>
    </row>
    <row r="264">
      <c r="G264" s="80"/>
      <c r="H264" s="80"/>
    </row>
    <row r="265">
      <c r="G265" s="80"/>
      <c r="H265" s="80"/>
    </row>
    <row r="266">
      <c r="G266" s="80"/>
      <c r="H266" s="80"/>
    </row>
    <row r="267">
      <c r="G267" s="80"/>
      <c r="H267" s="80"/>
    </row>
    <row r="268">
      <c r="G268" s="80"/>
      <c r="H268" s="80"/>
    </row>
    <row r="269">
      <c r="G269" s="80"/>
      <c r="H269" s="80"/>
    </row>
    <row r="270">
      <c r="G270" s="80"/>
      <c r="H270" s="80"/>
    </row>
    <row r="271">
      <c r="G271" s="80"/>
      <c r="H271" s="80"/>
    </row>
    <row r="272">
      <c r="G272" s="80"/>
      <c r="H272" s="80"/>
    </row>
    <row r="273">
      <c r="G273" s="80"/>
      <c r="H273" s="80"/>
    </row>
    <row r="274">
      <c r="G274" s="80"/>
      <c r="H274" s="80"/>
    </row>
    <row r="275">
      <c r="G275" s="80"/>
      <c r="H275" s="80"/>
    </row>
    <row r="276">
      <c r="G276" s="80"/>
      <c r="H276" s="80"/>
    </row>
    <row r="277">
      <c r="G277" s="80"/>
      <c r="H277" s="80"/>
    </row>
    <row r="278">
      <c r="G278" s="80"/>
      <c r="H278" s="80"/>
    </row>
    <row r="279">
      <c r="G279" s="80"/>
      <c r="H279" s="80"/>
    </row>
    <row r="280">
      <c r="G280" s="80"/>
      <c r="H280" s="80"/>
    </row>
    <row r="281">
      <c r="G281" s="80"/>
      <c r="H281" s="80"/>
    </row>
    <row r="282">
      <c r="G282" s="80"/>
      <c r="H282" s="80"/>
    </row>
    <row r="283">
      <c r="G283" s="80"/>
      <c r="H283" s="80"/>
    </row>
    <row r="284">
      <c r="G284" s="80"/>
      <c r="H284" s="80"/>
    </row>
    <row r="285">
      <c r="G285" s="80"/>
      <c r="H285" s="80"/>
    </row>
    <row r="286">
      <c r="G286" s="80"/>
      <c r="H286" s="80"/>
    </row>
    <row r="287">
      <c r="G287" s="80"/>
      <c r="H287" s="80"/>
    </row>
    <row r="288">
      <c r="G288" s="80"/>
      <c r="H288" s="80"/>
    </row>
    <row r="289">
      <c r="G289" s="80"/>
      <c r="H289" s="80"/>
    </row>
    <row r="290">
      <c r="G290" s="80"/>
      <c r="H290" s="80"/>
    </row>
    <row r="291">
      <c r="G291" s="80"/>
      <c r="H291" s="80"/>
    </row>
    <row r="292">
      <c r="G292" s="80"/>
      <c r="H292" s="80"/>
    </row>
    <row r="293">
      <c r="G293" s="80"/>
      <c r="H293" s="80"/>
    </row>
    <row r="294">
      <c r="G294" s="80"/>
      <c r="H294" s="80"/>
    </row>
    <row r="295">
      <c r="G295" s="80"/>
      <c r="H295" s="80"/>
    </row>
    <row r="296">
      <c r="G296" s="80"/>
      <c r="H296" s="80"/>
    </row>
    <row r="297">
      <c r="G297" s="80"/>
      <c r="H297" s="80"/>
    </row>
    <row r="298">
      <c r="G298" s="80"/>
      <c r="H298" s="80"/>
    </row>
    <row r="299">
      <c r="G299" s="80"/>
      <c r="H299" s="80"/>
    </row>
    <row r="300">
      <c r="G300" s="80"/>
      <c r="H300" s="80"/>
    </row>
    <row r="301">
      <c r="G301" s="80"/>
      <c r="H301" s="80"/>
    </row>
    <row r="302">
      <c r="G302" s="80"/>
      <c r="H302" s="80"/>
    </row>
    <row r="303">
      <c r="G303" s="80"/>
      <c r="H303" s="80"/>
    </row>
    <row r="304">
      <c r="G304" s="80"/>
      <c r="H304" s="80"/>
    </row>
    <row r="305">
      <c r="G305" s="80"/>
      <c r="H305" s="80"/>
    </row>
    <row r="306">
      <c r="G306" s="80"/>
      <c r="H306" s="80"/>
    </row>
    <row r="307">
      <c r="G307" s="80"/>
      <c r="H307" s="80"/>
    </row>
    <row r="308">
      <c r="G308" s="80"/>
      <c r="H308" s="80"/>
    </row>
    <row r="309">
      <c r="G309" s="80"/>
      <c r="H309" s="80"/>
    </row>
    <row r="310">
      <c r="G310" s="80"/>
      <c r="H310" s="80"/>
    </row>
    <row r="311">
      <c r="G311" s="80"/>
      <c r="H311" s="80"/>
    </row>
    <row r="312">
      <c r="G312" s="80"/>
      <c r="H312" s="80"/>
    </row>
    <row r="313">
      <c r="G313" s="80"/>
      <c r="H313" s="80"/>
    </row>
    <row r="314">
      <c r="G314" s="80"/>
      <c r="H314" s="80"/>
    </row>
    <row r="315">
      <c r="G315" s="80"/>
      <c r="H315" s="80"/>
    </row>
    <row r="316">
      <c r="G316" s="80"/>
      <c r="H316" s="80"/>
    </row>
    <row r="317">
      <c r="G317" s="80"/>
      <c r="H317" s="80"/>
    </row>
    <row r="318">
      <c r="G318" s="80"/>
      <c r="H318" s="80"/>
    </row>
    <row r="319">
      <c r="G319" s="80"/>
      <c r="H319" s="80"/>
    </row>
    <row r="320">
      <c r="G320" s="80"/>
      <c r="H320" s="80"/>
    </row>
    <row r="321">
      <c r="G321" s="80"/>
      <c r="H321" s="80"/>
    </row>
    <row r="322">
      <c r="G322" s="80"/>
      <c r="H322" s="80"/>
    </row>
    <row r="323">
      <c r="G323" s="80"/>
      <c r="H323" s="80"/>
    </row>
    <row r="324">
      <c r="G324" s="80"/>
      <c r="H324" s="80"/>
    </row>
    <row r="325">
      <c r="G325" s="80"/>
      <c r="H325" s="80"/>
    </row>
    <row r="326">
      <c r="G326" s="80"/>
      <c r="H326" s="80"/>
    </row>
    <row r="327">
      <c r="G327" s="80"/>
      <c r="H327" s="80"/>
    </row>
    <row r="328">
      <c r="G328" s="80"/>
      <c r="H328" s="80"/>
    </row>
    <row r="329">
      <c r="G329" s="80"/>
      <c r="H329" s="80"/>
    </row>
    <row r="330">
      <c r="G330" s="80"/>
      <c r="H330" s="80"/>
    </row>
    <row r="331">
      <c r="G331" s="80"/>
      <c r="H331" s="80"/>
    </row>
    <row r="332">
      <c r="G332" s="80"/>
      <c r="H332" s="80"/>
    </row>
    <row r="333">
      <c r="G333" s="80"/>
      <c r="H333" s="80"/>
    </row>
    <row r="334">
      <c r="G334" s="80"/>
      <c r="H334" s="80"/>
    </row>
    <row r="335">
      <c r="G335" s="80"/>
      <c r="H335" s="80"/>
    </row>
    <row r="336">
      <c r="G336" s="80"/>
      <c r="H336" s="80"/>
    </row>
    <row r="337">
      <c r="G337" s="80"/>
      <c r="H337" s="80"/>
    </row>
    <row r="338">
      <c r="G338" s="80"/>
      <c r="H338" s="80"/>
    </row>
    <row r="339">
      <c r="G339" s="80"/>
      <c r="H339" s="80"/>
    </row>
    <row r="340">
      <c r="G340" s="80"/>
      <c r="H340" s="80"/>
    </row>
    <row r="341">
      <c r="G341" s="80"/>
      <c r="H341" s="80"/>
    </row>
    <row r="342">
      <c r="G342" s="80"/>
      <c r="H342" s="80"/>
    </row>
    <row r="343">
      <c r="G343" s="80"/>
      <c r="H343" s="80"/>
    </row>
    <row r="344">
      <c r="G344" s="80"/>
      <c r="H344" s="80"/>
    </row>
    <row r="345">
      <c r="G345" s="80"/>
      <c r="H345" s="80"/>
    </row>
    <row r="346">
      <c r="G346" s="80"/>
      <c r="H346" s="80"/>
    </row>
    <row r="347">
      <c r="G347" s="80"/>
      <c r="H347" s="80"/>
    </row>
    <row r="348">
      <c r="G348" s="80"/>
      <c r="H348" s="80"/>
    </row>
    <row r="349">
      <c r="G349" s="80"/>
      <c r="H349" s="80"/>
    </row>
    <row r="350">
      <c r="G350" s="80"/>
      <c r="H350" s="80"/>
    </row>
    <row r="351">
      <c r="G351" s="80"/>
      <c r="H351" s="80"/>
    </row>
    <row r="352">
      <c r="G352" s="80"/>
      <c r="H352" s="80"/>
    </row>
    <row r="353">
      <c r="G353" s="80"/>
      <c r="H353" s="80"/>
    </row>
    <row r="354">
      <c r="G354" s="80"/>
      <c r="H354" s="80"/>
    </row>
    <row r="355">
      <c r="G355" s="80"/>
      <c r="H355" s="80"/>
    </row>
    <row r="356">
      <c r="G356" s="80"/>
      <c r="H356" s="80"/>
    </row>
    <row r="357">
      <c r="G357" s="80"/>
      <c r="H357" s="80"/>
    </row>
    <row r="358">
      <c r="G358" s="80"/>
      <c r="H358" s="80"/>
    </row>
    <row r="359">
      <c r="G359" s="80"/>
      <c r="H359" s="80"/>
    </row>
    <row r="360">
      <c r="G360" s="80"/>
      <c r="H360" s="80"/>
    </row>
    <row r="361">
      <c r="G361" s="80"/>
      <c r="H361" s="80"/>
    </row>
    <row r="362">
      <c r="G362" s="80"/>
      <c r="H362" s="80"/>
    </row>
    <row r="363">
      <c r="G363" s="80"/>
      <c r="H363" s="80"/>
    </row>
    <row r="364">
      <c r="G364" s="80"/>
      <c r="H364" s="80"/>
    </row>
    <row r="365">
      <c r="G365" s="80"/>
      <c r="H365" s="80"/>
    </row>
    <row r="366">
      <c r="G366" s="80"/>
      <c r="H366" s="80"/>
    </row>
    <row r="367">
      <c r="G367" s="80"/>
      <c r="H367" s="80"/>
    </row>
    <row r="368">
      <c r="G368" s="80"/>
      <c r="H368" s="80"/>
    </row>
    <row r="369">
      <c r="G369" s="80"/>
      <c r="H369" s="80"/>
    </row>
    <row r="370">
      <c r="G370" s="80"/>
      <c r="H370" s="80"/>
    </row>
    <row r="371">
      <c r="G371" s="80"/>
      <c r="H371" s="80"/>
    </row>
    <row r="372">
      <c r="G372" s="80"/>
      <c r="H372" s="80"/>
    </row>
    <row r="373">
      <c r="G373" s="80"/>
      <c r="H373" s="80"/>
    </row>
    <row r="374">
      <c r="G374" s="80"/>
      <c r="H374" s="80"/>
    </row>
    <row r="375">
      <c r="G375" s="80"/>
      <c r="H375" s="80"/>
    </row>
    <row r="376">
      <c r="G376" s="80"/>
      <c r="H376" s="80"/>
    </row>
    <row r="377">
      <c r="G377" s="80"/>
      <c r="H377" s="80"/>
    </row>
    <row r="378">
      <c r="G378" s="80"/>
      <c r="H378" s="80"/>
    </row>
    <row r="379">
      <c r="G379" s="80"/>
      <c r="H379" s="80"/>
    </row>
    <row r="380">
      <c r="G380" s="80"/>
      <c r="H380" s="80"/>
    </row>
    <row r="381">
      <c r="G381" s="80"/>
      <c r="H381" s="80"/>
    </row>
    <row r="382">
      <c r="G382" s="80"/>
      <c r="H382" s="80"/>
    </row>
    <row r="383">
      <c r="G383" s="80"/>
      <c r="H383" s="80"/>
    </row>
    <row r="384">
      <c r="G384" s="80"/>
      <c r="H384" s="80"/>
    </row>
    <row r="385">
      <c r="G385" s="80"/>
      <c r="H385" s="80"/>
    </row>
    <row r="386">
      <c r="G386" s="80"/>
      <c r="H386" s="80"/>
    </row>
    <row r="387">
      <c r="G387" s="80"/>
      <c r="H387" s="80"/>
    </row>
    <row r="388">
      <c r="G388" s="80"/>
      <c r="H388" s="80"/>
    </row>
    <row r="389">
      <c r="G389" s="80"/>
      <c r="H389" s="80"/>
    </row>
    <row r="390">
      <c r="G390" s="80"/>
      <c r="H390" s="80"/>
    </row>
    <row r="391">
      <c r="G391" s="80"/>
      <c r="H391" s="80"/>
    </row>
    <row r="392">
      <c r="G392" s="80"/>
      <c r="H392" s="80"/>
    </row>
    <row r="393">
      <c r="G393" s="80"/>
      <c r="H393" s="80"/>
    </row>
    <row r="394">
      <c r="G394" s="80"/>
      <c r="H394" s="80"/>
    </row>
    <row r="395">
      <c r="G395" s="80"/>
      <c r="H395" s="80"/>
    </row>
    <row r="396">
      <c r="G396" s="80"/>
      <c r="H396" s="80"/>
    </row>
    <row r="397">
      <c r="G397" s="80"/>
      <c r="H397" s="80"/>
    </row>
    <row r="398">
      <c r="G398" s="80"/>
      <c r="H398" s="80"/>
    </row>
    <row r="399">
      <c r="G399" s="80"/>
      <c r="H399" s="80"/>
    </row>
    <row r="400">
      <c r="G400" s="80"/>
      <c r="H400" s="80"/>
    </row>
    <row r="401">
      <c r="G401" s="80"/>
      <c r="H401" s="80"/>
    </row>
    <row r="402">
      <c r="G402" s="80"/>
      <c r="H402" s="80"/>
    </row>
    <row r="403">
      <c r="G403" s="80"/>
      <c r="H403" s="80"/>
    </row>
    <row r="404">
      <c r="G404" s="80"/>
      <c r="H404" s="80"/>
    </row>
    <row r="405">
      <c r="G405" s="80"/>
      <c r="H405" s="80"/>
    </row>
    <row r="406">
      <c r="G406" s="80"/>
      <c r="H406" s="80"/>
    </row>
    <row r="407">
      <c r="G407" s="80"/>
      <c r="H407" s="80"/>
    </row>
    <row r="408">
      <c r="G408" s="80"/>
      <c r="H408" s="80"/>
    </row>
    <row r="409">
      <c r="G409" s="80"/>
      <c r="H409" s="80"/>
    </row>
    <row r="410">
      <c r="G410" s="80"/>
      <c r="H410" s="80"/>
    </row>
    <row r="411">
      <c r="G411" s="80"/>
      <c r="H411" s="80"/>
    </row>
    <row r="412">
      <c r="G412" s="80"/>
      <c r="H412" s="80"/>
    </row>
    <row r="413">
      <c r="G413" s="80"/>
      <c r="H413" s="80"/>
    </row>
    <row r="414">
      <c r="G414" s="80"/>
      <c r="H414" s="80"/>
    </row>
    <row r="415">
      <c r="G415" s="80"/>
      <c r="H415" s="80"/>
    </row>
    <row r="416">
      <c r="G416" s="80"/>
      <c r="H416" s="80"/>
    </row>
    <row r="417">
      <c r="G417" s="80"/>
      <c r="H417" s="80"/>
    </row>
    <row r="418">
      <c r="G418" s="80"/>
      <c r="H418" s="80"/>
    </row>
    <row r="419">
      <c r="G419" s="80"/>
      <c r="H419" s="80"/>
    </row>
    <row r="420">
      <c r="G420" s="80"/>
      <c r="H420" s="80"/>
    </row>
    <row r="421">
      <c r="G421" s="80"/>
      <c r="H421" s="80"/>
    </row>
    <row r="422">
      <c r="G422" s="80"/>
      <c r="H422" s="80"/>
    </row>
    <row r="423">
      <c r="G423" s="80"/>
      <c r="H423" s="80"/>
    </row>
    <row r="424">
      <c r="G424" s="80"/>
      <c r="H424" s="80"/>
    </row>
    <row r="425">
      <c r="G425" s="80"/>
      <c r="H425" s="80"/>
    </row>
    <row r="426">
      <c r="G426" s="80"/>
      <c r="H426" s="80"/>
    </row>
    <row r="427">
      <c r="G427" s="80"/>
      <c r="H427" s="80"/>
    </row>
    <row r="428">
      <c r="G428" s="80"/>
      <c r="H428" s="80"/>
    </row>
    <row r="429">
      <c r="G429" s="80"/>
      <c r="H429" s="80"/>
    </row>
    <row r="430">
      <c r="G430" s="80"/>
      <c r="H430" s="80"/>
    </row>
    <row r="431">
      <c r="G431" s="80"/>
      <c r="H431" s="80"/>
    </row>
    <row r="432">
      <c r="G432" s="80"/>
      <c r="H432" s="80"/>
    </row>
    <row r="433">
      <c r="G433" s="80"/>
      <c r="H433" s="80"/>
    </row>
    <row r="434">
      <c r="G434" s="80"/>
      <c r="H434" s="80"/>
    </row>
    <row r="435">
      <c r="G435" s="80"/>
      <c r="H435" s="80"/>
    </row>
    <row r="436">
      <c r="G436" s="80"/>
      <c r="H436" s="80"/>
    </row>
    <row r="437">
      <c r="G437" s="80"/>
      <c r="H437" s="80"/>
    </row>
    <row r="438">
      <c r="G438" s="80"/>
      <c r="H438" s="80"/>
    </row>
    <row r="439">
      <c r="G439" s="80"/>
      <c r="H439" s="80"/>
    </row>
    <row r="440">
      <c r="G440" s="80"/>
      <c r="H440" s="80"/>
    </row>
    <row r="441">
      <c r="G441" s="80"/>
      <c r="H441" s="80"/>
    </row>
    <row r="442">
      <c r="G442" s="80"/>
      <c r="H442" s="80"/>
    </row>
    <row r="443">
      <c r="G443" s="80"/>
      <c r="H443" s="80"/>
    </row>
    <row r="444">
      <c r="G444" s="80"/>
      <c r="H444" s="80"/>
    </row>
    <row r="445">
      <c r="G445" s="80"/>
      <c r="H445" s="80"/>
    </row>
    <row r="446">
      <c r="G446" s="80"/>
      <c r="H446" s="80"/>
    </row>
    <row r="447">
      <c r="G447" s="80"/>
      <c r="H447" s="80"/>
    </row>
    <row r="448">
      <c r="G448" s="80"/>
      <c r="H448" s="80"/>
    </row>
    <row r="449">
      <c r="G449" s="80"/>
      <c r="H449" s="80"/>
    </row>
    <row r="450">
      <c r="G450" s="80"/>
      <c r="H450" s="80"/>
    </row>
    <row r="451">
      <c r="G451" s="80"/>
      <c r="H451" s="80"/>
    </row>
    <row r="452">
      <c r="G452" s="80"/>
      <c r="H452" s="80"/>
    </row>
    <row r="453">
      <c r="G453" s="80"/>
      <c r="H453" s="80"/>
    </row>
    <row r="454">
      <c r="G454" s="80"/>
      <c r="H454" s="80"/>
    </row>
    <row r="455">
      <c r="G455" s="80"/>
      <c r="H455" s="80"/>
    </row>
    <row r="456">
      <c r="G456" s="80"/>
      <c r="H456" s="80"/>
    </row>
    <row r="457">
      <c r="G457" s="80"/>
      <c r="H457" s="80"/>
    </row>
    <row r="458">
      <c r="G458" s="80"/>
      <c r="H458" s="80"/>
    </row>
    <row r="459">
      <c r="G459" s="80"/>
      <c r="H459" s="80"/>
    </row>
    <row r="460">
      <c r="G460" s="80"/>
      <c r="H460" s="80"/>
    </row>
    <row r="461">
      <c r="G461" s="80"/>
      <c r="H461" s="80"/>
    </row>
    <row r="462">
      <c r="G462" s="80"/>
      <c r="H462" s="80"/>
    </row>
    <row r="463">
      <c r="G463" s="80"/>
      <c r="H463" s="80"/>
    </row>
    <row r="464">
      <c r="G464" s="80"/>
      <c r="H464" s="80"/>
    </row>
    <row r="465">
      <c r="G465" s="80"/>
      <c r="H465" s="80"/>
    </row>
    <row r="466">
      <c r="G466" s="80"/>
      <c r="H466" s="80"/>
    </row>
    <row r="467">
      <c r="G467" s="80"/>
      <c r="H467" s="80"/>
    </row>
    <row r="468">
      <c r="G468" s="80"/>
      <c r="H468" s="80"/>
    </row>
    <row r="469">
      <c r="G469" s="80"/>
      <c r="H469" s="80"/>
    </row>
    <row r="470">
      <c r="G470" s="80"/>
      <c r="H470" s="80"/>
    </row>
    <row r="471">
      <c r="G471" s="80"/>
      <c r="H471" s="80"/>
    </row>
    <row r="472">
      <c r="G472" s="80"/>
      <c r="H472" s="80"/>
    </row>
    <row r="473">
      <c r="G473" s="80"/>
      <c r="H473" s="80"/>
    </row>
    <row r="474">
      <c r="G474" s="80"/>
      <c r="H474" s="80"/>
    </row>
    <row r="475">
      <c r="G475" s="80"/>
      <c r="H475" s="80"/>
    </row>
    <row r="476">
      <c r="G476" s="80"/>
      <c r="H476" s="80"/>
    </row>
    <row r="477">
      <c r="G477" s="80"/>
      <c r="H477" s="80"/>
    </row>
    <row r="478">
      <c r="G478" s="80"/>
      <c r="H478" s="80"/>
    </row>
    <row r="479">
      <c r="G479" s="80"/>
      <c r="H479" s="80"/>
    </row>
    <row r="480">
      <c r="G480" s="80"/>
      <c r="H480" s="80"/>
    </row>
    <row r="481">
      <c r="G481" s="80"/>
      <c r="H481" s="80"/>
    </row>
    <row r="482">
      <c r="G482" s="80"/>
      <c r="H482" s="80"/>
    </row>
    <row r="483">
      <c r="G483" s="80"/>
      <c r="H483" s="80"/>
    </row>
    <row r="484">
      <c r="G484" s="80"/>
      <c r="H484" s="80"/>
    </row>
    <row r="485">
      <c r="G485" s="80"/>
      <c r="H485" s="80"/>
    </row>
    <row r="486">
      <c r="G486" s="80"/>
      <c r="H486" s="80"/>
    </row>
    <row r="487">
      <c r="G487" s="80"/>
      <c r="H487" s="80"/>
    </row>
    <row r="488">
      <c r="G488" s="80"/>
      <c r="H488" s="80"/>
    </row>
    <row r="489">
      <c r="G489" s="80"/>
      <c r="H489" s="80"/>
    </row>
    <row r="490">
      <c r="G490" s="80"/>
      <c r="H490" s="80"/>
    </row>
    <row r="491">
      <c r="G491" s="80"/>
      <c r="H491" s="80"/>
    </row>
    <row r="492">
      <c r="G492" s="80"/>
      <c r="H492" s="80"/>
    </row>
    <row r="493">
      <c r="G493" s="80"/>
      <c r="H493" s="80"/>
    </row>
    <row r="494">
      <c r="G494" s="80"/>
      <c r="H494" s="80"/>
    </row>
    <row r="495">
      <c r="G495" s="80"/>
      <c r="H495" s="80"/>
    </row>
    <row r="496">
      <c r="G496" s="80"/>
      <c r="H496" s="80"/>
    </row>
    <row r="497">
      <c r="G497" s="80"/>
      <c r="H497" s="80"/>
    </row>
    <row r="498">
      <c r="G498" s="80"/>
      <c r="H498" s="80"/>
    </row>
    <row r="499">
      <c r="G499" s="80"/>
      <c r="H499" s="80"/>
    </row>
    <row r="500">
      <c r="G500" s="80"/>
      <c r="H500" s="80"/>
    </row>
    <row r="501">
      <c r="G501" s="80"/>
      <c r="H501" s="80"/>
    </row>
    <row r="502">
      <c r="G502" s="80"/>
      <c r="H502" s="80"/>
    </row>
    <row r="503">
      <c r="G503" s="80"/>
      <c r="H503" s="80"/>
    </row>
    <row r="504">
      <c r="G504" s="80"/>
      <c r="H504" s="80"/>
    </row>
    <row r="505">
      <c r="G505" s="80"/>
      <c r="H505" s="80"/>
    </row>
    <row r="506">
      <c r="G506" s="80"/>
      <c r="H506" s="80"/>
    </row>
    <row r="507">
      <c r="G507" s="80"/>
      <c r="H507" s="80"/>
    </row>
    <row r="508">
      <c r="G508" s="80"/>
      <c r="H508" s="80"/>
    </row>
    <row r="509">
      <c r="G509" s="80"/>
      <c r="H509" s="80"/>
    </row>
    <row r="510">
      <c r="G510" s="80"/>
      <c r="H510" s="80"/>
    </row>
    <row r="511">
      <c r="G511" s="80"/>
      <c r="H511" s="80"/>
    </row>
    <row r="512">
      <c r="G512" s="80"/>
      <c r="H512" s="80"/>
    </row>
    <row r="513">
      <c r="G513" s="80"/>
      <c r="H513" s="80"/>
    </row>
    <row r="514">
      <c r="G514" s="80"/>
      <c r="H514" s="80"/>
    </row>
    <row r="515">
      <c r="G515" s="80"/>
      <c r="H515" s="80"/>
    </row>
    <row r="516">
      <c r="G516" s="80"/>
      <c r="H516" s="80"/>
    </row>
    <row r="517">
      <c r="G517" s="80"/>
      <c r="H517" s="80"/>
    </row>
    <row r="518">
      <c r="G518" s="80"/>
      <c r="H518" s="80"/>
    </row>
    <row r="519">
      <c r="G519" s="80"/>
      <c r="H519" s="80"/>
    </row>
    <row r="520">
      <c r="G520" s="80"/>
      <c r="H520" s="80"/>
    </row>
    <row r="521">
      <c r="G521" s="80"/>
      <c r="H521" s="80"/>
    </row>
    <row r="522">
      <c r="G522" s="80"/>
      <c r="H522" s="80"/>
    </row>
    <row r="523">
      <c r="G523" s="80"/>
      <c r="H523" s="80"/>
    </row>
    <row r="524">
      <c r="G524" s="80"/>
      <c r="H524" s="80"/>
    </row>
    <row r="525">
      <c r="G525" s="80"/>
      <c r="H525" s="80"/>
    </row>
    <row r="526">
      <c r="G526" s="80"/>
      <c r="H526" s="80"/>
    </row>
    <row r="527">
      <c r="G527" s="80"/>
      <c r="H527" s="80"/>
    </row>
    <row r="528">
      <c r="G528" s="80"/>
      <c r="H528" s="80"/>
    </row>
    <row r="529">
      <c r="G529" s="80"/>
      <c r="H529" s="80"/>
    </row>
    <row r="530">
      <c r="G530" s="80"/>
      <c r="H530" s="80"/>
    </row>
    <row r="531">
      <c r="G531" s="80"/>
      <c r="H531" s="80"/>
    </row>
    <row r="532">
      <c r="G532" s="80"/>
      <c r="H532" s="80"/>
    </row>
    <row r="533">
      <c r="G533" s="80"/>
      <c r="H533" s="80"/>
    </row>
    <row r="534">
      <c r="G534" s="80"/>
      <c r="H534" s="80"/>
    </row>
    <row r="535">
      <c r="G535" s="80"/>
      <c r="H535" s="80"/>
    </row>
    <row r="536">
      <c r="G536" s="80"/>
      <c r="H536" s="80"/>
    </row>
    <row r="537">
      <c r="G537" s="80"/>
      <c r="H537" s="80"/>
    </row>
    <row r="538">
      <c r="G538" s="80"/>
      <c r="H538" s="80"/>
    </row>
    <row r="539">
      <c r="G539" s="80"/>
      <c r="H539" s="80"/>
    </row>
    <row r="540">
      <c r="G540" s="80"/>
      <c r="H540" s="80"/>
    </row>
    <row r="541">
      <c r="G541" s="80"/>
      <c r="H541" s="80"/>
    </row>
    <row r="542">
      <c r="G542" s="80"/>
      <c r="H542" s="80"/>
    </row>
    <row r="543">
      <c r="G543" s="80"/>
      <c r="H543" s="80"/>
    </row>
    <row r="544">
      <c r="G544" s="80"/>
      <c r="H544" s="80"/>
    </row>
    <row r="545">
      <c r="G545" s="80"/>
      <c r="H545" s="80"/>
    </row>
    <row r="546">
      <c r="G546" s="80"/>
      <c r="H546" s="80"/>
    </row>
    <row r="547">
      <c r="G547" s="80"/>
      <c r="H547" s="80"/>
    </row>
    <row r="548">
      <c r="G548" s="80"/>
      <c r="H548" s="80"/>
    </row>
    <row r="549">
      <c r="G549" s="80"/>
      <c r="H549" s="80"/>
    </row>
    <row r="550">
      <c r="G550" s="80"/>
      <c r="H550" s="80"/>
    </row>
    <row r="551">
      <c r="G551" s="80"/>
      <c r="H551" s="80"/>
    </row>
    <row r="552">
      <c r="G552" s="80"/>
      <c r="H552" s="80"/>
    </row>
    <row r="553">
      <c r="G553" s="80"/>
      <c r="H553" s="80"/>
    </row>
    <row r="554">
      <c r="G554" s="80"/>
      <c r="H554" s="80"/>
    </row>
    <row r="555">
      <c r="G555" s="80"/>
      <c r="H555" s="80"/>
    </row>
    <row r="556">
      <c r="G556" s="80"/>
      <c r="H556" s="80"/>
    </row>
    <row r="557">
      <c r="G557" s="80"/>
      <c r="H557" s="80"/>
    </row>
    <row r="558">
      <c r="G558" s="80"/>
      <c r="H558" s="80"/>
    </row>
    <row r="559">
      <c r="G559" s="80"/>
      <c r="H559" s="80"/>
    </row>
    <row r="560">
      <c r="G560" s="80"/>
      <c r="H560" s="80"/>
    </row>
    <row r="561">
      <c r="G561" s="80"/>
      <c r="H561" s="80"/>
    </row>
    <row r="562">
      <c r="G562" s="80"/>
      <c r="H562" s="80"/>
    </row>
    <row r="563">
      <c r="G563" s="80"/>
      <c r="H563" s="80"/>
    </row>
    <row r="564">
      <c r="G564" s="80"/>
      <c r="H564" s="80"/>
    </row>
    <row r="565">
      <c r="G565" s="80"/>
      <c r="H565" s="80"/>
    </row>
    <row r="566">
      <c r="G566" s="80"/>
      <c r="H566" s="80"/>
    </row>
    <row r="567">
      <c r="G567" s="80"/>
      <c r="H567" s="80"/>
    </row>
    <row r="568">
      <c r="G568" s="80"/>
      <c r="H568" s="80"/>
    </row>
    <row r="569">
      <c r="G569" s="80"/>
      <c r="H569" s="80"/>
    </row>
    <row r="570">
      <c r="G570" s="80"/>
      <c r="H570" s="80"/>
    </row>
    <row r="571">
      <c r="G571" s="80"/>
      <c r="H571" s="80"/>
    </row>
    <row r="572">
      <c r="G572" s="80"/>
      <c r="H572" s="80"/>
    </row>
    <row r="573">
      <c r="G573" s="80"/>
      <c r="H573" s="80"/>
    </row>
    <row r="574">
      <c r="G574" s="80"/>
      <c r="H574" s="80"/>
    </row>
    <row r="575">
      <c r="G575" s="80"/>
      <c r="H575" s="80"/>
    </row>
    <row r="576">
      <c r="G576" s="80"/>
      <c r="H576" s="80"/>
    </row>
    <row r="577">
      <c r="G577" s="80"/>
      <c r="H577" s="80"/>
    </row>
    <row r="578">
      <c r="G578" s="80"/>
      <c r="H578" s="80"/>
    </row>
    <row r="579">
      <c r="G579" s="80"/>
      <c r="H579" s="80"/>
    </row>
    <row r="580">
      <c r="G580" s="80"/>
      <c r="H580" s="80"/>
    </row>
    <row r="581">
      <c r="G581" s="80"/>
      <c r="H581" s="80"/>
    </row>
    <row r="582">
      <c r="G582" s="80"/>
      <c r="H582" s="80"/>
    </row>
    <row r="583">
      <c r="G583" s="80"/>
      <c r="H583" s="80"/>
    </row>
    <row r="584">
      <c r="G584" s="80"/>
      <c r="H584" s="80"/>
    </row>
    <row r="585">
      <c r="G585" s="80"/>
      <c r="H585" s="80"/>
    </row>
    <row r="586">
      <c r="G586" s="80"/>
      <c r="H586" s="80"/>
    </row>
    <row r="587">
      <c r="G587" s="80"/>
      <c r="H587" s="80"/>
    </row>
    <row r="588">
      <c r="G588" s="80"/>
      <c r="H588" s="80"/>
    </row>
    <row r="589">
      <c r="G589" s="80"/>
      <c r="H589" s="80"/>
    </row>
    <row r="590">
      <c r="G590" s="80"/>
      <c r="H590" s="80"/>
    </row>
    <row r="591">
      <c r="G591" s="80"/>
      <c r="H591" s="80"/>
    </row>
    <row r="592">
      <c r="G592" s="80"/>
      <c r="H592" s="80"/>
    </row>
    <row r="593">
      <c r="G593" s="80"/>
      <c r="H593" s="80"/>
    </row>
    <row r="594">
      <c r="G594" s="80"/>
      <c r="H594" s="80"/>
    </row>
    <row r="595">
      <c r="G595" s="80"/>
      <c r="H595" s="80"/>
    </row>
    <row r="596">
      <c r="G596" s="80"/>
      <c r="H596" s="80"/>
    </row>
    <row r="597">
      <c r="G597" s="80"/>
      <c r="H597" s="80"/>
    </row>
    <row r="598">
      <c r="G598" s="80"/>
      <c r="H598" s="80"/>
    </row>
    <row r="599">
      <c r="G599" s="80"/>
      <c r="H599" s="80"/>
    </row>
    <row r="600">
      <c r="G600" s="80"/>
      <c r="H600" s="80"/>
    </row>
    <row r="601">
      <c r="G601" s="80"/>
      <c r="H601" s="80"/>
    </row>
    <row r="602">
      <c r="G602" s="80"/>
      <c r="H602" s="80"/>
    </row>
    <row r="603">
      <c r="G603" s="80"/>
      <c r="H603" s="80"/>
    </row>
    <row r="604">
      <c r="G604" s="80"/>
      <c r="H604" s="80"/>
    </row>
    <row r="605">
      <c r="G605" s="80"/>
      <c r="H605" s="80"/>
    </row>
    <row r="606">
      <c r="G606" s="80"/>
      <c r="H606" s="80"/>
    </row>
    <row r="607">
      <c r="G607" s="80"/>
      <c r="H607" s="80"/>
    </row>
    <row r="608">
      <c r="G608" s="80"/>
      <c r="H608" s="80"/>
    </row>
    <row r="609">
      <c r="G609" s="80"/>
      <c r="H609" s="80"/>
    </row>
    <row r="610">
      <c r="G610" s="80"/>
      <c r="H610" s="80"/>
    </row>
    <row r="611">
      <c r="G611" s="80"/>
      <c r="H611" s="80"/>
    </row>
    <row r="612">
      <c r="G612" s="80"/>
      <c r="H612" s="80"/>
    </row>
    <row r="613">
      <c r="G613" s="80"/>
      <c r="H613" s="80"/>
    </row>
    <row r="614">
      <c r="G614" s="80"/>
      <c r="H614" s="80"/>
    </row>
    <row r="615">
      <c r="G615" s="80"/>
      <c r="H615" s="80"/>
    </row>
    <row r="616">
      <c r="G616" s="80"/>
      <c r="H616" s="80"/>
    </row>
    <row r="617">
      <c r="G617" s="80"/>
      <c r="H617" s="80"/>
    </row>
    <row r="618">
      <c r="G618" s="80"/>
      <c r="H618" s="80"/>
    </row>
    <row r="619">
      <c r="G619" s="80"/>
      <c r="H619" s="80"/>
    </row>
    <row r="620">
      <c r="G620" s="80"/>
      <c r="H620" s="80"/>
    </row>
    <row r="621">
      <c r="G621" s="80"/>
      <c r="H621" s="80"/>
    </row>
    <row r="622">
      <c r="G622" s="80"/>
      <c r="H622" s="80"/>
    </row>
    <row r="623">
      <c r="G623" s="80"/>
      <c r="H623" s="80"/>
    </row>
    <row r="624">
      <c r="G624" s="80"/>
      <c r="H624" s="80"/>
    </row>
    <row r="625">
      <c r="G625" s="80"/>
      <c r="H625" s="80"/>
    </row>
    <row r="626">
      <c r="G626" s="80"/>
      <c r="H626" s="80"/>
    </row>
    <row r="627">
      <c r="G627" s="80"/>
      <c r="H627" s="80"/>
    </row>
    <row r="628">
      <c r="G628" s="80"/>
      <c r="H628" s="80"/>
    </row>
    <row r="629">
      <c r="G629" s="80"/>
      <c r="H629" s="80"/>
    </row>
    <row r="630">
      <c r="G630" s="80"/>
      <c r="H630" s="80"/>
    </row>
    <row r="631">
      <c r="G631" s="80"/>
      <c r="H631" s="80"/>
    </row>
    <row r="632">
      <c r="G632" s="80"/>
      <c r="H632" s="80"/>
    </row>
    <row r="633">
      <c r="G633" s="80"/>
      <c r="H633" s="80"/>
    </row>
    <row r="634">
      <c r="G634" s="80"/>
      <c r="H634" s="80"/>
    </row>
    <row r="635">
      <c r="G635" s="80"/>
      <c r="H635" s="80"/>
    </row>
    <row r="636">
      <c r="G636" s="80"/>
      <c r="H636" s="80"/>
    </row>
    <row r="637">
      <c r="G637" s="80"/>
      <c r="H637" s="80"/>
    </row>
    <row r="638">
      <c r="G638" s="80"/>
      <c r="H638" s="80"/>
    </row>
    <row r="639">
      <c r="G639" s="80"/>
      <c r="H639" s="80"/>
    </row>
    <row r="640">
      <c r="G640" s="80"/>
      <c r="H640" s="80"/>
    </row>
    <row r="641">
      <c r="G641" s="80"/>
      <c r="H641" s="80"/>
    </row>
    <row r="642">
      <c r="G642" s="80"/>
      <c r="H642" s="80"/>
    </row>
    <row r="643">
      <c r="G643" s="80"/>
      <c r="H643" s="80"/>
    </row>
    <row r="644">
      <c r="G644" s="80"/>
      <c r="H644" s="80"/>
    </row>
    <row r="645">
      <c r="G645" s="80"/>
      <c r="H645" s="80"/>
    </row>
    <row r="646">
      <c r="G646" s="80"/>
      <c r="H646" s="80"/>
    </row>
    <row r="647">
      <c r="G647" s="80"/>
      <c r="H647" s="80"/>
    </row>
    <row r="648">
      <c r="G648" s="80"/>
      <c r="H648" s="80"/>
    </row>
    <row r="649">
      <c r="G649" s="80"/>
      <c r="H649" s="80"/>
    </row>
    <row r="650">
      <c r="G650" s="80"/>
      <c r="H650" s="80"/>
    </row>
    <row r="651">
      <c r="G651" s="80"/>
      <c r="H651" s="80"/>
    </row>
    <row r="652">
      <c r="G652" s="80"/>
      <c r="H652" s="80"/>
    </row>
    <row r="653">
      <c r="G653" s="80"/>
      <c r="H653" s="80"/>
    </row>
    <row r="654">
      <c r="G654" s="80"/>
      <c r="H654" s="80"/>
    </row>
    <row r="655">
      <c r="G655" s="80"/>
      <c r="H655" s="80"/>
    </row>
    <row r="656">
      <c r="G656" s="80"/>
      <c r="H656" s="80"/>
    </row>
    <row r="657">
      <c r="G657" s="80"/>
      <c r="H657" s="80"/>
    </row>
    <row r="658">
      <c r="G658" s="80"/>
      <c r="H658" s="80"/>
    </row>
    <row r="659">
      <c r="G659" s="80"/>
      <c r="H659" s="80"/>
    </row>
    <row r="660">
      <c r="G660" s="80"/>
      <c r="H660" s="80"/>
    </row>
    <row r="661">
      <c r="G661" s="80"/>
      <c r="H661" s="80"/>
    </row>
    <row r="662">
      <c r="G662" s="80"/>
      <c r="H662" s="80"/>
    </row>
    <row r="663">
      <c r="G663" s="80"/>
      <c r="H663" s="80"/>
    </row>
    <row r="664">
      <c r="G664" s="80"/>
      <c r="H664" s="80"/>
    </row>
    <row r="665">
      <c r="G665" s="80"/>
      <c r="H665" s="80"/>
    </row>
    <row r="666">
      <c r="G666" s="80"/>
      <c r="H666" s="80"/>
    </row>
    <row r="667">
      <c r="G667" s="80"/>
      <c r="H667" s="80"/>
    </row>
    <row r="668">
      <c r="G668" s="80"/>
      <c r="H668" s="80"/>
    </row>
    <row r="669">
      <c r="G669" s="80"/>
      <c r="H669" s="80"/>
    </row>
    <row r="670">
      <c r="G670" s="80"/>
      <c r="H670" s="80"/>
    </row>
    <row r="671">
      <c r="G671" s="80"/>
      <c r="H671" s="80"/>
    </row>
    <row r="672">
      <c r="G672" s="80"/>
      <c r="H672" s="80"/>
    </row>
    <row r="673">
      <c r="G673" s="80"/>
      <c r="H673" s="80"/>
    </row>
    <row r="674">
      <c r="G674" s="80"/>
      <c r="H674" s="80"/>
    </row>
    <row r="675">
      <c r="G675" s="80"/>
      <c r="H675" s="80"/>
    </row>
    <row r="676">
      <c r="G676" s="80"/>
      <c r="H676" s="80"/>
    </row>
    <row r="677">
      <c r="G677" s="80"/>
      <c r="H677" s="80"/>
    </row>
    <row r="678">
      <c r="G678" s="80"/>
      <c r="H678" s="80"/>
    </row>
    <row r="679">
      <c r="G679" s="80"/>
      <c r="H679" s="80"/>
    </row>
    <row r="680">
      <c r="G680" s="80"/>
      <c r="H680" s="80"/>
    </row>
    <row r="681">
      <c r="G681" s="80"/>
      <c r="H681" s="80"/>
    </row>
    <row r="682">
      <c r="G682" s="80"/>
      <c r="H682" s="80"/>
    </row>
    <row r="683">
      <c r="G683" s="80"/>
      <c r="H683" s="80"/>
    </row>
    <row r="684">
      <c r="G684" s="80"/>
      <c r="H684" s="80"/>
    </row>
    <row r="685">
      <c r="G685" s="80"/>
      <c r="H685" s="80"/>
    </row>
    <row r="686">
      <c r="G686" s="80"/>
      <c r="H686" s="80"/>
    </row>
    <row r="687">
      <c r="G687" s="80"/>
      <c r="H687" s="80"/>
    </row>
    <row r="688">
      <c r="G688" s="80"/>
      <c r="H688" s="80"/>
    </row>
    <row r="689">
      <c r="G689" s="80"/>
      <c r="H689" s="80"/>
    </row>
    <row r="690">
      <c r="G690" s="80"/>
      <c r="H690" s="80"/>
    </row>
    <row r="691">
      <c r="G691" s="80"/>
      <c r="H691" s="80"/>
    </row>
    <row r="692">
      <c r="G692" s="80"/>
      <c r="H692" s="80"/>
    </row>
    <row r="693">
      <c r="G693" s="80"/>
      <c r="H693" s="80"/>
    </row>
    <row r="694">
      <c r="G694" s="80"/>
      <c r="H694" s="80"/>
    </row>
    <row r="695">
      <c r="G695" s="80"/>
      <c r="H695" s="80"/>
    </row>
    <row r="696">
      <c r="G696" s="80"/>
      <c r="H696" s="80"/>
    </row>
    <row r="697">
      <c r="G697" s="80"/>
      <c r="H697" s="80"/>
    </row>
    <row r="698">
      <c r="G698" s="80"/>
      <c r="H698" s="80"/>
    </row>
    <row r="699">
      <c r="G699" s="80"/>
      <c r="H699" s="80"/>
    </row>
    <row r="700">
      <c r="G700" s="80"/>
      <c r="H700" s="80"/>
    </row>
    <row r="701">
      <c r="G701" s="80"/>
      <c r="H701" s="80"/>
    </row>
    <row r="702">
      <c r="G702" s="80"/>
      <c r="H702" s="80"/>
    </row>
    <row r="703">
      <c r="G703" s="80"/>
      <c r="H703" s="80"/>
    </row>
    <row r="704">
      <c r="G704" s="80"/>
      <c r="H704" s="80"/>
    </row>
    <row r="705">
      <c r="G705" s="80"/>
      <c r="H705" s="80"/>
    </row>
    <row r="706">
      <c r="G706" s="80"/>
      <c r="H706" s="80"/>
    </row>
    <row r="707">
      <c r="G707" s="80"/>
      <c r="H707" s="80"/>
    </row>
    <row r="708">
      <c r="G708" s="80"/>
      <c r="H708" s="80"/>
    </row>
    <row r="709">
      <c r="G709" s="80"/>
      <c r="H709" s="80"/>
    </row>
    <row r="710">
      <c r="G710" s="80"/>
      <c r="H710" s="80"/>
    </row>
    <row r="711">
      <c r="G711" s="80"/>
      <c r="H711" s="80"/>
    </row>
    <row r="712">
      <c r="G712" s="80"/>
      <c r="H712" s="80"/>
    </row>
    <row r="713">
      <c r="G713" s="80"/>
      <c r="H713" s="80"/>
    </row>
    <row r="714">
      <c r="G714" s="80"/>
      <c r="H714" s="80"/>
    </row>
    <row r="715">
      <c r="G715" s="80"/>
      <c r="H715" s="80"/>
    </row>
    <row r="716">
      <c r="G716" s="80"/>
      <c r="H716" s="80"/>
    </row>
    <row r="717">
      <c r="G717" s="80"/>
      <c r="H717" s="80"/>
    </row>
    <row r="718">
      <c r="G718" s="80"/>
      <c r="H718" s="80"/>
    </row>
    <row r="719">
      <c r="G719" s="80"/>
      <c r="H719" s="80"/>
    </row>
    <row r="720">
      <c r="G720" s="80"/>
      <c r="H720" s="80"/>
    </row>
    <row r="721">
      <c r="G721" s="80"/>
      <c r="H721" s="80"/>
    </row>
    <row r="722">
      <c r="G722" s="80"/>
      <c r="H722" s="80"/>
    </row>
    <row r="723">
      <c r="G723" s="80"/>
      <c r="H723" s="80"/>
    </row>
    <row r="724">
      <c r="G724" s="80"/>
      <c r="H724" s="80"/>
    </row>
    <row r="725">
      <c r="G725" s="80"/>
      <c r="H725" s="80"/>
    </row>
    <row r="726">
      <c r="G726" s="80"/>
      <c r="H726" s="80"/>
    </row>
    <row r="727">
      <c r="G727" s="80"/>
      <c r="H727" s="80"/>
    </row>
    <row r="728">
      <c r="G728" s="80"/>
      <c r="H728" s="80"/>
    </row>
    <row r="729">
      <c r="G729" s="80"/>
      <c r="H729" s="80"/>
    </row>
    <row r="730">
      <c r="G730" s="80"/>
      <c r="H730" s="80"/>
    </row>
    <row r="731">
      <c r="G731" s="80"/>
      <c r="H731" s="80"/>
    </row>
    <row r="732">
      <c r="G732" s="80"/>
      <c r="H732" s="80"/>
    </row>
    <row r="733">
      <c r="G733" s="80"/>
      <c r="H733" s="80"/>
    </row>
    <row r="734">
      <c r="G734" s="80"/>
      <c r="H734" s="80"/>
    </row>
    <row r="735">
      <c r="G735" s="80"/>
      <c r="H735" s="80"/>
    </row>
    <row r="736">
      <c r="G736" s="80"/>
      <c r="H736" s="80"/>
    </row>
    <row r="737">
      <c r="G737" s="80"/>
      <c r="H737" s="80"/>
    </row>
    <row r="738">
      <c r="G738" s="80"/>
      <c r="H738" s="80"/>
    </row>
    <row r="739">
      <c r="G739" s="80"/>
      <c r="H739" s="80"/>
    </row>
    <row r="740">
      <c r="G740" s="80"/>
      <c r="H740" s="80"/>
    </row>
    <row r="741">
      <c r="G741" s="80"/>
      <c r="H741" s="80"/>
    </row>
    <row r="742">
      <c r="G742" s="80"/>
      <c r="H742" s="80"/>
    </row>
    <row r="743">
      <c r="G743" s="80"/>
      <c r="H743" s="80"/>
    </row>
    <row r="744">
      <c r="G744" s="80"/>
      <c r="H744" s="80"/>
    </row>
    <row r="745">
      <c r="G745" s="80"/>
      <c r="H745" s="80"/>
    </row>
    <row r="746">
      <c r="G746" s="80"/>
      <c r="H746" s="80"/>
    </row>
    <row r="747">
      <c r="G747" s="80"/>
      <c r="H747" s="80"/>
    </row>
    <row r="748">
      <c r="G748" s="80"/>
      <c r="H748" s="80"/>
    </row>
    <row r="749">
      <c r="G749" s="80"/>
      <c r="H749" s="80"/>
    </row>
    <row r="750">
      <c r="G750" s="80"/>
      <c r="H750" s="80"/>
    </row>
    <row r="751">
      <c r="G751" s="80"/>
      <c r="H751" s="80"/>
    </row>
    <row r="752">
      <c r="G752" s="80"/>
      <c r="H752" s="80"/>
    </row>
    <row r="753">
      <c r="G753" s="80"/>
      <c r="H753" s="80"/>
    </row>
    <row r="754">
      <c r="G754" s="80"/>
      <c r="H754" s="80"/>
    </row>
    <row r="755">
      <c r="G755" s="80"/>
      <c r="H755" s="80"/>
    </row>
    <row r="756">
      <c r="G756" s="80"/>
      <c r="H756" s="80"/>
    </row>
    <row r="757">
      <c r="G757" s="80"/>
      <c r="H757" s="80"/>
    </row>
    <row r="758">
      <c r="G758" s="80"/>
      <c r="H758" s="80"/>
    </row>
    <row r="759">
      <c r="G759" s="80"/>
      <c r="H759" s="80"/>
    </row>
    <row r="760">
      <c r="G760" s="80"/>
      <c r="H760" s="80"/>
    </row>
    <row r="761">
      <c r="G761" s="80"/>
      <c r="H761" s="80"/>
    </row>
    <row r="762">
      <c r="G762" s="80"/>
      <c r="H762" s="80"/>
    </row>
    <row r="763">
      <c r="G763" s="80"/>
      <c r="H763" s="80"/>
    </row>
    <row r="764">
      <c r="G764" s="80"/>
      <c r="H764" s="80"/>
    </row>
    <row r="765">
      <c r="G765" s="80"/>
      <c r="H765" s="80"/>
    </row>
    <row r="766">
      <c r="G766" s="80"/>
      <c r="H766" s="80"/>
    </row>
    <row r="767">
      <c r="G767" s="80"/>
      <c r="H767" s="80"/>
    </row>
    <row r="768">
      <c r="G768" s="80"/>
      <c r="H768" s="80"/>
    </row>
    <row r="769">
      <c r="G769" s="80"/>
      <c r="H769" s="80"/>
    </row>
    <row r="770">
      <c r="G770" s="80"/>
      <c r="H770" s="80"/>
    </row>
    <row r="771">
      <c r="G771" s="80"/>
      <c r="H771" s="80"/>
    </row>
    <row r="772">
      <c r="G772" s="80"/>
      <c r="H772" s="80"/>
    </row>
    <row r="773">
      <c r="G773" s="80"/>
      <c r="H773" s="80"/>
    </row>
    <row r="774">
      <c r="G774" s="80"/>
      <c r="H774" s="80"/>
    </row>
    <row r="775">
      <c r="G775" s="80"/>
      <c r="H775" s="80"/>
    </row>
    <row r="776">
      <c r="G776" s="80"/>
      <c r="H776" s="80"/>
    </row>
    <row r="777">
      <c r="G777" s="80"/>
      <c r="H777" s="80"/>
    </row>
    <row r="778">
      <c r="G778" s="80"/>
      <c r="H778" s="80"/>
    </row>
    <row r="779">
      <c r="G779" s="80"/>
      <c r="H779" s="80"/>
    </row>
    <row r="780">
      <c r="G780" s="80"/>
      <c r="H780" s="80"/>
    </row>
    <row r="781">
      <c r="G781" s="80"/>
      <c r="H781" s="80"/>
    </row>
    <row r="782">
      <c r="G782" s="80"/>
      <c r="H782" s="80"/>
    </row>
    <row r="783">
      <c r="G783" s="80"/>
      <c r="H783" s="80"/>
    </row>
    <row r="784">
      <c r="G784" s="80"/>
      <c r="H784" s="80"/>
    </row>
    <row r="785">
      <c r="G785" s="80"/>
      <c r="H785" s="80"/>
    </row>
    <row r="786">
      <c r="G786" s="80"/>
      <c r="H786" s="80"/>
    </row>
    <row r="787">
      <c r="G787" s="80"/>
      <c r="H787" s="80"/>
    </row>
    <row r="788">
      <c r="G788" s="80"/>
      <c r="H788" s="80"/>
    </row>
    <row r="789">
      <c r="G789" s="80"/>
      <c r="H789" s="80"/>
    </row>
    <row r="790">
      <c r="G790" s="80"/>
      <c r="H790" s="80"/>
    </row>
    <row r="791">
      <c r="G791" s="80"/>
      <c r="H791" s="80"/>
    </row>
    <row r="792">
      <c r="G792" s="80"/>
      <c r="H792" s="80"/>
    </row>
    <row r="793">
      <c r="G793" s="80"/>
      <c r="H793" s="80"/>
    </row>
    <row r="794">
      <c r="G794" s="80"/>
      <c r="H794" s="80"/>
    </row>
    <row r="795">
      <c r="G795" s="80"/>
      <c r="H795" s="80"/>
    </row>
    <row r="796">
      <c r="G796" s="80"/>
      <c r="H796" s="80"/>
    </row>
    <row r="797">
      <c r="G797" s="80"/>
      <c r="H797" s="80"/>
    </row>
    <row r="798">
      <c r="G798" s="80"/>
      <c r="H798" s="80"/>
    </row>
    <row r="799">
      <c r="G799" s="80"/>
      <c r="H799" s="80"/>
    </row>
    <row r="800">
      <c r="G800" s="80"/>
      <c r="H800" s="80"/>
    </row>
    <row r="801">
      <c r="G801" s="80"/>
      <c r="H801" s="80"/>
    </row>
    <row r="802">
      <c r="G802" s="80"/>
      <c r="H802" s="80"/>
    </row>
    <row r="803">
      <c r="G803" s="80"/>
      <c r="H803" s="80"/>
    </row>
    <row r="804">
      <c r="G804" s="80"/>
      <c r="H804" s="80"/>
    </row>
    <row r="805">
      <c r="G805" s="80"/>
      <c r="H805" s="80"/>
    </row>
    <row r="806">
      <c r="G806" s="80"/>
      <c r="H806" s="80"/>
    </row>
    <row r="807">
      <c r="G807" s="80"/>
      <c r="H807" s="80"/>
    </row>
    <row r="808">
      <c r="G808" s="80"/>
      <c r="H808" s="80"/>
    </row>
    <row r="809">
      <c r="G809" s="80"/>
      <c r="H809" s="80"/>
    </row>
    <row r="810">
      <c r="G810" s="80"/>
      <c r="H810" s="80"/>
    </row>
    <row r="811">
      <c r="G811" s="80"/>
      <c r="H811" s="80"/>
    </row>
    <row r="812">
      <c r="G812" s="80"/>
      <c r="H812" s="80"/>
    </row>
    <row r="813">
      <c r="G813" s="80"/>
      <c r="H813" s="80"/>
    </row>
    <row r="814">
      <c r="G814" s="80"/>
      <c r="H814" s="80"/>
    </row>
    <row r="815">
      <c r="G815" s="80"/>
      <c r="H815" s="80"/>
    </row>
    <row r="816">
      <c r="G816" s="80"/>
      <c r="H816" s="80"/>
    </row>
    <row r="817">
      <c r="G817" s="80"/>
      <c r="H817" s="80"/>
    </row>
    <row r="818">
      <c r="G818" s="80"/>
      <c r="H818" s="80"/>
    </row>
    <row r="819">
      <c r="G819" s="80"/>
      <c r="H819" s="80"/>
    </row>
    <row r="820">
      <c r="G820" s="80"/>
      <c r="H820" s="80"/>
    </row>
    <row r="821">
      <c r="G821" s="80"/>
      <c r="H821" s="80"/>
    </row>
    <row r="822">
      <c r="G822" s="80"/>
      <c r="H822" s="80"/>
    </row>
    <row r="823">
      <c r="G823" s="80"/>
      <c r="H823" s="80"/>
    </row>
    <row r="824">
      <c r="G824" s="80"/>
      <c r="H824" s="80"/>
    </row>
    <row r="825">
      <c r="G825" s="80"/>
      <c r="H825" s="80"/>
    </row>
    <row r="826">
      <c r="G826" s="80"/>
      <c r="H826" s="80"/>
    </row>
    <row r="827">
      <c r="G827" s="80"/>
      <c r="H827" s="80"/>
    </row>
    <row r="828">
      <c r="G828" s="80"/>
      <c r="H828" s="80"/>
    </row>
    <row r="829">
      <c r="G829" s="80"/>
      <c r="H829" s="80"/>
    </row>
    <row r="830">
      <c r="G830" s="80"/>
      <c r="H830" s="80"/>
    </row>
    <row r="831">
      <c r="G831" s="80"/>
      <c r="H831" s="80"/>
    </row>
    <row r="832">
      <c r="G832" s="80"/>
      <c r="H832" s="80"/>
    </row>
    <row r="833">
      <c r="G833" s="80"/>
      <c r="H833" s="80"/>
    </row>
    <row r="834">
      <c r="G834" s="80"/>
      <c r="H834" s="80"/>
    </row>
    <row r="835">
      <c r="G835" s="80"/>
      <c r="H835" s="80"/>
    </row>
    <row r="836">
      <c r="G836" s="80"/>
      <c r="H836" s="80"/>
    </row>
    <row r="837">
      <c r="G837" s="80"/>
      <c r="H837" s="80"/>
    </row>
    <row r="838">
      <c r="G838" s="80"/>
      <c r="H838" s="80"/>
    </row>
    <row r="839">
      <c r="G839" s="80"/>
      <c r="H839" s="80"/>
    </row>
    <row r="840">
      <c r="G840" s="80"/>
      <c r="H840" s="80"/>
    </row>
    <row r="841">
      <c r="G841" s="80"/>
      <c r="H841" s="80"/>
    </row>
    <row r="842">
      <c r="G842" s="80"/>
      <c r="H842" s="80"/>
    </row>
    <row r="843">
      <c r="G843" s="80"/>
      <c r="H843" s="80"/>
    </row>
    <row r="844">
      <c r="G844" s="80"/>
      <c r="H844" s="80"/>
    </row>
    <row r="845">
      <c r="G845" s="80"/>
      <c r="H845" s="80"/>
    </row>
    <row r="846">
      <c r="G846" s="80"/>
      <c r="H846" s="80"/>
    </row>
    <row r="847">
      <c r="G847" s="80"/>
      <c r="H847" s="80"/>
    </row>
    <row r="848">
      <c r="G848" s="80"/>
      <c r="H848" s="80"/>
    </row>
    <row r="849">
      <c r="G849" s="80"/>
      <c r="H849" s="80"/>
    </row>
    <row r="850">
      <c r="G850" s="80"/>
      <c r="H850" s="80"/>
    </row>
    <row r="851">
      <c r="G851" s="80"/>
      <c r="H851" s="80"/>
    </row>
    <row r="852">
      <c r="G852" s="80"/>
      <c r="H852" s="80"/>
    </row>
    <row r="853">
      <c r="G853" s="80"/>
      <c r="H853" s="80"/>
    </row>
    <row r="854">
      <c r="G854" s="80"/>
      <c r="H854" s="80"/>
    </row>
    <row r="855">
      <c r="G855" s="80"/>
      <c r="H855" s="80"/>
    </row>
    <row r="856">
      <c r="G856" s="80"/>
      <c r="H856" s="80"/>
    </row>
    <row r="857">
      <c r="G857" s="80"/>
      <c r="H857" s="80"/>
    </row>
    <row r="858">
      <c r="G858" s="80"/>
      <c r="H858" s="80"/>
    </row>
    <row r="859">
      <c r="G859" s="80"/>
      <c r="H859" s="80"/>
    </row>
    <row r="860">
      <c r="G860" s="80"/>
      <c r="H860" s="80"/>
    </row>
    <row r="861">
      <c r="G861" s="80"/>
      <c r="H861" s="80"/>
    </row>
    <row r="862">
      <c r="G862" s="80"/>
      <c r="H862" s="80"/>
    </row>
    <row r="863">
      <c r="G863" s="80"/>
      <c r="H863" s="80"/>
    </row>
    <row r="864">
      <c r="G864" s="80"/>
      <c r="H864" s="80"/>
    </row>
    <row r="865">
      <c r="G865" s="80"/>
      <c r="H865" s="80"/>
    </row>
    <row r="866">
      <c r="G866" s="80"/>
      <c r="H866" s="80"/>
    </row>
    <row r="867">
      <c r="G867" s="80"/>
      <c r="H867" s="80"/>
    </row>
    <row r="868">
      <c r="G868" s="80"/>
      <c r="H868" s="80"/>
    </row>
    <row r="869">
      <c r="G869" s="80"/>
      <c r="H869" s="80"/>
    </row>
    <row r="870">
      <c r="G870" s="80"/>
      <c r="H870" s="80"/>
    </row>
    <row r="871">
      <c r="G871" s="80"/>
      <c r="H871" s="80"/>
    </row>
    <row r="872">
      <c r="G872" s="80"/>
      <c r="H872" s="80"/>
    </row>
    <row r="873">
      <c r="G873" s="80"/>
      <c r="H873" s="80"/>
    </row>
    <row r="874">
      <c r="G874" s="80"/>
      <c r="H874" s="80"/>
    </row>
    <row r="875">
      <c r="G875" s="80"/>
      <c r="H875" s="80"/>
    </row>
    <row r="876">
      <c r="G876" s="80"/>
      <c r="H876" s="80"/>
    </row>
    <row r="877">
      <c r="G877" s="80"/>
      <c r="H877" s="80"/>
    </row>
    <row r="878">
      <c r="G878" s="80"/>
      <c r="H878" s="80"/>
    </row>
    <row r="879">
      <c r="G879" s="80"/>
      <c r="H879" s="80"/>
    </row>
    <row r="880">
      <c r="G880" s="80"/>
      <c r="H880" s="80"/>
    </row>
    <row r="881">
      <c r="G881" s="80"/>
      <c r="H881" s="80"/>
    </row>
    <row r="882">
      <c r="G882" s="80"/>
      <c r="H882" s="80"/>
    </row>
    <row r="883">
      <c r="G883" s="80"/>
      <c r="H883" s="80"/>
    </row>
    <row r="884">
      <c r="G884" s="80"/>
      <c r="H884" s="80"/>
    </row>
    <row r="885">
      <c r="G885" s="80"/>
      <c r="H885" s="80"/>
    </row>
    <row r="886">
      <c r="G886" s="80"/>
      <c r="H886" s="80"/>
    </row>
    <row r="887">
      <c r="G887" s="80"/>
      <c r="H887" s="80"/>
    </row>
    <row r="888">
      <c r="G888" s="80"/>
      <c r="H888" s="80"/>
    </row>
    <row r="889">
      <c r="G889" s="80"/>
      <c r="H889" s="80"/>
    </row>
    <row r="890">
      <c r="G890" s="80"/>
      <c r="H890" s="80"/>
    </row>
    <row r="891">
      <c r="G891" s="80"/>
      <c r="H891" s="80"/>
    </row>
    <row r="892">
      <c r="G892" s="80"/>
      <c r="H892" s="80"/>
    </row>
    <row r="893">
      <c r="G893" s="80"/>
      <c r="H893" s="80"/>
    </row>
    <row r="894">
      <c r="G894" s="80"/>
      <c r="H894" s="80"/>
    </row>
    <row r="895">
      <c r="G895" s="80"/>
      <c r="H895" s="80"/>
    </row>
    <row r="896">
      <c r="G896" s="80"/>
      <c r="H896" s="80"/>
    </row>
    <row r="897">
      <c r="G897" s="80"/>
      <c r="H897" s="80"/>
    </row>
    <row r="898">
      <c r="G898" s="80"/>
      <c r="H898" s="80"/>
    </row>
    <row r="899">
      <c r="G899" s="80"/>
      <c r="H899" s="80"/>
    </row>
    <row r="900">
      <c r="G900" s="80"/>
      <c r="H900" s="80"/>
    </row>
    <row r="901">
      <c r="G901" s="80"/>
      <c r="H901" s="80"/>
    </row>
    <row r="902">
      <c r="G902" s="80"/>
      <c r="H902" s="80"/>
    </row>
    <row r="903">
      <c r="G903" s="80"/>
      <c r="H903" s="80"/>
    </row>
    <row r="904">
      <c r="G904" s="80"/>
      <c r="H904" s="80"/>
    </row>
    <row r="905">
      <c r="G905" s="80"/>
      <c r="H905" s="80"/>
    </row>
    <row r="906">
      <c r="G906" s="80"/>
      <c r="H906" s="80"/>
    </row>
    <row r="907">
      <c r="G907" s="80"/>
      <c r="H907" s="80"/>
    </row>
    <row r="908">
      <c r="G908" s="80"/>
      <c r="H908" s="80"/>
    </row>
    <row r="909">
      <c r="G909" s="80"/>
      <c r="H909" s="80"/>
    </row>
    <row r="910">
      <c r="G910" s="80"/>
      <c r="H910" s="80"/>
    </row>
    <row r="911">
      <c r="G911" s="80"/>
      <c r="H911" s="80"/>
    </row>
    <row r="912">
      <c r="G912" s="80"/>
      <c r="H912" s="80"/>
    </row>
    <row r="913">
      <c r="G913" s="80"/>
      <c r="H913" s="80"/>
    </row>
    <row r="914">
      <c r="G914" s="80"/>
      <c r="H914" s="80"/>
    </row>
    <row r="915">
      <c r="G915" s="80"/>
      <c r="H915" s="80"/>
    </row>
    <row r="916">
      <c r="G916" s="80"/>
      <c r="H916" s="80"/>
    </row>
    <row r="917">
      <c r="G917" s="80"/>
      <c r="H917" s="80"/>
    </row>
    <row r="918">
      <c r="G918" s="80"/>
      <c r="H918" s="80"/>
    </row>
    <row r="919">
      <c r="G919" s="80"/>
      <c r="H919" s="80"/>
    </row>
    <row r="920">
      <c r="G920" s="80"/>
      <c r="H920" s="80"/>
    </row>
    <row r="921">
      <c r="G921" s="80"/>
      <c r="H921" s="80"/>
    </row>
    <row r="922">
      <c r="G922" s="80"/>
      <c r="H922" s="80"/>
    </row>
    <row r="923">
      <c r="G923" s="80"/>
      <c r="H923" s="80"/>
    </row>
    <row r="924">
      <c r="G924" s="80"/>
      <c r="H924" s="80"/>
    </row>
    <row r="925">
      <c r="G925" s="80"/>
      <c r="H925" s="80"/>
    </row>
    <row r="926">
      <c r="G926" s="80"/>
      <c r="H926" s="80"/>
    </row>
    <row r="927">
      <c r="G927" s="80"/>
      <c r="H927" s="80"/>
    </row>
    <row r="928">
      <c r="G928" s="80"/>
      <c r="H928" s="80"/>
    </row>
    <row r="929">
      <c r="G929" s="80"/>
      <c r="H929" s="80"/>
    </row>
    <row r="930">
      <c r="G930" s="80"/>
      <c r="H930" s="80"/>
    </row>
    <row r="931">
      <c r="G931" s="80"/>
      <c r="H931" s="80"/>
    </row>
    <row r="932">
      <c r="G932" s="80"/>
      <c r="H932" s="80"/>
    </row>
    <row r="933">
      <c r="G933" s="80"/>
      <c r="H933" s="80"/>
    </row>
    <row r="934">
      <c r="G934" s="80"/>
      <c r="H934" s="80"/>
    </row>
    <row r="935">
      <c r="G935" s="80"/>
      <c r="H935" s="80"/>
    </row>
    <row r="936">
      <c r="G936" s="80"/>
      <c r="H936" s="80"/>
    </row>
    <row r="937">
      <c r="G937" s="80"/>
      <c r="H937" s="80"/>
    </row>
    <row r="938">
      <c r="G938" s="80"/>
      <c r="H938" s="80"/>
    </row>
    <row r="939">
      <c r="G939" s="80"/>
      <c r="H939" s="80"/>
    </row>
    <row r="940">
      <c r="G940" s="80"/>
      <c r="H940" s="80"/>
    </row>
    <row r="941">
      <c r="G941" s="80"/>
      <c r="H941" s="80"/>
    </row>
    <row r="942">
      <c r="G942" s="80"/>
      <c r="H942" s="80"/>
    </row>
    <row r="943">
      <c r="G943" s="80"/>
      <c r="H943" s="80"/>
    </row>
    <row r="944">
      <c r="G944" s="80"/>
      <c r="H944" s="80"/>
    </row>
    <row r="945">
      <c r="G945" s="80"/>
      <c r="H945" s="80"/>
    </row>
    <row r="946">
      <c r="G946" s="80"/>
      <c r="H946" s="80"/>
    </row>
    <row r="947">
      <c r="G947" s="80"/>
      <c r="H947" s="80"/>
    </row>
    <row r="948">
      <c r="G948" s="80"/>
      <c r="H948" s="80"/>
    </row>
    <row r="949">
      <c r="G949" s="80"/>
      <c r="H949" s="80"/>
    </row>
    <row r="950">
      <c r="G950" s="80"/>
      <c r="H950" s="80"/>
    </row>
    <row r="951">
      <c r="G951" s="80"/>
      <c r="H951" s="80"/>
    </row>
    <row r="952">
      <c r="G952" s="80"/>
      <c r="H952" s="80"/>
    </row>
    <row r="953">
      <c r="G953" s="80"/>
      <c r="H953" s="80"/>
    </row>
    <row r="954">
      <c r="G954" s="80"/>
      <c r="H954" s="80"/>
    </row>
    <row r="955">
      <c r="G955" s="80"/>
      <c r="H955" s="80"/>
    </row>
    <row r="956">
      <c r="G956" s="80"/>
      <c r="H956" s="80"/>
    </row>
    <row r="957">
      <c r="G957" s="80"/>
      <c r="H957" s="80"/>
    </row>
    <row r="958">
      <c r="G958" s="80"/>
      <c r="H958" s="80"/>
    </row>
    <row r="959">
      <c r="G959" s="80"/>
      <c r="H959" s="80"/>
    </row>
    <row r="960">
      <c r="G960" s="80"/>
      <c r="H960" s="80"/>
    </row>
    <row r="961">
      <c r="G961" s="80"/>
      <c r="H961" s="80"/>
    </row>
    <row r="962">
      <c r="G962" s="80"/>
      <c r="H962" s="80"/>
    </row>
    <row r="963">
      <c r="G963" s="80"/>
      <c r="H963" s="80"/>
    </row>
    <row r="964">
      <c r="G964" s="80"/>
      <c r="H964" s="80"/>
    </row>
    <row r="965">
      <c r="G965" s="80"/>
      <c r="H965" s="80"/>
    </row>
    <row r="966">
      <c r="G966" s="80"/>
      <c r="H966" s="80"/>
    </row>
  </sheetData>
  <hyperlinks>
    <hyperlink r:id="rId1" ref="I2"/>
    <hyperlink r:id="rId2" ref="I3"/>
    <hyperlink r:id="rId3" ref="I4"/>
    <hyperlink r:id="rId4" ref="I5"/>
    <hyperlink r:id="rId5" ref="I6"/>
  </hyperlinks>
  <drawing r:id="rId6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682</v>
      </c>
      <c r="B1" s="13"/>
      <c r="C1" s="13"/>
      <c r="D1" s="13"/>
    </row>
    <row r="2">
      <c r="A2" s="13"/>
      <c r="B2" s="13" t="s">
        <v>19</v>
      </c>
      <c r="C2" s="13" t="s">
        <v>9</v>
      </c>
      <c r="D2" s="13" t="s">
        <v>13</v>
      </c>
      <c r="E2" s="13" t="s">
        <v>94</v>
      </c>
    </row>
    <row r="3">
      <c r="A3" s="13" t="s">
        <v>91</v>
      </c>
      <c r="B3" s="13">
        <v>-43.0</v>
      </c>
      <c r="D3" s="13">
        <v>-43.0</v>
      </c>
    </row>
    <row r="4">
      <c r="A4" s="13" t="s">
        <v>79</v>
      </c>
      <c r="B4" s="13">
        <v>-47.0</v>
      </c>
      <c r="C4" s="13">
        <v>-45.0</v>
      </c>
      <c r="D4" s="13">
        <v>-46.0</v>
      </c>
      <c r="E4" s="13">
        <v>-45.0</v>
      </c>
    </row>
    <row r="5">
      <c r="A5" s="13" t="s">
        <v>11</v>
      </c>
      <c r="B5" s="13">
        <v>-53.0</v>
      </c>
      <c r="C5" s="13">
        <v>-53.0</v>
      </c>
      <c r="D5" s="13">
        <v>-54.0</v>
      </c>
      <c r="E5" s="13">
        <v>-53.0</v>
      </c>
    </row>
    <row r="6">
      <c r="A6" s="13" t="s">
        <v>683</v>
      </c>
      <c r="B6" s="13">
        <v>-35.0</v>
      </c>
      <c r="C6" s="13">
        <v>-34.0</v>
      </c>
      <c r="D6" s="13">
        <v>-35.0</v>
      </c>
      <c r="E6" s="13">
        <v>-34.0</v>
      </c>
    </row>
    <row r="8">
      <c r="A8" s="13" t="s">
        <v>684</v>
      </c>
      <c r="B8" s="13"/>
      <c r="C8" s="13"/>
      <c r="D8" s="13"/>
    </row>
    <row r="9">
      <c r="A9" s="13"/>
      <c r="B9" s="13" t="s">
        <v>19</v>
      </c>
      <c r="C9" s="13" t="s">
        <v>9</v>
      </c>
      <c r="D9" s="13" t="s">
        <v>13</v>
      </c>
      <c r="E9" s="13" t="s">
        <v>94</v>
      </c>
    </row>
    <row r="10">
      <c r="A10" s="13" t="s">
        <v>91</v>
      </c>
      <c r="B10" s="13">
        <v>0.0</v>
      </c>
      <c r="C10" s="13">
        <v>1.0</v>
      </c>
      <c r="E10" s="13">
        <v>1.0</v>
      </c>
    </row>
    <row r="11">
      <c r="A11" s="13" t="s">
        <v>79</v>
      </c>
      <c r="B11" s="13">
        <v>-3.0</v>
      </c>
      <c r="C11" s="13">
        <v>-2.0</v>
      </c>
      <c r="E11" s="13">
        <v>0.0</v>
      </c>
    </row>
    <row r="12">
      <c r="A12" s="13" t="s">
        <v>11</v>
      </c>
      <c r="B12" s="13">
        <v>9.0</v>
      </c>
      <c r="C12" s="13">
        <v>9.0</v>
      </c>
      <c r="E12" s="13">
        <v>10.0</v>
      </c>
    </row>
    <row r="13">
      <c r="A13" s="13" t="s">
        <v>683</v>
      </c>
      <c r="B13" s="13">
        <v>-9.0</v>
      </c>
      <c r="C13" s="13">
        <v>-9.0</v>
      </c>
      <c r="E13" s="13">
        <v>-8.0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10.13"/>
    <col customWidth="1" min="7" max="7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413</v>
      </c>
      <c r="J1" s="1" t="s">
        <v>414</v>
      </c>
      <c r="K1" s="1" t="s">
        <v>415</v>
      </c>
      <c r="L1" s="1" t="s">
        <v>8</v>
      </c>
      <c r="M1" s="2"/>
    </row>
    <row r="2" hidden="1">
      <c r="A2" s="3">
        <v>75.0</v>
      </c>
      <c r="B2" s="4">
        <v>375.0</v>
      </c>
      <c r="C2" s="3">
        <f t="shared" ref="C2:C11" si="1">B2/A2</f>
        <v>5</v>
      </c>
      <c r="D2" s="3">
        <v>183.0</v>
      </c>
      <c r="E2" s="3" t="s">
        <v>9</v>
      </c>
      <c r="F2" s="3" t="s">
        <v>10</v>
      </c>
      <c r="G2" s="3" t="s">
        <v>11</v>
      </c>
      <c r="H2" s="5">
        <v>0.03228009259259259</v>
      </c>
      <c r="I2" s="47"/>
      <c r="J2" s="47"/>
      <c r="K2" s="47"/>
      <c r="L2" s="6" t="s">
        <v>12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idden="1">
      <c r="A3" s="3">
        <v>75.0</v>
      </c>
      <c r="B3" s="4">
        <v>375.0</v>
      </c>
      <c r="C3" s="3">
        <f t="shared" si="1"/>
        <v>5</v>
      </c>
      <c r="D3" s="3">
        <v>183.0</v>
      </c>
      <c r="E3" s="4" t="s">
        <v>13</v>
      </c>
      <c r="F3" s="4" t="s">
        <v>10</v>
      </c>
      <c r="G3" s="4" t="s">
        <v>14</v>
      </c>
      <c r="H3" s="5">
        <v>0.032511574074074075</v>
      </c>
      <c r="I3" s="47"/>
      <c r="J3" s="47"/>
      <c r="K3" s="47"/>
      <c r="L3" s="9" t="s">
        <v>15</v>
      </c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idden="1">
      <c r="A4" s="3">
        <v>75.0</v>
      </c>
      <c r="B4" s="4">
        <v>375.0</v>
      </c>
      <c r="C4" s="3">
        <f t="shared" si="1"/>
        <v>5</v>
      </c>
      <c r="D4" s="3">
        <v>183.0</v>
      </c>
      <c r="E4" s="4" t="s">
        <v>16</v>
      </c>
      <c r="F4" s="4" t="s">
        <v>10</v>
      </c>
      <c r="G4" s="10" t="s">
        <v>17</v>
      </c>
      <c r="H4" s="5">
        <v>0.03305555555555555</v>
      </c>
      <c r="I4" s="47"/>
      <c r="J4" s="47"/>
      <c r="K4" s="47"/>
      <c r="L4" s="9" t="s">
        <v>18</v>
      </c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idden="1">
      <c r="A5" s="10">
        <v>100.0</v>
      </c>
      <c r="B5" s="10">
        <v>400.0</v>
      </c>
      <c r="C5" s="10">
        <f t="shared" si="1"/>
        <v>4</v>
      </c>
      <c r="D5" s="10">
        <v>183.0</v>
      </c>
      <c r="E5" s="10" t="s">
        <v>19</v>
      </c>
      <c r="F5" s="10" t="s">
        <v>10</v>
      </c>
      <c r="G5" s="10" t="s">
        <v>17</v>
      </c>
      <c r="H5" s="11">
        <v>0.033900462962962966</v>
      </c>
      <c r="I5" s="48"/>
      <c r="J5" s="48"/>
      <c r="K5" s="48"/>
      <c r="L5" s="12" t="s">
        <v>20</v>
      </c>
      <c r="M5" s="2"/>
    </row>
    <row r="6">
      <c r="A6" s="3">
        <v>75.0</v>
      </c>
      <c r="B6" s="3">
        <v>300.0</v>
      </c>
      <c r="C6" s="3">
        <f t="shared" si="1"/>
        <v>4</v>
      </c>
      <c r="D6" s="3">
        <v>183.0</v>
      </c>
      <c r="E6" s="10" t="s">
        <v>73</v>
      </c>
      <c r="F6" s="10" t="s">
        <v>10</v>
      </c>
      <c r="G6" s="10" t="s">
        <v>73</v>
      </c>
      <c r="H6" s="11">
        <v>0.049444444444444444</v>
      </c>
      <c r="I6" s="49">
        <v>0.004872685185185185</v>
      </c>
      <c r="J6" s="49">
        <v>0.00474537037037037</v>
      </c>
      <c r="K6" s="49">
        <v>0.008703703703703703</v>
      </c>
      <c r="L6" s="9" t="s">
        <v>416</v>
      </c>
      <c r="M6" s="7"/>
      <c r="N6" s="8"/>
      <c r="O6" s="14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3">
        <v>75.0</v>
      </c>
      <c r="B7" s="3">
        <v>300.0</v>
      </c>
      <c r="C7" s="3">
        <f t="shared" si="1"/>
        <v>4</v>
      </c>
      <c r="D7" s="3">
        <v>183.0</v>
      </c>
      <c r="E7" s="4" t="s">
        <v>13</v>
      </c>
      <c r="F7" s="10" t="s">
        <v>10</v>
      </c>
      <c r="G7" s="4" t="s">
        <v>14</v>
      </c>
      <c r="H7" s="11">
        <v>0.04960648148148148</v>
      </c>
      <c r="I7" s="49">
        <v>0.004861111111111111</v>
      </c>
      <c r="J7" s="49">
        <v>0.00474537037037037</v>
      </c>
      <c r="K7" s="49">
        <v>0.008703703703703703</v>
      </c>
      <c r="L7" s="9" t="s">
        <v>417</v>
      </c>
      <c r="M7" s="7"/>
      <c r="N7" s="8"/>
      <c r="O7" s="14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3">
        <v>75.0</v>
      </c>
      <c r="B8" s="3">
        <v>300.0</v>
      </c>
      <c r="C8" s="3">
        <f t="shared" si="1"/>
        <v>4</v>
      </c>
      <c r="D8" s="3">
        <v>183.0</v>
      </c>
      <c r="E8" s="4" t="s">
        <v>94</v>
      </c>
      <c r="F8" s="10" t="s">
        <v>10</v>
      </c>
      <c r="G8" s="4" t="s">
        <v>133</v>
      </c>
      <c r="H8" s="11">
        <v>0.04987268518518519</v>
      </c>
      <c r="I8" s="49">
        <v>0.004861111111111111</v>
      </c>
      <c r="J8" s="49">
        <v>0.004733796296296297</v>
      </c>
      <c r="K8" s="49">
        <v>0.008703703703703703</v>
      </c>
      <c r="L8" s="9" t="s">
        <v>418</v>
      </c>
      <c r="M8" s="7"/>
      <c r="N8" s="8"/>
      <c r="O8" s="14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3">
        <v>75.0</v>
      </c>
      <c r="B9" s="3">
        <v>300.0</v>
      </c>
      <c r="C9" s="3">
        <f t="shared" si="1"/>
        <v>4</v>
      </c>
      <c r="D9" s="3">
        <v>183.0</v>
      </c>
      <c r="E9" s="10" t="s">
        <v>9</v>
      </c>
      <c r="F9" s="10" t="s">
        <v>10</v>
      </c>
      <c r="G9" s="4" t="s">
        <v>124</v>
      </c>
      <c r="H9" s="11">
        <v>0.049652777777777775</v>
      </c>
      <c r="I9" s="49">
        <v>0.004872685185185185</v>
      </c>
      <c r="J9" s="49">
        <v>0.00474537037037037</v>
      </c>
      <c r="K9" s="49">
        <v>0.008715277777777778</v>
      </c>
      <c r="L9" s="9" t="s">
        <v>419</v>
      </c>
      <c r="M9" s="7"/>
      <c r="N9" s="8"/>
      <c r="O9" s="14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 t="s">
        <v>9</v>
      </c>
      <c r="F10" s="10" t="s">
        <v>10</v>
      </c>
      <c r="G10" s="10" t="s">
        <v>11</v>
      </c>
      <c r="H10" s="11">
        <v>0.04950231481481481</v>
      </c>
      <c r="I10" s="49">
        <v>0.004884259259259259</v>
      </c>
      <c r="J10" s="49">
        <v>0.004768518518518518</v>
      </c>
      <c r="K10" s="49">
        <v>0.008738425925925926</v>
      </c>
      <c r="L10" s="12" t="s">
        <v>420</v>
      </c>
      <c r="M10" s="2"/>
    </row>
    <row r="11">
      <c r="A11" s="3">
        <v>75.0</v>
      </c>
      <c r="B11" s="3">
        <v>300.0</v>
      </c>
      <c r="C11" s="3">
        <f t="shared" si="1"/>
        <v>4</v>
      </c>
      <c r="D11" s="3">
        <v>183.0</v>
      </c>
      <c r="E11" s="4" t="s">
        <v>16</v>
      </c>
      <c r="F11" s="10" t="s">
        <v>10</v>
      </c>
      <c r="G11" s="4" t="s">
        <v>17</v>
      </c>
      <c r="H11" s="11">
        <v>0.05049768518518519</v>
      </c>
      <c r="I11" s="49">
        <v>0.00494212962962963</v>
      </c>
      <c r="J11" s="49">
        <v>0.004837962962962963</v>
      </c>
      <c r="K11" s="49">
        <v>0.008877314814814815</v>
      </c>
      <c r="L11" s="9" t="s">
        <v>421</v>
      </c>
      <c r="M11" s="7"/>
      <c r="N11" s="8"/>
      <c r="O11" s="14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0"/>
      <c r="B12" s="10"/>
      <c r="C12" s="10"/>
      <c r="D12" s="10"/>
      <c r="E12" s="10"/>
      <c r="F12" s="10"/>
      <c r="G12" s="10"/>
      <c r="H12" s="11"/>
      <c r="I12" s="50"/>
      <c r="J12" s="50"/>
      <c r="K12" s="50"/>
      <c r="L12" s="17"/>
      <c r="M12" s="2"/>
    </row>
    <row r="13">
      <c r="A13" s="10"/>
      <c r="B13" s="10"/>
      <c r="C13" s="10"/>
      <c r="D13" s="10"/>
      <c r="E13" s="10"/>
      <c r="F13" s="10"/>
      <c r="G13" s="10"/>
      <c r="H13" s="11"/>
      <c r="I13" s="50"/>
      <c r="J13" s="50"/>
      <c r="K13" s="50"/>
      <c r="L13" s="17"/>
      <c r="M13" s="2"/>
    </row>
    <row r="14">
      <c r="A14" s="10"/>
      <c r="B14" s="10"/>
      <c r="C14" s="10"/>
      <c r="D14" s="10"/>
      <c r="E14" s="10"/>
      <c r="F14" s="10"/>
      <c r="G14" s="10"/>
      <c r="H14" s="11"/>
      <c r="I14" s="50"/>
      <c r="J14" s="50"/>
      <c r="K14" s="50"/>
      <c r="L14" s="17"/>
      <c r="M14" s="2"/>
    </row>
    <row r="15">
      <c r="A15" s="10"/>
      <c r="B15" s="10"/>
      <c r="C15" s="10"/>
      <c r="D15" s="10"/>
      <c r="E15" s="10"/>
      <c r="F15" s="10"/>
      <c r="G15" s="10"/>
      <c r="H15" s="11"/>
      <c r="I15" s="50"/>
      <c r="J15" s="50"/>
      <c r="K15" s="50"/>
      <c r="L15" s="17"/>
      <c r="M15" s="2"/>
    </row>
    <row r="16">
      <c r="A16" s="10"/>
      <c r="B16" s="10"/>
      <c r="C16" s="10"/>
      <c r="D16" s="10"/>
      <c r="E16" s="10"/>
      <c r="F16" s="10"/>
      <c r="G16" s="10"/>
      <c r="H16" s="11"/>
      <c r="I16" s="50"/>
      <c r="J16" s="50"/>
      <c r="K16" s="50"/>
      <c r="L16" s="17"/>
      <c r="M16" s="2"/>
    </row>
    <row r="17">
      <c r="A17" s="10"/>
      <c r="B17" s="10"/>
      <c r="C17" s="10"/>
      <c r="D17" s="10"/>
      <c r="E17" s="10"/>
      <c r="F17" s="10"/>
      <c r="G17" s="10"/>
      <c r="H17" s="11"/>
      <c r="I17" s="50"/>
      <c r="J17" s="50"/>
      <c r="K17" s="50"/>
      <c r="L17" s="17"/>
      <c r="M17" s="2"/>
    </row>
    <row r="18">
      <c r="A18" s="10"/>
      <c r="B18" s="10"/>
      <c r="C18" s="10"/>
      <c r="D18" s="10"/>
      <c r="E18" s="10"/>
      <c r="F18" s="10"/>
      <c r="G18" s="10"/>
      <c r="H18" s="11"/>
      <c r="I18" s="50"/>
      <c r="J18" s="50"/>
      <c r="K18" s="50"/>
      <c r="L18" s="17"/>
      <c r="M18" s="2"/>
    </row>
    <row r="19">
      <c r="A19" s="10"/>
      <c r="B19" s="10"/>
      <c r="C19" s="10"/>
      <c r="D19" s="10"/>
      <c r="E19" s="10"/>
      <c r="F19" s="10"/>
      <c r="G19" s="10"/>
      <c r="H19" s="48"/>
      <c r="I19" s="48"/>
      <c r="J19" s="48"/>
      <c r="K19" s="48"/>
      <c r="L19" s="17"/>
      <c r="M19" s="2"/>
    </row>
    <row r="20">
      <c r="A20" s="10"/>
      <c r="B20" s="10"/>
      <c r="C20" s="10"/>
      <c r="D20" s="10"/>
      <c r="E20" s="10"/>
      <c r="F20" s="10"/>
      <c r="G20" s="10"/>
      <c r="H20" s="48"/>
      <c r="I20" s="48"/>
      <c r="J20" s="48"/>
      <c r="K20" s="48"/>
      <c r="L20" s="17"/>
      <c r="M20" s="2"/>
    </row>
    <row r="21">
      <c r="A21" s="3"/>
      <c r="B21" s="3"/>
      <c r="C21" s="3"/>
      <c r="D21" s="3"/>
      <c r="E21" s="4"/>
      <c r="F21" s="4"/>
      <c r="G21" s="4"/>
      <c r="H21" s="48"/>
      <c r="I21" s="48"/>
      <c r="J21" s="48"/>
      <c r="K21" s="48"/>
      <c r="L21" s="9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10"/>
      <c r="B22" s="10"/>
      <c r="C22" s="10"/>
      <c r="D22" s="10"/>
      <c r="E22" s="10"/>
      <c r="F22" s="10"/>
      <c r="G22" s="10"/>
      <c r="H22" s="48"/>
      <c r="I22" s="48"/>
      <c r="J22" s="48"/>
      <c r="K22" s="48"/>
      <c r="L22" s="17"/>
      <c r="M22" s="2"/>
    </row>
    <row r="23">
      <c r="A23" s="10"/>
      <c r="B23" s="10"/>
      <c r="C23" s="10"/>
      <c r="D23" s="10"/>
      <c r="E23" s="10"/>
      <c r="F23" s="10"/>
      <c r="G23" s="10"/>
      <c r="H23" s="48"/>
      <c r="I23" s="48"/>
      <c r="J23" s="48"/>
      <c r="K23" s="48"/>
      <c r="L23" s="17"/>
      <c r="M23" s="2"/>
    </row>
    <row r="24">
      <c r="A24" s="10"/>
      <c r="B24" s="10"/>
      <c r="C24" s="10"/>
      <c r="D24" s="10"/>
      <c r="E24" s="10"/>
      <c r="F24" s="10"/>
      <c r="G24" s="10"/>
      <c r="H24" s="48"/>
      <c r="I24" s="48"/>
      <c r="J24" s="48"/>
      <c r="K24" s="48"/>
      <c r="L24" s="17"/>
      <c r="M24" s="2"/>
    </row>
    <row r="25">
      <c r="A25" s="10"/>
      <c r="B25" s="10"/>
      <c r="C25" s="10"/>
      <c r="D25" s="10"/>
      <c r="E25" s="10"/>
      <c r="F25" s="10"/>
      <c r="G25" s="10"/>
      <c r="H25" s="48"/>
      <c r="I25" s="48"/>
      <c r="J25" s="48"/>
      <c r="K25" s="48"/>
      <c r="L25" s="17"/>
      <c r="M25" s="2"/>
    </row>
    <row r="26">
      <c r="A26" s="10"/>
      <c r="B26" s="10"/>
      <c r="C26" s="10"/>
      <c r="D26" s="10"/>
      <c r="E26" s="10"/>
      <c r="F26" s="10"/>
      <c r="G26" s="10"/>
      <c r="H26" s="48"/>
      <c r="I26" s="48"/>
      <c r="J26" s="48"/>
      <c r="K26" s="48"/>
      <c r="L26" s="17"/>
      <c r="M26" s="2"/>
    </row>
    <row r="27">
      <c r="A27" s="10"/>
      <c r="B27" s="10"/>
      <c r="C27" s="10"/>
      <c r="D27" s="10"/>
      <c r="E27" s="10"/>
      <c r="F27" s="10"/>
      <c r="G27" s="10"/>
      <c r="H27" s="48"/>
      <c r="I27" s="48"/>
      <c r="J27" s="48"/>
      <c r="K27" s="48"/>
      <c r="L27" s="17"/>
      <c r="M27" s="2"/>
    </row>
    <row r="28">
      <c r="A28" s="10"/>
      <c r="B28" s="10"/>
      <c r="C28" s="10"/>
      <c r="D28" s="10"/>
      <c r="E28" s="10"/>
      <c r="F28" s="10"/>
      <c r="G28" s="10"/>
      <c r="H28" s="48"/>
      <c r="I28" s="48"/>
      <c r="J28" s="48"/>
      <c r="K28" s="48"/>
      <c r="L28" s="17"/>
      <c r="M28" s="2"/>
    </row>
    <row r="29">
      <c r="A29" s="10"/>
      <c r="B29" s="10"/>
      <c r="C29" s="10"/>
      <c r="D29" s="10"/>
      <c r="E29" s="10"/>
      <c r="F29" s="10"/>
      <c r="G29" s="10"/>
      <c r="H29" s="48"/>
      <c r="I29" s="48"/>
      <c r="J29" s="48"/>
      <c r="K29" s="48"/>
      <c r="L29" s="15"/>
      <c r="M29" s="2"/>
      <c r="O29" s="51"/>
    </row>
    <row r="30">
      <c r="A30" s="10"/>
      <c r="B30" s="10"/>
      <c r="C30" s="10"/>
      <c r="D30" s="10"/>
      <c r="E30" s="10"/>
      <c r="F30" s="10"/>
      <c r="G30" s="10"/>
      <c r="H30" s="48"/>
      <c r="I30" s="48"/>
      <c r="J30" s="48"/>
      <c r="K30" s="48"/>
      <c r="L30" s="17"/>
      <c r="M30" s="2"/>
    </row>
    <row r="31">
      <c r="A31" s="10"/>
      <c r="B31" s="10"/>
      <c r="C31" s="10"/>
      <c r="D31" s="10"/>
      <c r="E31" s="10"/>
      <c r="F31" s="10"/>
      <c r="G31" s="10"/>
      <c r="H31" s="48"/>
      <c r="I31" s="48"/>
      <c r="J31" s="48"/>
      <c r="K31" s="48"/>
      <c r="L31" s="17"/>
      <c r="M31" s="2"/>
    </row>
    <row r="32">
      <c r="A32" s="10"/>
      <c r="B32" s="10"/>
      <c r="C32" s="10"/>
      <c r="D32" s="10"/>
      <c r="E32" s="10"/>
      <c r="F32" s="10"/>
      <c r="G32" s="10"/>
      <c r="H32" s="48"/>
      <c r="I32" s="48"/>
      <c r="J32" s="48"/>
      <c r="K32" s="48"/>
      <c r="L32" s="17"/>
      <c r="M32" s="2"/>
    </row>
    <row r="33">
      <c r="A33" s="20"/>
      <c r="B33" s="20"/>
      <c r="C33" s="20"/>
      <c r="D33" s="20"/>
      <c r="E33" s="20"/>
      <c r="F33" s="20"/>
      <c r="G33" s="10"/>
      <c r="H33" s="48"/>
      <c r="I33" s="48"/>
      <c r="J33" s="48"/>
      <c r="K33" s="48"/>
      <c r="L33" s="1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10"/>
      <c r="B34" s="10"/>
      <c r="C34" s="10"/>
      <c r="D34" s="10"/>
      <c r="E34" s="10"/>
      <c r="F34" s="10"/>
      <c r="G34" s="10"/>
      <c r="H34" s="48"/>
      <c r="I34" s="48"/>
      <c r="J34" s="48"/>
      <c r="K34" s="48"/>
      <c r="L34" s="2"/>
      <c r="M34" s="2"/>
    </row>
    <row r="35">
      <c r="A35" s="10"/>
      <c r="B35" s="10"/>
      <c r="C35" s="10"/>
      <c r="D35" s="10"/>
      <c r="E35" s="10"/>
      <c r="F35" s="10"/>
      <c r="G35" s="10"/>
      <c r="H35" s="48"/>
      <c r="I35" s="48"/>
      <c r="J35" s="48"/>
      <c r="K35" s="48"/>
      <c r="L35" s="17"/>
      <c r="M35" s="2"/>
    </row>
    <row r="36">
      <c r="A36" s="10"/>
      <c r="B36" s="10"/>
      <c r="C36" s="10"/>
      <c r="D36" s="10"/>
      <c r="E36" s="10"/>
      <c r="F36" s="10"/>
      <c r="G36" s="10"/>
      <c r="H36" s="48"/>
      <c r="I36" s="48"/>
      <c r="J36" s="48"/>
      <c r="K36" s="48"/>
      <c r="L36" s="2"/>
      <c r="M36" s="2"/>
    </row>
    <row r="37">
      <c r="A37" s="10"/>
      <c r="B37" s="10"/>
      <c r="C37" s="10"/>
      <c r="D37" s="10"/>
      <c r="E37" s="10"/>
      <c r="F37" s="10"/>
      <c r="G37" s="10"/>
      <c r="H37" s="48"/>
      <c r="I37" s="48"/>
      <c r="J37" s="48"/>
      <c r="K37" s="48"/>
      <c r="L37" s="17"/>
      <c r="M37" s="2"/>
    </row>
    <row r="38">
      <c r="A38" s="10"/>
      <c r="B38" s="10"/>
      <c r="C38" s="10"/>
      <c r="D38" s="10"/>
      <c r="E38" s="10"/>
      <c r="F38" s="10"/>
      <c r="G38" s="10"/>
      <c r="H38" s="48"/>
      <c r="I38" s="48"/>
      <c r="J38" s="48"/>
      <c r="K38" s="48"/>
      <c r="L38" s="2"/>
      <c r="M38" s="2"/>
    </row>
    <row r="39">
      <c r="A39" s="10"/>
      <c r="B39" s="10"/>
      <c r="C39" s="10"/>
      <c r="D39" s="10"/>
      <c r="E39" s="10"/>
      <c r="F39" s="10"/>
      <c r="G39" s="10"/>
      <c r="H39" s="48"/>
      <c r="I39" s="48"/>
      <c r="J39" s="48"/>
      <c r="K39" s="48"/>
      <c r="L39" s="17"/>
      <c r="M39" s="2"/>
    </row>
    <row r="40">
      <c r="A40" s="10"/>
      <c r="B40" s="10"/>
      <c r="C40" s="10"/>
      <c r="D40" s="10"/>
      <c r="E40" s="10"/>
      <c r="F40" s="10"/>
      <c r="G40" s="10"/>
      <c r="H40" s="48"/>
      <c r="I40" s="48"/>
      <c r="J40" s="48"/>
      <c r="K40" s="48"/>
      <c r="L40" s="17"/>
      <c r="M40" s="2"/>
    </row>
    <row r="41">
      <c r="A41" s="10"/>
      <c r="B41" s="10"/>
      <c r="C41" s="10"/>
      <c r="D41" s="10"/>
      <c r="E41" s="10"/>
      <c r="F41" s="10"/>
      <c r="G41" s="10"/>
      <c r="H41" s="48"/>
      <c r="I41" s="48"/>
      <c r="J41" s="48"/>
      <c r="K41" s="48"/>
      <c r="L41" s="17"/>
      <c r="M41" s="2"/>
    </row>
    <row r="42">
      <c r="A42" s="10"/>
      <c r="B42" s="10"/>
      <c r="C42" s="10"/>
      <c r="D42" s="10"/>
      <c r="E42" s="10"/>
      <c r="F42" s="10"/>
      <c r="G42" s="10"/>
      <c r="H42" s="48"/>
      <c r="I42" s="48"/>
      <c r="J42" s="48"/>
      <c r="K42" s="48"/>
      <c r="L42" s="2"/>
      <c r="M42" s="2"/>
    </row>
    <row r="43">
      <c r="A43" s="10"/>
      <c r="B43" s="10"/>
      <c r="C43" s="10"/>
      <c r="D43" s="10"/>
      <c r="E43" s="10"/>
      <c r="F43" s="10"/>
      <c r="G43" s="10"/>
      <c r="H43" s="48"/>
      <c r="I43" s="48"/>
      <c r="J43" s="48"/>
      <c r="K43" s="48"/>
      <c r="L43" s="17"/>
      <c r="M43" s="2"/>
    </row>
    <row r="44">
      <c r="A44" s="10"/>
      <c r="B44" s="10"/>
      <c r="C44" s="10"/>
      <c r="D44" s="10"/>
      <c r="E44" s="10"/>
      <c r="F44" s="10"/>
      <c r="G44" s="10"/>
      <c r="H44" s="48"/>
      <c r="I44" s="48"/>
      <c r="J44" s="48"/>
      <c r="K44" s="48"/>
      <c r="L44" s="17"/>
      <c r="M44" s="2"/>
    </row>
    <row r="45">
      <c r="A45" s="10"/>
      <c r="B45" s="10"/>
      <c r="C45" s="10"/>
      <c r="D45" s="10"/>
      <c r="E45" s="10"/>
      <c r="F45" s="10"/>
      <c r="G45" s="10"/>
      <c r="H45" s="48"/>
      <c r="I45" s="48"/>
      <c r="J45" s="48"/>
      <c r="K45" s="48"/>
      <c r="L45" s="17"/>
      <c r="M45" s="2"/>
    </row>
    <row r="46">
      <c r="A46" s="10"/>
      <c r="B46" s="10"/>
      <c r="C46" s="10"/>
      <c r="D46" s="10"/>
      <c r="E46" s="10"/>
      <c r="F46" s="10"/>
      <c r="G46" s="10"/>
      <c r="H46" s="48"/>
      <c r="I46" s="48"/>
      <c r="J46" s="48"/>
      <c r="K46" s="48"/>
      <c r="L46" s="17"/>
      <c r="M46" s="2"/>
    </row>
    <row r="47">
      <c r="A47" s="10"/>
      <c r="B47" s="10"/>
      <c r="C47" s="10"/>
      <c r="D47" s="10"/>
      <c r="E47" s="10"/>
      <c r="F47" s="10"/>
      <c r="G47" s="10"/>
      <c r="H47" s="48"/>
      <c r="I47" s="48"/>
      <c r="J47" s="48"/>
      <c r="K47" s="48"/>
      <c r="L47" s="2"/>
      <c r="M47" s="2"/>
    </row>
    <row r="48">
      <c r="A48" s="10"/>
      <c r="B48" s="10"/>
      <c r="C48" s="10"/>
      <c r="D48" s="10"/>
      <c r="E48" s="10"/>
      <c r="F48" s="10"/>
      <c r="G48" s="10"/>
      <c r="H48" s="48"/>
      <c r="I48" s="48"/>
      <c r="J48" s="48"/>
      <c r="K48" s="48"/>
      <c r="L48" s="2"/>
      <c r="M48" s="2"/>
    </row>
    <row r="49">
      <c r="A49" s="10"/>
      <c r="B49" s="10"/>
      <c r="C49" s="10"/>
      <c r="D49" s="10"/>
      <c r="E49" s="10"/>
      <c r="F49" s="10"/>
      <c r="G49" s="10"/>
      <c r="H49" s="48"/>
      <c r="I49" s="48"/>
      <c r="J49" s="48"/>
      <c r="K49" s="48"/>
      <c r="L49" s="2"/>
      <c r="M49" s="2"/>
    </row>
    <row r="50">
      <c r="A50" s="10"/>
      <c r="B50" s="10"/>
      <c r="C50" s="10"/>
      <c r="D50" s="10"/>
      <c r="E50" s="10"/>
      <c r="F50" s="10"/>
      <c r="G50" s="10"/>
      <c r="H50" s="48"/>
      <c r="I50" s="48"/>
      <c r="J50" s="48"/>
      <c r="K50" s="48"/>
      <c r="L50" s="17"/>
      <c r="M50" s="2"/>
    </row>
    <row r="51">
      <c r="A51" s="3"/>
      <c r="B51" s="3"/>
      <c r="C51" s="3"/>
      <c r="D51" s="3"/>
      <c r="E51" s="4"/>
      <c r="F51" s="4"/>
      <c r="G51" s="4"/>
      <c r="H51" s="48"/>
      <c r="I51" s="48"/>
      <c r="J51" s="48"/>
      <c r="K51" s="48"/>
      <c r="L51" s="9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10"/>
      <c r="B52" s="10"/>
      <c r="C52" s="10"/>
      <c r="D52" s="10"/>
      <c r="E52" s="10"/>
      <c r="F52" s="10"/>
      <c r="G52" s="10"/>
      <c r="H52" s="48"/>
      <c r="I52" s="48"/>
      <c r="J52" s="48"/>
      <c r="K52" s="48"/>
      <c r="L52" s="2"/>
      <c r="M52" s="2"/>
    </row>
    <row r="53">
      <c r="A53" s="10"/>
      <c r="B53" s="10"/>
      <c r="C53" s="10"/>
      <c r="D53" s="10"/>
      <c r="E53" s="10"/>
      <c r="F53" s="10"/>
      <c r="G53" s="10"/>
      <c r="H53" s="48"/>
      <c r="I53" s="48"/>
      <c r="J53" s="48"/>
      <c r="K53" s="48"/>
      <c r="L53" s="2"/>
      <c r="M53" s="2"/>
    </row>
    <row r="54">
      <c r="A54" s="10"/>
      <c r="B54" s="10"/>
      <c r="C54" s="10"/>
      <c r="D54" s="10"/>
      <c r="E54" s="10"/>
      <c r="F54" s="10"/>
      <c r="G54" s="10"/>
      <c r="H54" s="48"/>
      <c r="I54" s="48"/>
      <c r="J54" s="48"/>
      <c r="K54" s="48"/>
      <c r="L54" s="17"/>
      <c r="M54" s="2"/>
    </row>
    <row r="55">
      <c r="A55" s="10"/>
      <c r="B55" s="10"/>
      <c r="C55" s="10"/>
      <c r="D55" s="10"/>
      <c r="E55" s="10"/>
      <c r="F55" s="10"/>
      <c r="G55" s="10"/>
      <c r="H55" s="48"/>
      <c r="I55" s="48"/>
      <c r="J55" s="48"/>
      <c r="K55" s="48"/>
      <c r="L55" s="17"/>
      <c r="M55" s="2"/>
    </row>
    <row r="56">
      <c r="A56" s="10"/>
      <c r="B56" s="10"/>
      <c r="C56" s="10"/>
      <c r="D56" s="10"/>
      <c r="E56" s="10"/>
      <c r="F56" s="10"/>
      <c r="G56" s="10"/>
      <c r="H56" s="48"/>
      <c r="I56" s="48"/>
      <c r="J56" s="48"/>
      <c r="K56" s="48"/>
      <c r="L56" s="2"/>
      <c r="M56" s="2"/>
    </row>
    <row r="57">
      <c r="A57" s="10"/>
      <c r="B57" s="10"/>
      <c r="C57" s="10"/>
      <c r="D57" s="10"/>
      <c r="E57" s="10"/>
      <c r="F57" s="10"/>
      <c r="G57" s="10"/>
      <c r="H57" s="48"/>
      <c r="I57" s="48"/>
      <c r="J57" s="48"/>
      <c r="K57" s="48"/>
      <c r="L57" s="17"/>
      <c r="M57" s="2"/>
    </row>
    <row r="58">
      <c r="A58" s="10"/>
      <c r="B58" s="10"/>
      <c r="C58" s="10"/>
      <c r="D58" s="10"/>
      <c r="E58" s="10"/>
      <c r="F58" s="10"/>
      <c r="G58" s="10"/>
      <c r="H58" s="48"/>
      <c r="I58" s="48"/>
      <c r="J58" s="48"/>
      <c r="K58" s="48"/>
      <c r="L58" s="17"/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10"/>
      <c r="B59" s="10"/>
      <c r="C59" s="10"/>
      <c r="D59" s="10"/>
      <c r="E59" s="10"/>
      <c r="F59" s="10"/>
      <c r="G59" s="10"/>
      <c r="H59" s="48"/>
      <c r="I59" s="48"/>
      <c r="J59" s="48"/>
      <c r="K59" s="48"/>
      <c r="L59" s="17"/>
      <c r="M59" s="2"/>
    </row>
    <row r="60">
      <c r="A60" s="10"/>
      <c r="B60" s="10"/>
      <c r="C60" s="10"/>
      <c r="D60" s="10"/>
      <c r="E60" s="10"/>
      <c r="F60" s="10"/>
      <c r="G60" s="10"/>
      <c r="H60" s="48"/>
      <c r="I60" s="48"/>
      <c r="J60" s="48"/>
      <c r="K60" s="48"/>
      <c r="L60" s="17"/>
      <c r="M60" s="2"/>
    </row>
    <row r="61">
      <c r="A61" s="10"/>
      <c r="B61" s="10"/>
      <c r="C61" s="10"/>
      <c r="D61" s="10"/>
      <c r="E61" s="10"/>
      <c r="F61" s="10"/>
      <c r="G61" s="10"/>
      <c r="H61" s="5"/>
      <c r="I61" s="48"/>
      <c r="J61" s="48"/>
      <c r="K61" s="48"/>
      <c r="L61" s="2"/>
      <c r="M61" s="2"/>
    </row>
    <row r="62">
      <c r="A62" s="10"/>
      <c r="B62" s="10"/>
      <c r="C62" s="10"/>
      <c r="D62" s="10"/>
      <c r="E62" s="10"/>
      <c r="F62" s="10"/>
      <c r="G62" s="10"/>
      <c r="H62" s="11"/>
      <c r="I62" s="48"/>
      <c r="J62" s="48"/>
      <c r="K62" s="48"/>
      <c r="L62" s="17"/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10"/>
      <c r="B63" s="10"/>
      <c r="C63" s="10"/>
      <c r="D63" s="10"/>
      <c r="E63" s="10"/>
      <c r="F63" s="10"/>
      <c r="G63" s="10"/>
      <c r="H63" s="11"/>
      <c r="I63" s="48"/>
      <c r="J63" s="48"/>
      <c r="K63" s="48"/>
      <c r="L63" s="17"/>
      <c r="M63" s="2"/>
    </row>
    <row r="64">
      <c r="A64" s="10"/>
      <c r="B64" s="10"/>
      <c r="C64" s="10"/>
      <c r="D64" s="10"/>
      <c r="E64" s="10"/>
      <c r="F64" s="10"/>
      <c r="G64" s="10"/>
      <c r="H64" s="5"/>
      <c r="I64" s="48"/>
      <c r="J64" s="48"/>
      <c r="K64" s="48"/>
      <c r="L64" s="2"/>
      <c r="M64" s="2"/>
    </row>
    <row r="65">
      <c r="A65" s="10"/>
      <c r="B65" s="10"/>
      <c r="C65" s="10"/>
      <c r="D65" s="10"/>
      <c r="E65" s="10"/>
      <c r="F65" s="10"/>
      <c r="G65" s="10"/>
      <c r="H65" s="11"/>
      <c r="I65" s="48"/>
      <c r="J65" s="48"/>
      <c r="K65" s="48"/>
      <c r="L65" s="17"/>
      <c r="M65" s="2"/>
    </row>
    <row r="66">
      <c r="A66" s="10"/>
      <c r="B66" s="10"/>
      <c r="C66" s="10"/>
      <c r="D66" s="10"/>
      <c r="E66" s="10"/>
      <c r="F66" s="10"/>
      <c r="G66" s="10"/>
      <c r="H66" s="11"/>
      <c r="I66" s="48"/>
      <c r="J66" s="48"/>
      <c r="K66" s="48"/>
      <c r="L66" s="17"/>
      <c r="M66" s="2"/>
    </row>
    <row r="67">
      <c r="A67" s="10"/>
      <c r="B67" s="10"/>
      <c r="C67" s="10"/>
      <c r="D67" s="10"/>
      <c r="E67" s="10"/>
      <c r="F67" s="10"/>
      <c r="G67" s="10"/>
      <c r="H67" s="11"/>
      <c r="I67" s="48"/>
      <c r="J67" s="48"/>
      <c r="K67" s="48"/>
      <c r="L67" s="17"/>
      <c r="M67" s="2"/>
    </row>
    <row r="68">
      <c r="A68" s="10"/>
      <c r="B68" s="10"/>
      <c r="C68" s="10"/>
      <c r="D68" s="10"/>
      <c r="E68" s="10"/>
      <c r="F68" s="10"/>
      <c r="G68" s="10"/>
      <c r="H68" s="11"/>
      <c r="I68" s="48"/>
      <c r="J68" s="48"/>
      <c r="K68" s="48"/>
      <c r="L68" s="17"/>
      <c r="M68" s="2"/>
    </row>
    <row r="69">
      <c r="A69" s="10"/>
      <c r="B69" s="10"/>
      <c r="C69" s="10"/>
      <c r="D69" s="10"/>
      <c r="E69" s="10"/>
      <c r="F69" s="10"/>
      <c r="G69" s="10"/>
      <c r="H69" s="5"/>
      <c r="I69" s="48"/>
      <c r="J69" s="48"/>
      <c r="K69" s="48"/>
      <c r="L69" s="2"/>
      <c r="M69" s="2"/>
    </row>
    <row r="70">
      <c r="A70" s="10"/>
      <c r="B70" s="10"/>
      <c r="C70" s="10"/>
      <c r="D70" s="10"/>
      <c r="E70" s="10"/>
      <c r="F70" s="10"/>
      <c r="G70" s="10"/>
      <c r="H70" s="5"/>
      <c r="I70" s="48"/>
      <c r="J70" s="48"/>
      <c r="K70" s="48"/>
      <c r="L70" s="2"/>
      <c r="M70" s="2"/>
    </row>
    <row r="71">
      <c r="A71" s="10"/>
      <c r="B71" s="10"/>
      <c r="C71" s="10"/>
      <c r="D71" s="10"/>
      <c r="E71" s="10"/>
      <c r="F71" s="10"/>
      <c r="G71" s="10"/>
      <c r="H71" s="11"/>
      <c r="I71" s="48"/>
      <c r="J71" s="48"/>
      <c r="K71" s="48"/>
      <c r="L71" s="17"/>
      <c r="M71" s="2"/>
    </row>
    <row r="72">
      <c r="A72" s="10"/>
      <c r="B72" s="10"/>
      <c r="C72" s="10"/>
      <c r="D72" s="10"/>
      <c r="E72" s="10"/>
      <c r="F72" s="10"/>
      <c r="G72" s="10"/>
      <c r="H72" s="11"/>
      <c r="I72" s="48"/>
      <c r="J72" s="48"/>
      <c r="K72" s="48"/>
      <c r="L72" s="17"/>
      <c r="M72" s="2"/>
    </row>
    <row r="73">
      <c r="A73" s="10"/>
      <c r="B73" s="10"/>
      <c r="C73" s="10"/>
      <c r="D73" s="10"/>
      <c r="E73" s="10"/>
      <c r="F73" s="10"/>
      <c r="G73" s="10"/>
      <c r="H73" s="11"/>
      <c r="I73" s="48"/>
      <c r="J73" s="48"/>
      <c r="K73" s="48"/>
      <c r="L73" s="15"/>
      <c r="M73" s="24"/>
    </row>
    <row r="74">
      <c r="A74" s="10"/>
      <c r="B74" s="10"/>
      <c r="C74" s="10"/>
      <c r="D74" s="10"/>
      <c r="E74" s="10"/>
      <c r="F74" s="10"/>
      <c r="G74" s="10"/>
      <c r="H74" s="5"/>
      <c r="I74" s="48"/>
      <c r="J74" s="48"/>
      <c r="K74" s="48"/>
      <c r="L74" s="2"/>
      <c r="M74" s="2"/>
    </row>
    <row r="75">
      <c r="A75" s="10"/>
      <c r="B75" s="10"/>
      <c r="C75" s="10"/>
      <c r="D75" s="10"/>
      <c r="E75" s="10"/>
      <c r="F75" s="10"/>
      <c r="G75" s="10"/>
      <c r="H75" s="11"/>
      <c r="I75" s="48"/>
      <c r="J75" s="48"/>
      <c r="K75" s="48"/>
      <c r="L75" s="17"/>
      <c r="M75" s="2"/>
    </row>
    <row r="76">
      <c r="A76" s="10"/>
      <c r="B76" s="10"/>
      <c r="C76" s="10"/>
      <c r="D76" s="10"/>
      <c r="E76" s="10"/>
      <c r="F76" s="10"/>
      <c r="G76" s="10"/>
      <c r="H76" s="11"/>
      <c r="I76" s="48"/>
      <c r="J76" s="48"/>
      <c r="K76" s="48"/>
      <c r="L76" s="17"/>
      <c r="M76" s="2"/>
    </row>
    <row r="77">
      <c r="A77" s="10"/>
      <c r="B77" s="10"/>
      <c r="C77" s="10"/>
      <c r="D77" s="10"/>
      <c r="E77" s="10"/>
      <c r="F77" s="10"/>
      <c r="G77" s="10"/>
      <c r="H77" s="11"/>
      <c r="I77" s="48"/>
      <c r="J77" s="48"/>
      <c r="K77" s="48"/>
      <c r="L77" s="17"/>
      <c r="M77" s="2"/>
    </row>
    <row r="78">
      <c r="A78" s="10"/>
      <c r="B78" s="10"/>
      <c r="C78" s="10"/>
      <c r="D78" s="10"/>
      <c r="E78" s="10"/>
      <c r="F78" s="10"/>
      <c r="G78" s="10"/>
      <c r="H78" s="5"/>
      <c r="I78" s="48"/>
      <c r="J78" s="48"/>
      <c r="K78" s="48"/>
      <c r="L78" s="2"/>
      <c r="M78" s="2"/>
    </row>
    <row r="79">
      <c r="A79" s="10"/>
      <c r="B79" s="10"/>
      <c r="C79" s="10"/>
      <c r="D79" s="10"/>
      <c r="E79" s="10"/>
      <c r="F79" s="10"/>
      <c r="G79" s="10"/>
      <c r="H79" s="11"/>
      <c r="I79" s="48"/>
      <c r="J79" s="48"/>
      <c r="K79" s="48"/>
      <c r="L79" s="17"/>
      <c r="M79" s="2"/>
    </row>
    <row r="80">
      <c r="A80" s="3"/>
      <c r="B80" s="3"/>
      <c r="C80" s="3"/>
      <c r="D80" s="3"/>
      <c r="E80" s="10"/>
      <c r="F80" s="3"/>
      <c r="G80" s="10"/>
      <c r="H80" s="5"/>
      <c r="I80" s="52"/>
      <c r="J80" s="52"/>
      <c r="K80" s="52"/>
      <c r="L80" s="17"/>
      <c r="M80" s="7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10"/>
      <c r="B81" s="10"/>
      <c r="C81" s="10"/>
      <c r="D81" s="10"/>
      <c r="E81" s="10"/>
      <c r="F81" s="10"/>
      <c r="G81" s="10"/>
      <c r="H81" s="11"/>
      <c r="I81" s="48"/>
      <c r="J81" s="48"/>
      <c r="K81" s="48"/>
      <c r="L81" s="17"/>
      <c r="M81" s="2"/>
    </row>
    <row r="82">
      <c r="A82" s="10"/>
      <c r="B82" s="10"/>
      <c r="C82" s="10"/>
      <c r="D82" s="10"/>
      <c r="E82" s="10"/>
      <c r="F82" s="10"/>
      <c r="G82" s="10"/>
      <c r="H82" s="11"/>
      <c r="I82" s="48"/>
      <c r="J82" s="48"/>
      <c r="K82" s="48"/>
      <c r="L82" s="17"/>
      <c r="M82" s="2"/>
    </row>
    <row r="83">
      <c r="A83" s="10"/>
      <c r="B83" s="10"/>
      <c r="C83" s="10"/>
      <c r="D83" s="10"/>
      <c r="E83" s="10"/>
      <c r="F83" s="10"/>
      <c r="G83" s="10"/>
      <c r="H83" s="11"/>
      <c r="I83" s="48"/>
      <c r="J83" s="48"/>
      <c r="K83" s="48"/>
      <c r="L83" s="17"/>
      <c r="M83" s="2"/>
    </row>
    <row r="84">
      <c r="A84" s="10"/>
      <c r="B84" s="10"/>
      <c r="C84" s="10"/>
      <c r="D84" s="10"/>
      <c r="E84" s="10"/>
      <c r="F84" s="10"/>
      <c r="G84" s="10"/>
      <c r="H84" s="11"/>
      <c r="I84" s="48"/>
      <c r="J84" s="48"/>
      <c r="K84" s="48"/>
      <c r="L84" s="17"/>
      <c r="M84" s="2"/>
    </row>
    <row r="85">
      <c r="A85" s="10"/>
      <c r="B85" s="10"/>
      <c r="C85" s="10"/>
      <c r="D85" s="10"/>
      <c r="E85" s="10"/>
      <c r="F85" s="10"/>
      <c r="G85" s="10"/>
      <c r="H85" s="11"/>
      <c r="I85" s="48"/>
      <c r="J85" s="48"/>
      <c r="K85" s="48"/>
      <c r="L85" s="17"/>
      <c r="M85" s="2"/>
    </row>
    <row r="86">
      <c r="A86" s="10"/>
      <c r="B86" s="10"/>
      <c r="C86" s="10"/>
      <c r="D86" s="10"/>
      <c r="E86" s="10"/>
      <c r="F86" s="10"/>
      <c r="G86" s="10"/>
      <c r="H86" s="5"/>
      <c r="I86" s="48"/>
      <c r="J86" s="48"/>
      <c r="K86" s="48"/>
      <c r="L86" s="17"/>
      <c r="M86" s="17"/>
    </row>
    <row r="87">
      <c r="A87" s="10"/>
      <c r="B87" s="10"/>
      <c r="C87" s="10"/>
      <c r="D87" s="10"/>
      <c r="E87" s="10"/>
      <c r="F87" s="10"/>
      <c r="G87" s="10"/>
      <c r="H87" s="11"/>
      <c r="I87" s="48"/>
      <c r="J87" s="48"/>
      <c r="K87" s="48"/>
      <c r="L87" s="17"/>
      <c r="M87" s="2"/>
      <c r="O87" s="51"/>
    </row>
    <row r="88">
      <c r="A88" s="10"/>
      <c r="B88" s="10"/>
      <c r="C88" s="10"/>
      <c r="D88" s="10"/>
      <c r="E88" s="10"/>
      <c r="F88" s="10"/>
      <c r="G88" s="10"/>
      <c r="H88" s="11"/>
      <c r="I88" s="48"/>
      <c r="J88" s="48"/>
      <c r="K88" s="48"/>
      <c r="L88" s="17"/>
      <c r="M88" s="2"/>
    </row>
    <row r="89">
      <c r="A89" s="10"/>
      <c r="B89" s="10"/>
      <c r="C89" s="10"/>
      <c r="D89" s="10"/>
      <c r="E89" s="10"/>
      <c r="F89" s="10"/>
      <c r="G89" s="10"/>
      <c r="H89" s="11"/>
      <c r="I89" s="48"/>
      <c r="J89" s="48"/>
      <c r="K89" s="48"/>
      <c r="L89" s="17"/>
      <c r="M89" s="2"/>
    </row>
    <row r="90">
      <c r="A90" s="10"/>
      <c r="B90" s="10"/>
      <c r="C90" s="10"/>
      <c r="D90" s="10"/>
      <c r="E90" s="10"/>
      <c r="F90" s="10"/>
      <c r="G90" s="10"/>
      <c r="H90" s="11"/>
      <c r="I90" s="48"/>
      <c r="J90" s="48"/>
      <c r="K90" s="48"/>
      <c r="L90" s="17"/>
      <c r="M90" s="2"/>
    </row>
    <row r="91">
      <c r="A91" s="10"/>
      <c r="B91" s="10"/>
      <c r="C91" s="10"/>
      <c r="D91" s="10"/>
      <c r="E91" s="10"/>
      <c r="F91" s="10"/>
      <c r="G91" s="10"/>
      <c r="H91" s="11"/>
      <c r="I91" s="48"/>
      <c r="J91" s="48"/>
      <c r="K91" s="48"/>
      <c r="L91" s="17"/>
      <c r="M91" s="2"/>
    </row>
    <row r="92">
      <c r="A92" s="10"/>
      <c r="B92" s="10"/>
      <c r="C92" s="10"/>
      <c r="D92" s="10"/>
      <c r="E92" s="10"/>
      <c r="F92" s="10"/>
      <c r="G92" s="10"/>
      <c r="H92" s="22"/>
      <c r="I92" s="48"/>
      <c r="J92" s="48"/>
      <c r="K92" s="48"/>
      <c r="L92" s="17"/>
      <c r="M92" s="2"/>
    </row>
    <row r="93">
      <c r="A93" s="10"/>
      <c r="B93" s="10"/>
      <c r="C93" s="10"/>
      <c r="D93" s="10"/>
      <c r="E93" s="10"/>
      <c r="F93" s="10"/>
      <c r="G93" s="10"/>
      <c r="H93" s="11"/>
      <c r="I93" s="48"/>
      <c r="J93" s="48"/>
      <c r="K93" s="48"/>
      <c r="L93" s="17"/>
      <c r="M93" s="2"/>
    </row>
    <row r="94">
      <c r="A94" s="10"/>
      <c r="B94" s="10"/>
      <c r="C94" s="10"/>
      <c r="D94" s="10"/>
      <c r="E94" s="10"/>
      <c r="F94" s="10"/>
      <c r="G94" s="10"/>
      <c r="H94" s="11"/>
      <c r="I94" s="48"/>
      <c r="J94" s="48"/>
      <c r="K94" s="48"/>
      <c r="L94" s="17"/>
      <c r="M94" s="2"/>
    </row>
    <row r="95">
      <c r="A95" s="10"/>
      <c r="B95" s="10"/>
      <c r="C95" s="10"/>
      <c r="D95" s="10"/>
      <c r="E95" s="10"/>
      <c r="F95" s="10"/>
      <c r="G95" s="10"/>
      <c r="H95" s="11"/>
      <c r="I95" s="48"/>
      <c r="J95" s="48"/>
      <c r="K95" s="48"/>
      <c r="L95" s="17"/>
      <c r="M95" s="2"/>
    </row>
    <row r="96">
      <c r="A96" s="10"/>
      <c r="B96" s="10"/>
      <c r="C96" s="10"/>
      <c r="D96" s="10"/>
      <c r="E96" s="10"/>
      <c r="F96" s="10"/>
      <c r="G96" s="10"/>
      <c r="H96" s="11"/>
      <c r="I96" s="48"/>
      <c r="J96" s="48"/>
      <c r="K96" s="48"/>
      <c r="L96" s="17"/>
      <c r="M96" s="2"/>
    </row>
    <row r="97">
      <c r="A97" s="10"/>
      <c r="B97" s="10"/>
      <c r="C97" s="10"/>
      <c r="D97" s="10"/>
      <c r="E97" s="10"/>
      <c r="F97" s="10"/>
      <c r="G97" s="10"/>
      <c r="H97" s="11"/>
      <c r="I97" s="48"/>
      <c r="J97" s="48"/>
      <c r="K97" s="48"/>
      <c r="L97" s="17"/>
      <c r="M97" s="2"/>
    </row>
    <row r="98">
      <c r="A98" s="10"/>
      <c r="B98" s="10"/>
      <c r="C98" s="10"/>
      <c r="D98" s="10"/>
      <c r="E98" s="10"/>
      <c r="F98" s="10"/>
      <c r="G98" s="10"/>
      <c r="H98" s="11"/>
      <c r="I98" s="48"/>
      <c r="J98" s="48"/>
      <c r="K98" s="48"/>
      <c r="L98" s="17"/>
      <c r="M98" s="2"/>
    </row>
    <row r="99">
      <c r="A99" s="10"/>
      <c r="B99" s="10"/>
      <c r="C99" s="10"/>
      <c r="D99" s="10"/>
      <c r="E99" s="10"/>
      <c r="F99" s="10"/>
      <c r="G99" s="10"/>
      <c r="H99" s="11"/>
      <c r="I99" s="48"/>
      <c r="J99" s="48"/>
      <c r="K99" s="48"/>
      <c r="L99" s="17"/>
      <c r="M99" s="2"/>
    </row>
    <row r="100">
      <c r="A100" s="10"/>
      <c r="B100" s="10"/>
      <c r="C100" s="10"/>
      <c r="D100" s="10"/>
      <c r="E100" s="10"/>
      <c r="F100" s="10"/>
      <c r="G100" s="10"/>
      <c r="H100" s="11"/>
      <c r="I100" s="48"/>
      <c r="J100" s="48"/>
      <c r="K100" s="48"/>
      <c r="L100" s="17"/>
      <c r="M100" s="2"/>
    </row>
    <row r="101">
      <c r="A101" s="10"/>
      <c r="B101" s="10"/>
      <c r="C101" s="10"/>
      <c r="D101" s="10"/>
      <c r="E101" s="10"/>
      <c r="F101" s="10"/>
      <c r="G101" s="10"/>
      <c r="H101" s="11"/>
      <c r="I101" s="48"/>
      <c r="J101" s="48"/>
      <c r="K101" s="48"/>
      <c r="L101" s="17"/>
      <c r="M101" s="2"/>
    </row>
    <row r="102">
      <c r="A102" s="10"/>
      <c r="B102" s="10"/>
      <c r="C102" s="10"/>
      <c r="D102" s="10"/>
      <c r="E102" s="10"/>
      <c r="F102" s="10"/>
      <c r="G102" s="10"/>
      <c r="H102" s="11"/>
      <c r="I102" s="48"/>
      <c r="J102" s="48"/>
      <c r="K102" s="48"/>
      <c r="L102" s="17"/>
      <c r="M102" s="2"/>
    </row>
    <row r="103">
      <c r="A103" s="10"/>
      <c r="B103" s="10"/>
      <c r="C103" s="10"/>
      <c r="D103" s="10"/>
      <c r="E103" s="10"/>
      <c r="F103" s="10"/>
      <c r="G103" s="10"/>
      <c r="H103" s="11"/>
      <c r="I103" s="48"/>
      <c r="J103" s="48"/>
      <c r="K103" s="48"/>
      <c r="L103" s="17"/>
      <c r="M103" s="2"/>
    </row>
    <row r="104">
      <c r="A104" s="10"/>
      <c r="B104" s="10"/>
      <c r="C104" s="10"/>
      <c r="D104" s="10"/>
      <c r="E104" s="10"/>
      <c r="F104" s="10"/>
      <c r="G104" s="10"/>
      <c r="H104" s="11"/>
      <c r="I104" s="48"/>
      <c r="J104" s="48"/>
      <c r="K104" s="48"/>
      <c r="L104" s="17"/>
      <c r="M104" s="2"/>
    </row>
    <row r="105">
      <c r="A105" s="10"/>
      <c r="B105" s="10"/>
      <c r="C105" s="10"/>
      <c r="D105" s="10"/>
      <c r="E105" s="10"/>
      <c r="F105" s="10"/>
      <c r="G105" s="10"/>
      <c r="H105" s="11"/>
      <c r="I105" s="48"/>
      <c r="J105" s="48"/>
      <c r="K105" s="48"/>
      <c r="L105" s="17"/>
      <c r="M105" s="2"/>
    </row>
    <row r="106">
      <c r="A106" s="10"/>
      <c r="B106" s="10"/>
      <c r="C106" s="10"/>
      <c r="D106" s="10"/>
      <c r="E106" s="10"/>
      <c r="F106" s="10"/>
      <c r="G106" s="10"/>
      <c r="H106" s="11"/>
      <c r="I106" s="48"/>
      <c r="J106" s="48"/>
      <c r="K106" s="48"/>
      <c r="L106" s="17"/>
      <c r="M106" s="2"/>
    </row>
    <row r="107">
      <c r="A107" s="10"/>
      <c r="B107" s="10"/>
      <c r="C107" s="10"/>
      <c r="D107" s="10"/>
      <c r="E107" s="10"/>
      <c r="F107" s="10"/>
      <c r="G107" s="10"/>
      <c r="H107" s="11"/>
      <c r="I107" s="48"/>
      <c r="J107" s="48"/>
      <c r="K107" s="48"/>
      <c r="L107" s="17"/>
      <c r="M107" s="2"/>
    </row>
    <row r="108">
      <c r="A108" s="10"/>
      <c r="B108" s="10"/>
      <c r="C108" s="10"/>
      <c r="D108" s="10"/>
      <c r="E108" s="10"/>
      <c r="F108" s="10"/>
      <c r="G108" s="10"/>
      <c r="H108" s="11"/>
      <c r="I108" s="48"/>
      <c r="J108" s="48"/>
      <c r="K108" s="48"/>
      <c r="L108" s="17"/>
      <c r="M108" s="2"/>
    </row>
    <row r="109">
      <c r="A109" s="10"/>
      <c r="B109" s="10"/>
      <c r="C109" s="10"/>
      <c r="D109" s="10"/>
      <c r="E109" s="10"/>
      <c r="F109" s="10"/>
      <c r="G109" s="10"/>
      <c r="H109" s="11"/>
      <c r="I109" s="48"/>
      <c r="J109" s="48"/>
      <c r="K109" s="48"/>
      <c r="L109" s="17"/>
      <c r="M109" s="2"/>
    </row>
    <row r="110">
      <c r="A110" s="10"/>
      <c r="B110" s="10"/>
      <c r="C110" s="10"/>
      <c r="D110" s="10"/>
      <c r="E110" s="10"/>
      <c r="F110" s="10"/>
      <c r="G110" s="10"/>
      <c r="H110" s="11"/>
      <c r="I110" s="48"/>
      <c r="J110" s="48"/>
      <c r="K110" s="48"/>
      <c r="L110" s="17"/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10"/>
      <c r="B111" s="10"/>
      <c r="C111" s="10"/>
      <c r="D111" s="10"/>
      <c r="E111" s="10"/>
      <c r="F111" s="10"/>
      <c r="G111" s="10"/>
      <c r="H111" s="11"/>
      <c r="I111" s="48"/>
      <c r="J111" s="48"/>
      <c r="K111" s="48"/>
      <c r="L111" s="17"/>
      <c r="M111" s="2"/>
    </row>
    <row r="112">
      <c r="A112" s="10"/>
      <c r="B112" s="10"/>
      <c r="C112" s="10"/>
      <c r="D112" s="10"/>
      <c r="E112" s="10"/>
      <c r="F112" s="10"/>
      <c r="G112" s="10"/>
      <c r="H112" s="11"/>
      <c r="I112" s="48"/>
      <c r="J112" s="48"/>
      <c r="K112" s="48"/>
      <c r="L112" s="17"/>
      <c r="M112" s="2"/>
    </row>
    <row r="113">
      <c r="A113" s="10"/>
      <c r="B113" s="10"/>
      <c r="C113" s="10"/>
      <c r="D113" s="10"/>
      <c r="E113" s="10"/>
      <c r="F113" s="10"/>
      <c r="G113" s="10"/>
      <c r="H113" s="11"/>
      <c r="I113" s="48"/>
      <c r="J113" s="48"/>
      <c r="K113" s="48"/>
      <c r="L113" s="17"/>
      <c r="M113" s="2"/>
    </row>
    <row r="114">
      <c r="A114" s="10"/>
      <c r="B114" s="10"/>
      <c r="C114" s="10"/>
      <c r="D114" s="10"/>
      <c r="E114" s="10"/>
      <c r="F114" s="10"/>
      <c r="G114" s="10"/>
      <c r="H114" s="11"/>
      <c r="I114" s="48"/>
      <c r="J114" s="48"/>
      <c r="K114" s="48"/>
      <c r="L114" s="17"/>
      <c r="M114" s="2"/>
    </row>
    <row r="115">
      <c r="A115" s="10"/>
      <c r="B115" s="10"/>
      <c r="C115" s="10"/>
      <c r="D115" s="10"/>
      <c r="E115" s="10"/>
      <c r="F115" s="10"/>
      <c r="G115" s="10"/>
      <c r="H115" s="11"/>
      <c r="I115" s="48"/>
      <c r="J115" s="48"/>
      <c r="K115" s="48"/>
      <c r="L115" s="17"/>
      <c r="M115" s="2"/>
    </row>
    <row r="116">
      <c r="A116" s="10"/>
      <c r="B116" s="10"/>
      <c r="C116" s="10"/>
      <c r="D116" s="10"/>
      <c r="E116" s="10"/>
      <c r="F116" s="10"/>
      <c r="G116" s="10"/>
      <c r="H116" s="11"/>
      <c r="I116" s="48"/>
      <c r="J116" s="48"/>
      <c r="K116" s="48"/>
      <c r="L116" s="17"/>
      <c r="M116" s="2"/>
    </row>
    <row r="117">
      <c r="A117" s="10"/>
      <c r="B117" s="10"/>
      <c r="C117" s="10"/>
      <c r="D117" s="10"/>
      <c r="E117" s="10"/>
      <c r="F117" s="10"/>
      <c r="G117" s="10"/>
      <c r="H117" s="11"/>
      <c r="I117" s="48"/>
      <c r="J117" s="48"/>
      <c r="K117" s="48"/>
      <c r="L117" s="17"/>
      <c r="M117" s="2"/>
    </row>
    <row r="118">
      <c r="A118" s="10"/>
      <c r="B118" s="10"/>
      <c r="C118" s="10"/>
      <c r="D118" s="10"/>
      <c r="E118" s="10"/>
      <c r="F118" s="10"/>
      <c r="G118" s="10"/>
      <c r="H118" s="11"/>
      <c r="I118" s="48"/>
      <c r="J118" s="48"/>
      <c r="K118" s="48"/>
      <c r="L118" s="17"/>
      <c r="M118" s="2"/>
    </row>
    <row r="119">
      <c r="A119" s="10"/>
      <c r="B119" s="10"/>
      <c r="C119" s="10"/>
      <c r="D119" s="10"/>
      <c r="E119" s="10"/>
      <c r="F119" s="10"/>
      <c r="G119" s="10"/>
      <c r="H119" s="11"/>
      <c r="I119" s="48"/>
      <c r="J119" s="48"/>
      <c r="K119" s="48"/>
      <c r="L119" s="17"/>
      <c r="M119" s="2"/>
    </row>
    <row r="120">
      <c r="A120" s="10"/>
      <c r="B120" s="10"/>
      <c r="C120" s="10"/>
      <c r="D120" s="10"/>
      <c r="E120" s="10"/>
      <c r="F120" s="10"/>
      <c r="G120" s="10"/>
      <c r="H120" s="11"/>
      <c r="I120" s="48"/>
      <c r="J120" s="48"/>
      <c r="K120" s="48"/>
      <c r="L120" s="17"/>
      <c r="M120" s="2"/>
    </row>
    <row r="121">
      <c r="A121" s="10"/>
      <c r="B121" s="10"/>
      <c r="C121" s="10"/>
      <c r="D121" s="10"/>
      <c r="E121" s="10"/>
      <c r="F121" s="10"/>
      <c r="G121" s="10"/>
      <c r="H121" s="11"/>
      <c r="I121" s="48"/>
      <c r="J121" s="48"/>
      <c r="K121" s="48"/>
      <c r="L121" s="17"/>
      <c r="M121" s="17"/>
    </row>
    <row r="122">
      <c r="A122" s="10"/>
      <c r="B122" s="10"/>
      <c r="C122" s="10"/>
      <c r="D122" s="10"/>
      <c r="E122" s="10"/>
      <c r="F122" s="10"/>
      <c r="G122" s="10"/>
      <c r="H122" s="11"/>
      <c r="I122" s="48"/>
      <c r="J122" s="48"/>
      <c r="K122" s="48"/>
      <c r="L122" s="17"/>
      <c r="M122" s="2"/>
    </row>
    <row r="123">
      <c r="A123" s="10"/>
      <c r="B123" s="10"/>
      <c r="C123" s="10"/>
      <c r="D123" s="10"/>
      <c r="E123" s="10"/>
      <c r="F123" s="10"/>
      <c r="G123" s="10"/>
      <c r="H123" s="11"/>
      <c r="I123" s="48"/>
      <c r="J123" s="48"/>
      <c r="K123" s="48"/>
      <c r="L123" s="17"/>
      <c r="M123" s="2"/>
    </row>
    <row r="124">
      <c r="A124" s="10"/>
      <c r="B124" s="10"/>
      <c r="C124" s="10"/>
      <c r="D124" s="10"/>
      <c r="E124" s="10"/>
      <c r="F124" s="10"/>
      <c r="G124" s="10"/>
      <c r="H124" s="11"/>
      <c r="I124" s="48"/>
      <c r="J124" s="48"/>
      <c r="K124" s="48"/>
      <c r="L124" s="17"/>
      <c r="M124" s="2"/>
    </row>
    <row r="125">
      <c r="A125" s="10"/>
      <c r="B125" s="10"/>
      <c r="C125" s="10"/>
      <c r="D125" s="10"/>
      <c r="E125" s="10"/>
      <c r="F125" s="10"/>
      <c r="G125" s="10"/>
      <c r="H125" s="11"/>
      <c r="I125" s="48"/>
      <c r="J125" s="48"/>
      <c r="K125" s="48"/>
      <c r="L125" s="17"/>
      <c r="M125" s="2"/>
    </row>
    <row r="126">
      <c r="A126" s="10"/>
      <c r="B126" s="10"/>
      <c r="C126" s="10"/>
      <c r="D126" s="10"/>
      <c r="E126" s="10"/>
      <c r="F126" s="10"/>
      <c r="G126" s="10"/>
      <c r="H126" s="11"/>
      <c r="I126" s="48"/>
      <c r="J126" s="48"/>
      <c r="K126" s="48"/>
      <c r="L126" s="17"/>
      <c r="M126" s="2"/>
    </row>
    <row r="127">
      <c r="A127" s="10"/>
      <c r="B127" s="10"/>
      <c r="C127" s="10"/>
      <c r="D127" s="10"/>
      <c r="E127" s="10"/>
      <c r="F127" s="10"/>
      <c r="G127" s="10"/>
      <c r="H127" s="11"/>
      <c r="I127" s="48"/>
      <c r="J127" s="48"/>
      <c r="K127" s="48"/>
      <c r="L127" s="17"/>
      <c r="M127" s="2"/>
    </row>
    <row r="128">
      <c r="A128" s="10"/>
      <c r="B128" s="10"/>
      <c r="C128" s="10"/>
      <c r="D128" s="10"/>
      <c r="E128" s="10"/>
      <c r="F128" s="10"/>
      <c r="G128" s="10"/>
      <c r="H128" s="11"/>
      <c r="I128" s="48"/>
      <c r="J128" s="48"/>
      <c r="K128" s="48"/>
      <c r="L128" s="17"/>
      <c r="M128" s="2"/>
    </row>
    <row r="129">
      <c r="A129" s="10"/>
      <c r="B129" s="10"/>
      <c r="C129" s="10"/>
      <c r="D129" s="10"/>
      <c r="E129" s="10"/>
      <c r="F129" s="10"/>
      <c r="G129" s="10"/>
      <c r="H129" s="11"/>
      <c r="I129" s="48"/>
      <c r="J129" s="48"/>
      <c r="K129" s="48"/>
      <c r="L129" s="17"/>
      <c r="M129" s="2"/>
    </row>
    <row r="130">
      <c r="A130" s="10"/>
      <c r="B130" s="10"/>
      <c r="C130" s="10"/>
      <c r="D130" s="10"/>
      <c r="E130" s="10"/>
      <c r="F130" s="10"/>
      <c r="G130" s="10"/>
      <c r="H130" s="11"/>
      <c r="I130" s="48"/>
      <c r="J130" s="48"/>
      <c r="K130" s="48"/>
      <c r="L130" s="17"/>
      <c r="M130" s="2"/>
    </row>
    <row r="131">
      <c r="A131" s="10"/>
      <c r="B131" s="10"/>
      <c r="C131" s="10"/>
      <c r="D131" s="10"/>
      <c r="E131" s="10"/>
      <c r="F131" s="10"/>
      <c r="G131" s="10"/>
      <c r="H131" s="11"/>
      <c r="I131" s="48"/>
      <c r="J131" s="48"/>
      <c r="K131" s="48"/>
      <c r="L131" s="17"/>
      <c r="M131" s="2"/>
    </row>
    <row r="132">
      <c r="A132" s="10"/>
      <c r="B132" s="10"/>
      <c r="C132" s="10"/>
      <c r="D132" s="10"/>
      <c r="E132" s="10"/>
      <c r="F132" s="10"/>
      <c r="G132" s="10"/>
      <c r="H132" s="11"/>
      <c r="I132" s="48"/>
      <c r="J132" s="48"/>
      <c r="K132" s="48"/>
      <c r="L132" s="17"/>
      <c r="M132" s="2"/>
    </row>
    <row r="133">
      <c r="A133" s="10"/>
      <c r="B133" s="10"/>
      <c r="C133" s="10"/>
      <c r="D133" s="10"/>
      <c r="E133" s="10"/>
      <c r="F133" s="10"/>
      <c r="G133" s="10"/>
      <c r="H133" s="11"/>
      <c r="I133" s="48"/>
      <c r="J133" s="48"/>
      <c r="K133" s="48"/>
      <c r="L133" s="17"/>
      <c r="M133" s="2"/>
    </row>
    <row r="134">
      <c r="A134" s="10"/>
      <c r="B134" s="10"/>
      <c r="C134" s="10"/>
      <c r="D134" s="10"/>
      <c r="E134" s="10"/>
      <c r="F134" s="10"/>
      <c r="G134" s="10"/>
      <c r="H134" s="11"/>
      <c r="I134" s="48"/>
      <c r="J134" s="48"/>
      <c r="K134" s="48"/>
      <c r="L134" s="17"/>
      <c r="M134" s="2"/>
    </row>
    <row r="135">
      <c r="A135" s="10"/>
      <c r="B135" s="10"/>
      <c r="C135" s="10"/>
      <c r="D135" s="10"/>
      <c r="E135" s="10"/>
      <c r="F135" s="10"/>
      <c r="G135" s="10"/>
      <c r="H135" s="11"/>
      <c r="I135" s="48"/>
      <c r="J135" s="48"/>
      <c r="K135" s="48"/>
      <c r="L135" s="17"/>
      <c r="M135" s="2"/>
    </row>
    <row r="136">
      <c r="A136" s="10"/>
      <c r="B136" s="10"/>
      <c r="C136" s="10"/>
      <c r="D136" s="10"/>
      <c r="E136" s="10"/>
      <c r="F136" s="10"/>
      <c r="G136" s="10"/>
      <c r="H136" s="11"/>
      <c r="I136" s="48"/>
      <c r="J136" s="48"/>
      <c r="K136" s="48"/>
      <c r="L136" s="17"/>
      <c r="M136" s="2"/>
    </row>
    <row r="137">
      <c r="A137" s="10"/>
      <c r="B137" s="10"/>
      <c r="C137" s="10"/>
      <c r="D137" s="10"/>
      <c r="E137" s="10"/>
      <c r="F137" s="10"/>
      <c r="G137" s="10"/>
      <c r="H137" s="11"/>
      <c r="I137" s="48"/>
      <c r="J137" s="48"/>
      <c r="K137" s="48"/>
      <c r="L137" s="17"/>
      <c r="M137" s="2"/>
    </row>
    <row r="138">
      <c r="A138" s="10"/>
      <c r="B138" s="10"/>
      <c r="C138" s="10"/>
      <c r="D138" s="10"/>
      <c r="E138" s="10"/>
      <c r="F138" s="10"/>
      <c r="G138" s="10"/>
      <c r="H138" s="11"/>
      <c r="I138" s="48"/>
      <c r="J138" s="48"/>
      <c r="K138" s="48"/>
      <c r="L138" s="17"/>
      <c r="M138" s="2"/>
    </row>
    <row r="139">
      <c r="A139" s="10"/>
      <c r="B139" s="10"/>
      <c r="C139" s="10"/>
      <c r="D139" s="10"/>
      <c r="E139" s="10"/>
      <c r="F139" s="10"/>
      <c r="G139" s="10"/>
      <c r="H139" s="11"/>
      <c r="I139" s="48"/>
      <c r="J139" s="48"/>
      <c r="K139" s="48"/>
      <c r="L139" s="17"/>
      <c r="M139" s="2"/>
    </row>
    <row r="140">
      <c r="A140" s="10"/>
      <c r="B140" s="10"/>
      <c r="C140" s="10"/>
      <c r="D140" s="10"/>
      <c r="E140" s="10"/>
      <c r="F140" s="10"/>
      <c r="G140" s="10"/>
      <c r="H140" s="11"/>
      <c r="I140" s="48"/>
      <c r="J140" s="48"/>
      <c r="K140" s="48"/>
      <c r="L140" s="17"/>
      <c r="M140" s="2"/>
    </row>
    <row r="141">
      <c r="A141" s="10"/>
      <c r="B141" s="10"/>
      <c r="C141" s="10"/>
      <c r="D141" s="10"/>
      <c r="E141" s="10"/>
      <c r="F141" s="10"/>
      <c r="G141" s="10"/>
      <c r="H141" s="11"/>
      <c r="I141" s="48"/>
      <c r="J141" s="48"/>
      <c r="K141" s="48"/>
      <c r="L141" s="17"/>
      <c r="M141" s="2"/>
    </row>
    <row r="142">
      <c r="A142" s="10"/>
      <c r="B142" s="10"/>
      <c r="C142" s="10"/>
      <c r="D142" s="10"/>
      <c r="E142" s="10"/>
      <c r="F142" s="10"/>
      <c r="G142" s="10"/>
      <c r="H142" s="11"/>
      <c r="I142" s="48"/>
      <c r="J142" s="48"/>
      <c r="K142" s="48"/>
      <c r="L142" s="17"/>
      <c r="M142" s="2"/>
    </row>
    <row r="143">
      <c r="A143" s="10"/>
      <c r="B143" s="10"/>
      <c r="C143" s="10"/>
      <c r="D143" s="10"/>
      <c r="E143" s="10"/>
      <c r="F143" s="10"/>
      <c r="G143" s="10"/>
      <c r="H143" s="11"/>
      <c r="I143" s="48"/>
      <c r="J143" s="48"/>
      <c r="K143" s="48"/>
      <c r="L143" s="17"/>
      <c r="M143" s="2"/>
    </row>
    <row r="144">
      <c r="A144" s="10"/>
      <c r="B144" s="10"/>
      <c r="C144" s="10"/>
      <c r="D144" s="10"/>
      <c r="E144" s="10"/>
      <c r="F144" s="10"/>
      <c r="G144" s="10"/>
      <c r="H144" s="11"/>
      <c r="I144" s="48"/>
      <c r="J144" s="48"/>
      <c r="K144" s="48"/>
      <c r="L144" s="17"/>
      <c r="M144" s="2"/>
    </row>
    <row r="145">
      <c r="A145" s="3"/>
      <c r="B145" s="3"/>
      <c r="C145" s="3"/>
      <c r="D145" s="3"/>
      <c r="E145" s="4"/>
      <c r="F145" s="4"/>
      <c r="G145" s="4"/>
      <c r="H145" s="5"/>
      <c r="I145" s="52"/>
      <c r="J145" s="52"/>
      <c r="K145" s="52"/>
      <c r="L145" s="9"/>
      <c r="M145" s="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10"/>
      <c r="B146" s="10"/>
      <c r="C146" s="10"/>
      <c r="D146" s="10"/>
      <c r="E146" s="10"/>
      <c r="F146" s="10"/>
      <c r="G146" s="10"/>
      <c r="H146" s="11"/>
      <c r="I146" s="48"/>
      <c r="J146" s="48"/>
      <c r="K146" s="48"/>
      <c r="L146" s="17"/>
      <c r="M146" s="2"/>
    </row>
    <row r="147" hidden="1">
      <c r="A147" s="10">
        <v>100.0</v>
      </c>
      <c r="B147" s="10">
        <v>300.0</v>
      </c>
      <c r="C147" s="10">
        <f t="shared" ref="C147:C148" si="2">B147/A147</f>
        <v>3</v>
      </c>
      <c r="D147" s="10">
        <v>183.0</v>
      </c>
      <c r="E147" s="10" t="s">
        <v>19</v>
      </c>
      <c r="F147" s="10" t="s">
        <v>10</v>
      </c>
      <c r="G147" s="10" t="s">
        <v>17</v>
      </c>
      <c r="H147" s="11">
        <v>0.037696759259259256</v>
      </c>
      <c r="I147" s="48"/>
      <c r="J147" s="48"/>
      <c r="K147" s="48"/>
      <c r="L147" s="12" t="s">
        <v>308</v>
      </c>
      <c r="M147" s="2"/>
    </row>
    <row r="148" hidden="1">
      <c r="A148" s="10">
        <v>50.0</v>
      </c>
      <c r="B148" s="10">
        <v>200.0</v>
      </c>
      <c r="C148" s="10">
        <f t="shared" si="2"/>
        <v>4</v>
      </c>
      <c r="D148" s="10">
        <v>183.0</v>
      </c>
      <c r="E148" s="10" t="s">
        <v>19</v>
      </c>
      <c r="F148" s="10" t="s">
        <v>10</v>
      </c>
      <c r="G148" s="10" t="s">
        <v>17</v>
      </c>
      <c r="H148" s="11">
        <v>0.03844907407407407</v>
      </c>
      <c r="I148" s="48"/>
      <c r="J148" s="48"/>
      <c r="K148" s="48"/>
      <c r="L148" s="12" t="s">
        <v>255</v>
      </c>
      <c r="M148" s="2"/>
    </row>
    <row r="149">
      <c r="A149" s="10"/>
      <c r="B149" s="10"/>
      <c r="C149" s="10"/>
      <c r="D149" s="10"/>
      <c r="E149" s="10"/>
      <c r="F149" s="10"/>
      <c r="G149" s="10"/>
      <c r="H149" s="11"/>
      <c r="I149" s="48"/>
      <c r="J149" s="48"/>
      <c r="K149" s="48"/>
      <c r="L149" s="17"/>
      <c r="M149" s="2"/>
    </row>
    <row r="150">
      <c r="A150" s="10"/>
      <c r="B150" s="10"/>
      <c r="C150" s="10"/>
      <c r="D150" s="10"/>
      <c r="E150" s="10"/>
      <c r="F150" s="10"/>
      <c r="G150" s="10"/>
      <c r="H150" s="11"/>
      <c r="I150" s="48"/>
      <c r="J150" s="48"/>
      <c r="K150" s="48"/>
      <c r="L150" s="17"/>
      <c r="M150" s="2"/>
    </row>
    <row r="151">
      <c r="A151" s="10"/>
      <c r="B151" s="10"/>
      <c r="C151" s="10"/>
      <c r="D151" s="10"/>
      <c r="E151" s="10"/>
      <c r="F151" s="10"/>
      <c r="G151" s="10"/>
      <c r="H151" s="11"/>
      <c r="I151" s="48"/>
      <c r="J151" s="48"/>
      <c r="K151" s="48"/>
      <c r="L151" s="17"/>
      <c r="M151" s="2"/>
    </row>
    <row r="152">
      <c r="A152" s="10"/>
      <c r="B152" s="10"/>
      <c r="C152" s="10"/>
      <c r="D152" s="10"/>
      <c r="E152" s="10"/>
      <c r="F152" s="10"/>
      <c r="G152" s="10"/>
      <c r="H152" s="11"/>
      <c r="I152" s="48"/>
      <c r="J152" s="48"/>
      <c r="K152" s="48"/>
      <c r="L152" s="27"/>
      <c r="M152" s="24"/>
    </row>
    <row r="153">
      <c r="A153" s="10"/>
      <c r="B153" s="10"/>
      <c r="C153" s="10"/>
      <c r="D153" s="10"/>
      <c r="E153" s="10"/>
      <c r="F153" s="10"/>
      <c r="G153" s="10"/>
      <c r="H153" s="11"/>
      <c r="I153" s="48"/>
      <c r="J153" s="48"/>
      <c r="K153" s="48"/>
      <c r="L153" s="27"/>
      <c r="M153" s="24"/>
    </row>
    <row r="154">
      <c r="A154" s="3"/>
      <c r="B154" s="3"/>
      <c r="C154" s="3"/>
      <c r="D154" s="3"/>
      <c r="E154" s="3"/>
      <c r="F154" s="3"/>
      <c r="G154" s="3"/>
      <c r="H154" s="5"/>
      <c r="I154" s="53"/>
      <c r="J154" s="53"/>
      <c r="K154" s="53"/>
      <c r="L154" s="25"/>
      <c r="M154" s="21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10"/>
      <c r="B155" s="10"/>
      <c r="C155" s="10"/>
      <c r="D155" s="10"/>
      <c r="E155" s="10"/>
      <c r="F155" s="10"/>
      <c r="G155" s="10"/>
      <c r="H155" s="11"/>
      <c r="I155" s="48"/>
      <c r="J155" s="48"/>
      <c r="K155" s="48"/>
      <c r="L155" s="17"/>
      <c r="M155" s="2"/>
    </row>
    <row r="156">
      <c r="A156" s="3"/>
      <c r="B156" s="3"/>
      <c r="C156" s="3"/>
      <c r="D156" s="3"/>
      <c r="E156" s="3"/>
      <c r="F156" s="3"/>
      <c r="G156" s="3"/>
      <c r="H156" s="5"/>
      <c r="I156" s="54"/>
      <c r="J156" s="54"/>
      <c r="K156" s="54"/>
      <c r="L156" s="9"/>
      <c r="M156" s="7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3"/>
      <c r="B157" s="3"/>
      <c r="C157" s="3"/>
      <c r="D157" s="3"/>
      <c r="E157" s="3"/>
      <c r="F157" s="3"/>
      <c r="G157" s="3"/>
      <c r="H157" s="5"/>
      <c r="I157" s="55"/>
      <c r="J157" s="55"/>
      <c r="K157" s="55"/>
      <c r="L157" s="25"/>
      <c r="M157" s="21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idden="1">
      <c r="A158" s="3">
        <v>75.0</v>
      </c>
      <c r="B158" s="4">
        <v>225.0</v>
      </c>
      <c r="C158" s="3">
        <f t="shared" ref="C158:C170" si="3">B158/A158</f>
        <v>3</v>
      </c>
      <c r="D158" s="3">
        <v>183.0</v>
      </c>
      <c r="E158" s="4" t="s">
        <v>9</v>
      </c>
      <c r="F158" s="4" t="s">
        <v>10</v>
      </c>
      <c r="G158" s="4" t="s">
        <v>11</v>
      </c>
      <c r="H158" s="5">
        <v>0.03890046296296296</v>
      </c>
      <c r="I158" s="52"/>
      <c r="J158" s="52"/>
      <c r="K158" s="52"/>
      <c r="L158" s="25" t="s">
        <v>12</v>
      </c>
      <c r="M158" s="21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idden="1">
      <c r="A159" s="3">
        <v>75.0</v>
      </c>
      <c r="B159" s="4">
        <v>225.0</v>
      </c>
      <c r="C159" s="3">
        <f t="shared" si="3"/>
        <v>3</v>
      </c>
      <c r="D159" s="3">
        <v>183.0</v>
      </c>
      <c r="E159" s="4" t="s">
        <v>13</v>
      </c>
      <c r="F159" s="4" t="s">
        <v>10</v>
      </c>
      <c r="G159" s="4" t="s">
        <v>14</v>
      </c>
      <c r="H159" s="5">
        <v>0.039189814814814816</v>
      </c>
      <c r="I159" s="52"/>
      <c r="J159" s="52"/>
      <c r="K159" s="52"/>
      <c r="L159" s="25" t="s">
        <v>15</v>
      </c>
      <c r="M159" s="21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idden="1">
      <c r="A160" s="10">
        <v>75.0</v>
      </c>
      <c r="B160" s="10">
        <v>225.0</v>
      </c>
      <c r="C160" s="10">
        <f t="shared" si="3"/>
        <v>3</v>
      </c>
      <c r="D160" s="10">
        <v>183.0</v>
      </c>
      <c r="E160" s="10" t="s">
        <v>19</v>
      </c>
      <c r="F160" s="10" t="s">
        <v>10</v>
      </c>
      <c r="G160" s="10" t="s">
        <v>17</v>
      </c>
      <c r="H160" s="11">
        <v>0.039699074074074074</v>
      </c>
      <c r="I160" s="48"/>
      <c r="J160" s="48"/>
      <c r="K160" s="48"/>
      <c r="L160" s="23" t="s">
        <v>276</v>
      </c>
      <c r="M160" s="24"/>
    </row>
    <row r="161" hidden="1">
      <c r="A161" s="3">
        <v>75.0</v>
      </c>
      <c r="B161" s="4">
        <v>225.0</v>
      </c>
      <c r="C161" s="3">
        <f t="shared" si="3"/>
        <v>3</v>
      </c>
      <c r="D161" s="3">
        <v>183.0</v>
      </c>
      <c r="E161" s="4" t="s">
        <v>16</v>
      </c>
      <c r="F161" s="4" t="s">
        <v>10</v>
      </c>
      <c r="G161" s="10" t="s">
        <v>17</v>
      </c>
      <c r="H161" s="5">
        <v>0.039837962962962964</v>
      </c>
      <c r="I161" s="52"/>
      <c r="J161" s="52"/>
      <c r="K161" s="52"/>
      <c r="L161" s="25" t="s">
        <v>18</v>
      </c>
      <c r="M161" s="21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idden="1">
      <c r="A162" s="10">
        <v>50.0</v>
      </c>
      <c r="B162" s="10">
        <v>150.0</v>
      </c>
      <c r="C162" s="10">
        <f t="shared" si="3"/>
        <v>3</v>
      </c>
      <c r="D162" s="10">
        <v>183.0</v>
      </c>
      <c r="E162" s="10" t="s">
        <v>19</v>
      </c>
      <c r="F162" s="10" t="s">
        <v>10</v>
      </c>
      <c r="G162" s="10" t="s">
        <v>17</v>
      </c>
      <c r="H162" s="11">
        <v>0.04271990740740741</v>
      </c>
      <c r="I162" s="48"/>
      <c r="J162" s="48"/>
      <c r="K162" s="48"/>
      <c r="L162" s="23" t="s">
        <v>277</v>
      </c>
      <c r="M162" s="24"/>
    </row>
    <row r="163" hidden="1">
      <c r="A163" s="10">
        <v>100.0</v>
      </c>
      <c r="B163" s="10">
        <v>200.0</v>
      </c>
      <c r="C163" s="10">
        <f t="shared" si="3"/>
        <v>2</v>
      </c>
      <c r="D163" s="10">
        <v>183.0</v>
      </c>
      <c r="E163" s="10" t="s">
        <v>19</v>
      </c>
      <c r="F163" s="10" t="s">
        <v>10</v>
      </c>
      <c r="G163" s="10" t="s">
        <v>17</v>
      </c>
      <c r="H163" s="11">
        <v>0.04396990740740741</v>
      </c>
      <c r="I163" s="48"/>
      <c r="J163" s="48"/>
      <c r="K163" s="48"/>
      <c r="L163" s="23" t="s">
        <v>278</v>
      </c>
      <c r="M163" s="24"/>
    </row>
    <row r="164" hidden="1">
      <c r="A164" s="3">
        <v>75.0</v>
      </c>
      <c r="B164" s="4">
        <v>150.0</v>
      </c>
      <c r="C164" s="3">
        <f t="shared" si="3"/>
        <v>2</v>
      </c>
      <c r="D164" s="3">
        <v>183.0</v>
      </c>
      <c r="E164" s="3" t="s">
        <v>9</v>
      </c>
      <c r="F164" s="3" t="s">
        <v>10</v>
      </c>
      <c r="G164" s="3" t="s">
        <v>11</v>
      </c>
      <c r="H164" s="5">
        <v>0.04535879629629629</v>
      </c>
      <c r="I164" s="47"/>
      <c r="J164" s="47"/>
      <c r="K164" s="47"/>
      <c r="L164" s="26" t="s">
        <v>12</v>
      </c>
      <c r="M164" s="21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idden="1">
      <c r="A165" s="10">
        <v>75.0</v>
      </c>
      <c r="B165" s="10">
        <v>150.0</v>
      </c>
      <c r="C165" s="10">
        <f t="shared" si="3"/>
        <v>2</v>
      </c>
      <c r="D165" s="10">
        <v>183.0</v>
      </c>
      <c r="E165" s="10" t="s">
        <v>9</v>
      </c>
      <c r="F165" s="10" t="s">
        <v>10</v>
      </c>
      <c r="G165" s="10" t="s">
        <v>11</v>
      </c>
      <c r="H165" s="11">
        <v>0.04538194444444445</v>
      </c>
      <c r="I165" s="48"/>
      <c r="J165" s="48"/>
      <c r="K165" s="48"/>
      <c r="L165" s="23" t="s">
        <v>279</v>
      </c>
      <c r="M165" s="24"/>
    </row>
    <row r="166" hidden="1">
      <c r="A166" s="10">
        <v>75.0</v>
      </c>
      <c r="B166" s="10">
        <v>150.0</v>
      </c>
      <c r="C166" s="10">
        <f t="shared" si="3"/>
        <v>2</v>
      </c>
      <c r="D166" s="10">
        <v>183.0</v>
      </c>
      <c r="E166" s="10" t="s">
        <v>73</v>
      </c>
      <c r="F166" s="10" t="s">
        <v>10</v>
      </c>
      <c r="G166" s="10" t="s">
        <v>73</v>
      </c>
      <c r="H166" s="11">
        <v>0.04542824074074074</v>
      </c>
      <c r="I166" s="48"/>
      <c r="J166" s="48"/>
      <c r="K166" s="48"/>
      <c r="L166" s="23" t="s">
        <v>280</v>
      </c>
      <c r="M166" s="24"/>
    </row>
    <row r="167" hidden="1">
      <c r="A167" s="3">
        <v>75.0</v>
      </c>
      <c r="B167" s="4">
        <v>150.0</v>
      </c>
      <c r="C167" s="3">
        <f t="shared" si="3"/>
        <v>2</v>
      </c>
      <c r="D167" s="3">
        <v>183.0</v>
      </c>
      <c r="E167" s="4" t="s">
        <v>13</v>
      </c>
      <c r="F167" s="4" t="s">
        <v>10</v>
      </c>
      <c r="G167" s="4" t="s">
        <v>14</v>
      </c>
      <c r="H167" s="5">
        <v>0.045682870370370374</v>
      </c>
      <c r="I167" s="47"/>
      <c r="J167" s="47"/>
      <c r="K167" s="47"/>
      <c r="L167" s="25" t="s">
        <v>15</v>
      </c>
      <c r="M167" s="21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idden="1">
      <c r="A168" s="10">
        <v>75.0</v>
      </c>
      <c r="B168" s="10">
        <v>150.0</v>
      </c>
      <c r="C168" s="10">
        <f t="shared" si="3"/>
        <v>2</v>
      </c>
      <c r="D168" s="10">
        <v>183.0</v>
      </c>
      <c r="E168" s="10" t="s">
        <v>19</v>
      </c>
      <c r="F168" s="10" t="s">
        <v>10</v>
      </c>
      <c r="G168" s="10" t="s">
        <v>17</v>
      </c>
      <c r="H168" s="11">
        <v>0.04628472222222222</v>
      </c>
      <c r="I168" s="48"/>
      <c r="J168" s="48"/>
      <c r="K168" s="48"/>
      <c r="L168" s="23" t="s">
        <v>281</v>
      </c>
      <c r="M168" s="24"/>
    </row>
    <row r="169" hidden="1">
      <c r="A169" s="3">
        <v>75.0</v>
      </c>
      <c r="B169" s="4">
        <v>150.0</v>
      </c>
      <c r="C169" s="3">
        <f t="shared" si="3"/>
        <v>2</v>
      </c>
      <c r="D169" s="3">
        <v>183.0</v>
      </c>
      <c r="E169" s="4" t="s">
        <v>16</v>
      </c>
      <c r="F169" s="4" t="s">
        <v>10</v>
      </c>
      <c r="G169" s="10" t="s">
        <v>17</v>
      </c>
      <c r="H169" s="5">
        <v>0.046435185185185184</v>
      </c>
      <c r="I169" s="47"/>
      <c r="J169" s="47"/>
      <c r="K169" s="47"/>
      <c r="L169" s="25" t="s">
        <v>18</v>
      </c>
      <c r="M169" s="21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idden="1">
      <c r="A170" s="10">
        <v>50.0</v>
      </c>
      <c r="B170" s="10">
        <v>100.0</v>
      </c>
      <c r="C170" s="10">
        <f t="shared" si="3"/>
        <v>2</v>
      </c>
      <c r="D170" s="10">
        <v>183.0</v>
      </c>
      <c r="E170" s="10" t="s">
        <v>19</v>
      </c>
      <c r="F170" s="10" t="s">
        <v>10</v>
      </c>
      <c r="G170" s="10" t="s">
        <v>17</v>
      </c>
      <c r="H170" s="11">
        <v>0.04978009259259259</v>
      </c>
      <c r="I170" s="48"/>
      <c r="J170" s="48"/>
      <c r="K170" s="48"/>
      <c r="L170" s="23" t="s">
        <v>282</v>
      </c>
      <c r="M170" s="24"/>
    </row>
    <row r="171">
      <c r="A171" s="3"/>
      <c r="B171" s="3"/>
      <c r="C171" s="3"/>
      <c r="D171" s="3"/>
      <c r="E171" s="4"/>
      <c r="F171" s="4"/>
      <c r="G171" s="4"/>
      <c r="H171" s="5"/>
      <c r="I171" s="55"/>
      <c r="J171" s="55"/>
      <c r="K171" s="55"/>
      <c r="L171" s="25"/>
      <c r="M171" s="21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idden="1">
      <c r="A172" s="3">
        <v>75.0</v>
      </c>
      <c r="B172" s="4">
        <v>150.0</v>
      </c>
      <c r="C172" s="3">
        <f>B172/A172</f>
        <v>2</v>
      </c>
      <c r="D172" s="3">
        <v>183.0</v>
      </c>
      <c r="E172" s="4" t="s">
        <v>16</v>
      </c>
      <c r="F172" s="4" t="s">
        <v>10</v>
      </c>
      <c r="G172" s="10" t="s">
        <v>17</v>
      </c>
      <c r="H172" s="5">
        <v>0.046435185185185184</v>
      </c>
      <c r="I172" s="47"/>
      <c r="J172" s="47"/>
      <c r="K172" s="47"/>
      <c r="L172" s="25" t="s">
        <v>18</v>
      </c>
      <c r="M172" s="21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3"/>
      <c r="B173" s="3"/>
      <c r="C173" s="3"/>
      <c r="D173" s="3"/>
      <c r="E173" s="4"/>
      <c r="F173" s="4"/>
      <c r="G173" s="10"/>
      <c r="H173" s="5"/>
      <c r="I173" s="52"/>
      <c r="J173" s="52"/>
      <c r="K173" s="52"/>
      <c r="L173" s="9"/>
      <c r="M173" s="7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10"/>
      <c r="B174" s="10"/>
      <c r="C174" s="10"/>
      <c r="D174" s="10"/>
      <c r="E174" s="10"/>
      <c r="F174" s="10"/>
      <c r="G174" s="10"/>
      <c r="H174" s="11"/>
      <c r="I174" s="48"/>
      <c r="J174" s="48"/>
      <c r="K174" s="48"/>
      <c r="L174" s="17"/>
      <c r="M174" s="2"/>
    </row>
  </sheetData>
  <autoFilter ref="$A$1:$K$174">
    <filterColumn colId="1">
      <filters blank="1">
        <filter val="100"/>
        <filter val="200"/>
        <filter val="300"/>
        <filter val="400"/>
      </filters>
    </filterColumn>
    <filterColumn colId="0">
      <filters blank="1">
        <filter val="75"/>
      </filters>
    </filterColumn>
  </autoFilter>
  <customSheetViews>
    <customSheetView guid="{131ED934-56A5-4A4B-9246-8993FA1F050E}" filter="1" showAutoFilter="1">
      <autoFilter ref="$A$1:$K$155">
        <filterColumn colId="4">
          <filters blank="1">
            <filter val="Zwift Carbon"/>
            <filter val="Specialized Tarmac Pro"/>
            <filter val="Tron (Concept Z1)"/>
            <filter val="Specialized Venge S-Works"/>
            <filter val="Canyon Aeroad 2021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6">
          <filters blank="1">
            <filter val="Zipp 353 NSW"/>
            <filter val="Zipp 858/Super9"/>
            <filter val="DT Swiss ARC 62"/>
            <filter val="Lightweight Meilenstein"/>
            <filter val="Tron (Concept Z1)"/>
            <filter val="32mm Carbon"/>
          </filters>
        </filterColumn>
      </autoFilter>
    </customSheetView>
  </customSheetViews>
  <conditionalFormatting sqref="I1:K5 I12:K300 H19:H6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47"/>
    <hyperlink r:id="rId12" ref="L148"/>
    <hyperlink r:id="rId13" ref="L158"/>
    <hyperlink r:id="rId14" ref="L159"/>
    <hyperlink r:id="rId15" ref="L160"/>
    <hyperlink r:id="rId16" ref="L161"/>
    <hyperlink r:id="rId17" ref="L162"/>
    <hyperlink r:id="rId18" ref="L163"/>
    <hyperlink r:id="rId19" ref="L164"/>
    <hyperlink r:id="rId20" ref="L165"/>
    <hyperlink r:id="rId21" ref="L166"/>
    <hyperlink r:id="rId22" ref="L167"/>
    <hyperlink r:id="rId23" ref="L168"/>
    <hyperlink r:id="rId24" ref="L169"/>
    <hyperlink r:id="rId25" ref="L170"/>
    <hyperlink r:id="rId26" ref="L172"/>
  </hyperlinks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28.13"/>
  </cols>
  <sheetData>
    <row r="1">
      <c r="A1" s="1" t="s">
        <v>0</v>
      </c>
      <c r="B1" s="1" t="s">
        <v>1</v>
      </c>
      <c r="C1" s="56" t="s">
        <v>2</v>
      </c>
      <c r="D1" s="1" t="s">
        <v>3</v>
      </c>
      <c r="E1" s="1" t="s">
        <v>4</v>
      </c>
      <c r="F1" s="1" t="s">
        <v>6</v>
      </c>
      <c r="G1" s="1" t="s">
        <v>422</v>
      </c>
      <c r="H1" s="1" t="s">
        <v>7</v>
      </c>
      <c r="I1" s="1" t="s">
        <v>8</v>
      </c>
    </row>
    <row r="2">
      <c r="A2" s="10">
        <v>75.0</v>
      </c>
      <c r="B2" s="10">
        <v>750.0</v>
      </c>
      <c r="C2" s="57">
        <f t="shared" ref="C2:C60" si="1">B2/A2</f>
        <v>10</v>
      </c>
      <c r="D2" s="10">
        <v>183.0</v>
      </c>
      <c r="E2" s="10" t="s">
        <v>58</v>
      </c>
      <c r="F2" s="10" t="s">
        <v>79</v>
      </c>
      <c r="G2" s="10" t="s">
        <v>423</v>
      </c>
      <c r="H2" s="10">
        <v>13.74</v>
      </c>
    </row>
    <row r="3">
      <c r="A3" s="10">
        <v>75.0</v>
      </c>
      <c r="B3" s="10">
        <v>750.0</v>
      </c>
      <c r="C3" s="57">
        <f t="shared" si="1"/>
        <v>10</v>
      </c>
      <c r="D3" s="10">
        <v>183.0</v>
      </c>
      <c r="E3" s="10" t="s">
        <v>58</v>
      </c>
      <c r="F3" s="10" t="s">
        <v>79</v>
      </c>
      <c r="G3" s="11"/>
      <c r="H3" s="10">
        <v>14.34</v>
      </c>
    </row>
    <row r="4">
      <c r="A4" s="10">
        <v>75.0</v>
      </c>
      <c r="B4" s="10">
        <v>750.0</v>
      </c>
      <c r="C4" s="57">
        <f t="shared" si="1"/>
        <v>10</v>
      </c>
      <c r="D4" s="10">
        <v>183.0</v>
      </c>
      <c r="E4" s="10" t="s">
        <v>61</v>
      </c>
      <c r="F4" s="10" t="s">
        <v>11</v>
      </c>
      <c r="G4" s="10" t="s">
        <v>423</v>
      </c>
      <c r="H4" s="10">
        <v>13.72</v>
      </c>
    </row>
    <row r="5">
      <c r="A5" s="10">
        <v>75.0</v>
      </c>
      <c r="B5" s="10">
        <v>750.0</v>
      </c>
      <c r="C5" s="57">
        <f t="shared" si="1"/>
        <v>10</v>
      </c>
      <c r="D5" s="10">
        <v>183.0</v>
      </c>
      <c r="E5" s="10" t="s">
        <v>61</v>
      </c>
      <c r="F5" s="10" t="s">
        <v>79</v>
      </c>
      <c r="G5" s="10" t="s">
        <v>423</v>
      </c>
      <c r="H5" s="10">
        <v>13.75</v>
      </c>
    </row>
    <row r="6">
      <c r="A6" s="10">
        <v>75.0</v>
      </c>
      <c r="B6" s="10">
        <v>750.0</v>
      </c>
      <c r="C6" s="57">
        <f t="shared" si="1"/>
        <v>10</v>
      </c>
      <c r="D6" s="10">
        <v>183.0</v>
      </c>
      <c r="E6" s="10" t="s">
        <v>61</v>
      </c>
      <c r="F6" s="10" t="s">
        <v>88</v>
      </c>
      <c r="G6" s="10" t="s">
        <v>423</v>
      </c>
      <c r="H6" s="10">
        <v>13.76</v>
      </c>
    </row>
    <row r="7">
      <c r="A7" s="10">
        <v>75.0</v>
      </c>
      <c r="B7" s="10">
        <v>750.0</v>
      </c>
      <c r="C7" s="57">
        <f t="shared" si="1"/>
        <v>10</v>
      </c>
      <c r="D7" s="10">
        <v>183.0</v>
      </c>
      <c r="E7" s="10" t="s">
        <v>61</v>
      </c>
      <c r="F7" s="10" t="s">
        <v>11</v>
      </c>
      <c r="G7" s="10" t="s">
        <v>424</v>
      </c>
      <c r="H7" s="10">
        <v>14.14</v>
      </c>
    </row>
    <row r="8">
      <c r="A8" s="10">
        <v>75.0</v>
      </c>
      <c r="B8" s="10">
        <v>750.0</v>
      </c>
      <c r="C8" s="57">
        <f t="shared" si="1"/>
        <v>10</v>
      </c>
      <c r="D8" s="10">
        <v>183.0</v>
      </c>
      <c r="E8" s="10" t="s">
        <v>61</v>
      </c>
      <c r="F8" s="10" t="s">
        <v>11</v>
      </c>
      <c r="G8" s="11"/>
      <c r="H8" s="10">
        <v>14.31</v>
      </c>
    </row>
    <row r="9">
      <c r="A9" s="10">
        <v>75.0</v>
      </c>
      <c r="B9" s="10">
        <v>750.0</v>
      </c>
      <c r="C9" s="57">
        <f t="shared" si="1"/>
        <v>10</v>
      </c>
      <c r="D9" s="10">
        <v>183.0</v>
      </c>
      <c r="E9" s="10" t="s">
        <v>61</v>
      </c>
      <c r="F9" s="10" t="s">
        <v>79</v>
      </c>
      <c r="G9" s="11"/>
      <c r="H9" s="10">
        <v>14.34</v>
      </c>
    </row>
    <row r="10">
      <c r="A10" s="10">
        <v>75.0</v>
      </c>
      <c r="B10" s="10">
        <v>750.0</v>
      </c>
      <c r="C10" s="57">
        <f t="shared" si="1"/>
        <v>10</v>
      </c>
      <c r="D10" s="10">
        <v>183.0</v>
      </c>
      <c r="E10" s="10" t="s">
        <v>61</v>
      </c>
      <c r="F10" s="10" t="s">
        <v>79</v>
      </c>
      <c r="G10" s="11"/>
      <c r="H10" s="10">
        <v>14.36</v>
      </c>
      <c r="I10" s="13" t="s">
        <v>425</v>
      </c>
    </row>
    <row r="11">
      <c r="A11" s="10">
        <v>75.0</v>
      </c>
      <c r="B11" s="10">
        <v>750.0</v>
      </c>
      <c r="C11" s="57">
        <f t="shared" si="1"/>
        <v>10</v>
      </c>
      <c r="D11" s="10">
        <v>183.0</v>
      </c>
      <c r="E11" s="10" t="s">
        <v>61</v>
      </c>
      <c r="F11" s="10" t="s">
        <v>88</v>
      </c>
      <c r="G11" s="11"/>
      <c r="H11" s="10">
        <v>14.36</v>
      </c>
    </row>
    <row r="12">
      <c r="A12" s="10">
        <v>75.0</v>
      </c>
      <c r="B12" s="10">
        <v>750.0</v>
      </c>
      <c r="C12" s="57">
        <f t="shared" si="1"/>
        <v>10</v>
      </c>
      <c r="D12" s="10">
        <v>183.0</v>
      </c>
      <c r="E12" s="10" t="s">
        <v>61</v>
      </c>
      <c r="F12" s="10" t="s">
        <v>426</v>
      </c>
      <c r="G12" s="11"/>
      <c r="H12" s="10">
        <v>14.36</v>
      </c>
    </row>
    <row r="13">
      <c r="A13" s="10">
        <v>75.0</v>
      </c>
      <c r="B13" s="10">
        <v>750.0</v>
      </c>
      <c r="C13" s="57">
        <f t="shared" si="1"/>
        <v>10</v>
      </c>
      <c r="D13" s="10">
        <v>183.0</v>
      </c>
      <c r="E13" s="10" t="s">
        <v>61</v>
      </c>
      <c r="F13" s="10" t="s">
        <v>91</v>
      </c>
      <c r="G13" s="11"/>
      <c r="H13" s="10">
        <v>14.36</v>
      </c>
    </row>
    <row r="14">
      <c r="A14" s="10">
        <v>75.0</v>
      </c>
      <c r="B14" s="10">
        <v>750.0</v>
      </c>
      <c r="C14" s="57">
        <f t="shared" si="1"/>
        <v>10</v>
      </c>
      <c r="D14" s="10">
        <v>183.0</v>
      </c>
      <c r="E14" s="10" t="s">
        <v>61</v>
      </c>
      <c r="F14" s="10" t="s">
        <v>113</v>
      </c>
      <c r="G14" s="11"/>
      <c r="H14" s="10">
        <v>14.39</v>
      </c>
    </row>
    <row r="15">
      <c r="A15" s="10">
        <v>75.0</v>
      </c>
      <c r="B15" s="10">
        <v>750.0</v>
      </c>
      <c r="C15" s="57">
        <f t="shared" si="1"/>
        <v>10</v>
      </c>
      <c r="D15" s="10">
        <v>183.0</v>
      </c>
      <c r="E15" s="10" t="s">
        <v>61</v>
      </c>
      <c r="F15" s="10" t="s">
        <v>17</v>
      </c>
      <c r="G15" s="11"/>
      <c r="H15" s="10">
        <v>14.58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>
      <c r="A16" s="10">
        <v>75.0</v>
      </c>
      <c r="B16" s="10">
        <v>760.0</v>
      </c>
      <c r="C16" s="57">
        <f t="shared" si="1"/>
        <v>10.13333333</v>
      </c>
      <c r="D16" s="10">
        <v>183.0</v>
      </c>
      <c r="E16" s="10" t="s">
        <v>61</v>
      </c>
      <c r="F16" s="10" t="s">
        <v>11</v>
      </c>
      <c r="G16" s="11"/>
      <c r="H16" s="10">
        <v>14.12</v>
      </c>
    </row>
    <row r="17">
      <c r="A17" s="10">
        <v>75.0</v>
      </c>
      <c r="B17" s="10">
        <v>790.0</v>
      </c>
      <c r="C17" s="57">
        <f t="shared" si="1"/>
        <v>10.53333333</v>
      </c>
      <c r="D17" s="10">
        <v>183.0</v>
      </c>
      <c r="E17" s="10" t="s">
        <v>61</v>
      </c>
      <c r="F17" s="10" t="s">
        <v>11</v>
      </c>
      <c r="G17" s="11"/>
      <c r="H17" s="10">
        <v>14.07</v>
      </c>
    </row>
    <row r="18">
      <c r="A18" s="10">
        <v>75.0</v>
      </c>
      <c r="B18" s="10">
        <v>825.0</v>
      </c>
      <c r="C18" s="57">
        <f t="shared" si="1"/>
        <v>11</v>
      </c>
      <c r="D18" s="10">
        <v>183.0</v>
      </c>
      <c r="E18" s="10" t="s">
        <v>61</v>
      </c>
      <c r="F18" s="10" t="s">
        <v>11</v>
      </c>
      <c r="G18" s="11"/>
      <c r="H18" s="10">
        <v>13.86</v>
      </c>
    </row>
    <row r="19">
      <c r="A19" s="10">
        <v>75.0</v>
      </c>
      <c r="B19" s="10">
        <v>850.0</v>
      </c>
      <c r="C19" s="57">
        <f t="shared" si="1"/>
        <v>11.33333333</v>
      </c>
      <c r="D19" s="10">
        <v>183.0</v>
      </c>
      <c r="E19" s="10" t="s">
        <v>61</v>
      </c>
      <c r="F19" s="10" t="s">
        <v>11</v>
      </c>
      <c r="G19" s="11"/>
      <c r="H19" s="10">
        <v>13.71</v>
      </c>
    </row>
    <row r="20">
      <c r="A20" s="10">
        <v>75.0</v>
      </c>
      <c r="B20" s="10">
        <v>850.0</v>
      </c>
      <c r="C20" s="57">
        <f t="shared" si="1"/>
        <v>11.33333333</v>
      </c>
      <c r="D20" s="10">
        <v>183.0</v>
      </c>
      <c r="E20" s="10" t="s">
        <v>61</v>
      </c>
      <c r="F20" s="10" t="s">
        <v>11</v>
      </c>
      <c r="G20" s="11"/>
      <c r="H20" s="10">
        <v>13.72</v>
      </c>
    </row>
    <row r="21">
      <c r="A21" s="10">
        <v>75.0</v>
      </c>
      <c r="B21" s="10">
        <v>750.0</v>
      </c>
      <c r="C21" s="57">
        <f t="shared" si="1"/>
        <v>10</v>
      </c>
      <c r="D21" s="10">
        <v>183.0</v>
      </c>
      <c r="E21" s="10" t="s">
        <v>9</v>
      </c>
      <c r="F21" s="10" t="s">
        <v>11</v>
      </c>
      <c r="G21" s="10" t="s">
        <v>423</v>
      </c>
      <c r="H21" s="10">
        <v>13.71</v>
      </c>
    </row>
    <row r="22">
      <c r="A22" s="10">
        <v>75.0</v>
      </c>
      <c r="B22" s="10">
        <v>750.0</v>
      </c>
      <c r="C22" s="57">
        <f t="shared" si="1"/>
        <v>10</v>
      </c>
      <c r="D22" s="10">
        <v>183.0</v>
      </c>
      <c r="E22" s="10" t="s">
        <v>9</v>
      </c>
      <c r="F22" s="10" t="s">
        <v>79</v>
      </c>
      <c r="G22" s="10" t="s">
        <v>423</v>
      </c>
      <c r="H22" s="10">
        <v>13.76</v>
      </c>
    </row>
    <row r="23">
      <c r="A23" s="10">
        <v>75.0</v>
      </c>
      <c r="B23" s="10">
        <v>750.0</v>
      </c>
      <c r="C23" s="57">
        <f t="shared" si="1"/>
        <v>10</v>
      </c>
      <c r="D23" s="10">
        <v>183.0</v>
      </c>
      <c r="E23" s="10" t="s">
        <v>9</v>
      </c>
      <c r="F23" s="10" t="s">
        <v>79</v>
      </c>
      <c r="G23" s="10" t="s">
        <v>424</v>
      </c>
      <c r="H23" s="10">
        <v>14.17</v>
      </c>
    </row>
    <row r="24">
      <c r="A24" s="10">
        <v>75.0</v>
      </c>
      <c r="B24" s="10">
        <v>750.0</v>
      </c>
      <c r="C24" s="57">
        <f t="shared" si="1"/>
        <v>10</v>
      </c>
      <c r="D24" s="10">
        <v>183.0</v>
      </c>
      <c r="E24" s="10" t="s">
        <v>9</v>
      </c>
      <c r="F24" s="10" t="s">
        <v>11</v>
      </c>
      <c r="G24" s="11"/>
      <c r="H24" s="10">
        <v>14.31</v>
      </c>
    </row>
    <row r="25">
      <c r="A25" s="10">
        <v>75.0</v>
      </c>
      <c r="B25" s="10">
        <v>750.0</v>
      </c>
      <c r="C25" s="57">
        <f t="shared" si="1"/>
        <v>10</v>
      </c>
      <c r="D25" s="10">
        <v>183.0</v>
      </c>
      <c r="E25" s="10" t="s">
        <v>9</v>
      </c>
      <c r="F25" s="10" t="s">
        <v>79</v>
      </c>
      <c r="G25" s="10"/>
      <c r="H25" s="10">
        <v>14.34</v>
      </c>
    </row>
    <row r="26">
      <c r="A26" s="10">
        <v>75.0</v>
      </c>
      <c r="B26" s="10">
        <v>750.0</v>
      </c>
      <c r="C26" s="57">
        <f t="shared" si="1"/>
        <v>10</v>
      </c>
      <c r="D26" s="10">
        <v>183.0</v>
      </c>
      <c r="E26" s="10" t="s">
        <v>9</v>
      </c>
      <c r="F26" s="10" t="s">
        <v>79</v>
      </c>
      <c r="G26" s="10"/>
      <c r="H26" s="10">
        <v>14.36</v>
      </c>
      <c r="I26" s="13" t="s">
        <v>425</v>
      </c>
    </row>
    <row r="27">
      <c r="A27" s="10">
        <v>75.0</v>
      </c>
      <c r="B27" s="10">
        <v>750.0</v>
      </c>
      <c r="C27" s="57">
        <f t="shared" si="1"/>
        <v>10</v>
      </c>
      <c r="D27" s="10">
        <v>183.0</v>
      </c>
      <c r="E27" s="10" t="s">
        <v>9</v>
      </c>
      <c r="F27" s="10" t="s">
        <v>88</v>
      </c>
      <c r="G27" s="11"/>
      <c r="H27" s="10">
        <v>14.36</v>
      </c>
    </row>
    <row r="28">
      <c r="A28" s="10">
        <v>75.0</v>
      </c>
      <c r="B28" s="10">
        <v>750.0</v>
      </c>
      <c r="C28" s="57">
        <f t="shared" si="1"/>
        <v>10</v>
      </c>
      <c r="D28" s="10">
        <v>183.0</v>
      </c>
      <c r="E28" s="10" t="s">
        <v>63</v>
      </c>
      <c r="F28" s="10" t="s">
        <v>79</v>
      </c>
      <c r="G28" s="10" t="s">
        <v>424</v>
      </c>
      <c r="H28" s="10">
        <v>14.19</v>
      </c>
    </row>
    <row r="29">
      <c r="A29" s="10">
        <v>75.0</v>
      </c>
      <c r="B29" s="10">
        <v>750.0</v>
      </c>
      <c r="C29" s="57">
        <f t="shared" si="1"/>
        <v>10</v>
      </c>
      <c r="D29" s="10">
        <v>183.0</v>
      </c>
      <c r="E29" s="10" t="s">
        <v>63</v>
      </c>
      <c r="F29" s="10" t="s">
        <v>79</v>
      </c>
      <c r="G29" s="11"/>
      <c r="H29" s="10">
        <v>14.35</v>
      </c>
    </row>
    <row r="30">
      <c r="A30" s="10">
        <v>75.0</v>
      </c>
      <c r="B30" s="10">
        <v>750.0</v>
      </c>
      <c r="C30" s="57">
        <f t="shared" si="1"/>
        <v>10</v>
      </c>
      <c r="D30" s="10">
        <v>183.0</v>
      </c>
      <c r="E30" s="10" t="s">
        <v>73</v>
      </c>
      <c r="F30" s="10" t="s">
        <v>73</v>
      </c>
      <c r="G30" s="10" t="s">
        <v>423</v>
      </c>
      <c r="H30" s="10">
        <v>13.72</v>
      </c>
    </row>
    <row r="31">
      <c r="A31" s="10">
        <v>75.0</v>
      </c>
      <c r="B31" s="10">
        <v>750.0</v>
      </c>
      <c r="C31" s="57">
        <f t="shared" si="1"/>
        <v>10</v>
      </c>
      <c r="D31" s="10">
        <v>153.0</v>
      </c>
      <c r="E31" s="10" t="s">
        <v>73</v>
      </c>
      <c r="F31" s="10" t="s">
        <v>73</v>
      </c>
      <c r="G31" s="10"/>
      <c r="H31" s="10">
        <v>13.76</v>
      </c>
    </row>
    <row r="32">
      <c r="A32" s="10">
        <v>75.0</v>
      </c>
      <c r="B32" s="10">
        <v>750.0</v>
      </c>
      <c r="C32" s="57">
        <f t="shared" si="1"/>
        <v>10</v>
      </c>
      <c r="D32" s="10">
        <v>163.0</v>
      </c>
      <c r="E32" s="10" t="s">
        <v>73</v>
      </c>
      <c r="F32" s="10" t="s">
        <v>73</v>
      </c>
      <c r="G32" s="10"/>
      <c r="H32" s="10">
        <v>13.97</v>
      </c>
    </row>
    <row r="33">
      <c r="A33" s="10">
        <v>75.0</v>
      </c>
      <c r="B33" s="10">
        <v>750.0</v>
      </c>
      <c r="C33" s="57">
        <f t="shared" si="1"/>
        <v>10</v>
      </c>
      <c r="D33" s="10">
        <v>173.0</v>
      </c>
      <c r="E33" s="10" t="s">
        <v>73</v>
      </c>
      <c r="F33" s="10" t="s">
        <v>73</v>
      </c>
      <c r="G33" s="10"/>
      <c r="H33" s="10">
        <v>14.13</v>
      </c>
    </row>
    <row r="34">
      <c r="A34" s="10">
        <v>75.0</v>
      </c>
      <c r="B34" s="10">
        <v>750.0</v>
      </c>
      <c r="C34" s="57">
        <f t="shared" si="1"/>
        <v>10</v>
      </c>
      <c r="D34" s="10">
        <v>183.0</v>
      </c>
      <c r="E34" s="10" t="s">
        <v>73</v>
      </c>
      <c r="F34" s="10" t="s">
        <v>73</v>
      </c>
      <c r="G34" s="10" t="s">
        <v>424</v>
      </c>
      <c r="H34" s="10">
        <v>14.16</v>
      </c>
    </row>
    <row r="35" ht="15.75" customHeight="1">
      <c r="A35" s="10">
        <v>75.0</v>
      </c>
      <c r="B35" s="10">
        <v>750.0</v>
      </c>
      <c r="C35" s="57">
        <f t="shared" si="1"/>
        <v>10</v>
      </c>
      <c r="D35" s="10">
        <v>183.0</v>
      </c>
      <c r="E35" s="10" t="s">
        <v>73</v>
      </c>
      <c r="F35" s="10" t="s">
        <v>73</v>
      </c>
      <c r="G35" s="11"/>
      <c r="H35" s="10">
        <v>14.32</v>
      </c>
    </row>
    <row r="36">
      <c r="A36" s="10">
        <v>75.0</v>
      </c>
      <c r="B36" s="10">
        <v>750.0</v>
      </c>
      <c r="C36" s="57">
        <f t="shared" si="1"/>
        <v>10</v>
      </c>
      <c r="D36" s="10">
        <v>193.0</v>
      </c>
      <c r="E36" s="10" t="s">
        <v>73</v>
      </c>
      <c r="F36" s="10" t="s">
        <v>73</v>
      </c>
      <c r="G36" s="10"/>
      <c r="H36" s="10">
        <v>14.5</v>
      </c>
    </row>
    <row r="37">
      <c r="A37" s="10">
        <v>75.0</v>
      </c>
      <c r="B37" s="10">
        <v>750.0</v>
      </c>
      <c r="C37" s="57">
        <f t="shared" si="1"/>
        <v>10</v>
      </c>
      <c r="D37" s="10">
        <v>203.0</v>
      </c>
      <c r="E37" s="10" t="s">
        <v>73</v>
      </c>
      <c r="F37" s="10" t="s">
        <v>73</v>
      </c>
      <c r="G37" s="10"/>
      <c r="H37" s="10">
        <v>14.66</v>
      </c>
    </row>
    <row r="38">
      <c r="A38" s="10">
        <v>75.0</v>
      </c>
      <c r="B38" s="10">
        <v>850.0</v>
      </c>
      <c r="C38" s="57">
        <f t="shared" si="1"/>
        <v>11.33333333</v>
      </c>
      <c r="D38" s="10">
        <v>183.0</v>
      </c>
      <c r="E38" s="10" t="s">
        <v>73</v>
      </c>
      <c r="F38" s="10" t="s">
        <v>73</v>
      </c>
      <c r="G38" s="11"/>
      <c r="H38" s="10">
        <v>13.72</v>
      </c>
    </row>
    <row r="39">
      <c r="A39" s="10">
        <v>90.0</v>
      </c>
      <c r="B39" s="10">
        <v>900.0</v>
      </c>
      <c r="C39" s="57">
        <f t="shared" si="1"/>
        <v>10</v>
      </c>
      <c r="D39" s="10">
        <v>183.0</v>
      </c>
      <c r="E39" s="10" t="s">
        <v>73</v>
      </c>
      <c r="F39" s="10" t="s">
        <v>73</v>
      </c>
      <c r="G39" s="11"/>
      <c r="H39" s="10">
        <v>13.89</v>
      </c>
    </row>
    <row r="40">
      <c r="A40" s="10">
        <v>60.0</v>
      </c>
      <c r="B40" s="10">
        <v>600.0</v>
      </c>
      <c r="C40" s="57">
        <f t="shared" si="1"/>
        <v>10</v>
      </c>
      <c r="D40" s="10">
        <v>183.0</v>
      </c>
      <c r="E40" s="10" t="s">
        <v>73</v>
      </c>
      <c r="F40" s="10" t="s">
        <v>73</v>
      </c>
      <c r="G40" s="11"/>
      <c r="H40" s="10">
        <v>14.87</v>
      </c>
    </row>
    <row r="41">
      <c r="A41" s="10">
        <v>60.0</v>
      </c>
      <c r="B41" s="10">
        <v>600.0</v>
      </c>
      <c r="C41" s="57">
        <f t="shared" si="1"/>
        <v>10</v>
      </c>
      <c r="D41" s="10">
        <v>183.0</v>
      </c>
      <c r="E41" s="10" t="s">
        <v>73</v>
      </c>
      <c r="F41" s="10" t="s">
        <v>73</v>
      </c>
      <c r="G41" s="10" t="s">
        <v>423</v>
      </c>
      <c r="H41" s="10">
        <v>14.21</v>
      </c>
    </row>
    <row r="42">
      <c r="A42" s="10">
        <v>60.0</v>
      </c>
      <c r="B42" s="10">
        <v>700.0</v>
      </c>
      <c r="C42" s="57">
        <f t="shared" si="1"/>
        <v>11.66666667</v>
      </c>
      <c r="D42" s="10">
        <v>183.0</v>
      </c>
      <c r="E42" s="10" t="s">
        <v>73</v>
      </c>
      <c r="F42" s="10" t="s">
        <v>73</v>
      </c>
      <c r="G42" s="11"/>
      <c r="H42" s="10">
        <v>14.09</v>
      </c>
    </row>
    <row r="43">
      <c r="A43" s="10">
        <v>60.0</v>
      </c>
      <c r="B43" s="10">
        <v>680.0</v>
      </c>
      <c r="C43" s="57">
        <f t="shared" si="1"/>
        <v>11.33333333</v>
      </c>
      <c r="D43" s="10">
        <v>183.0</v>
      </c>
      <c r="E43" s="10" t="s">
        <v>73</v>
      </c>
      <c r="F43" s="10" t="s">
        <v>73</v>
      </c>
      <c r="G43" s="11"/>
      <c r="H43" s="10">
        <v>14.24</v>
      </c>
    </row>
    <row r="44">
      <c r="A44" s="10">
        <v>90.0</v>
      </c>
      <c r="B44" s="10">
        <v>900.0</v>
      </c>
      <c r="C44" s="57">
        <f t="shared" si="1"/>
        <v>10</v>
      </c>
      <c r="D44" s="10">
        <v>183.0</v>
      </c>
      <c r="E44" s="10" t="s">
        <v>73</v>
      </c>
      <c r="F44" s="10" t="s">
        <v>73</v>
      </c>
      <c r="G44" s="10" t="s">
        <v>423</v>
      </c>
      <c r="H44" s="10">
        <v>13.34</v>
      </c>
    </row>
    <row r="45">
      <c r="A45" s="10">
        <v>90.0</v>
      </c>
      <c r="B45" s="10">
        <v>1010.0</v>
      </c>
      <c r="C45" s="57">
        <f t="shared" si="1"/>
        <v>11.22222222</v>
      </c>
      <c r="D45" s="10">
        <v>183.0</v>
      </c>
      <c r="E45" s="10" t="s">
        <v>73</v>
      </c>
      <c r="F45" s="10" t="s">
        <v>73</v>
      </c>
      <c r="G45" s="11"/>
      <c r="H45" s="10">
        <v>13.34</v>
      </c>
    </row>
    <row r="46">
      <c r="A46" s="10">
        <v>75.0</v>
      </c>
      <c r="B46" s="10">
        <v>900.0</v>
      </c>
      <c r="C46" s="57">
        <f t="shared" si="1"/>
        <v>12</v>
      </c>
      <c r="D46" s="10">
        <v>183.0</v>
      </c>
      <c r="E46" s="10" t="s">
        <v>73</v>
      </c>
      <c r="F46" s="10" t="s">
        <v>73</v>
      </c>
      <c r="G46" s="10" t="s">
        <v>423</v>
      </c>
      <c r="H46" s="10">
        <v>12.89</v>
      </c>
    </row>
    <row r="47">
      <c r="A47" s="10">
        <v>75.0</v>
      </c>
      <c r="B47" s="10">
        <v>900.0</v>
      </c>
      <c r="C47" s="57">
        <f t="shared" si="1"/>
        <v>12</v>
      </c>
      <c r="D47" s="10">
        <v>183.0</v>
      </c>
      <c r="E47" s="10" t="s">
        <v>73</v>
      </c>
      <c r="F47" s="10" t="s">
        <v>73</v>
      </c>
      <c r="G47" s="10"/>
      <c r="H47" s="10">
        <v>13.45</v>
      </c>
    </row>
    <row r="48">
      <c r="A48" s="10">
        <v>75.0</v>
      </c>
      <c r="B48" s="10">
        <v>1015.0</v>
      </c>
      <c r="C48" s="57">
        <f t="shared" si="1"/>
        <v>13.53333333</v>
      </c>
      <c r="D48" s="10">
        <v>183.0</v>
      </c>
      <c r="E48" s="10" t="s">
        <v>73</v>
      </c>
      <c r="F48" s="10" t="s">
        <v>73</v>
      </c>
      <c r="G48" s="10"/>
      <c r="H48" s="10">
        <v>12.91</v>
      </c>
    </row>
    <row r="49">
      <c r="A49" s="10">
        <v>75.0</v>
      </c>
      <c r="B49" s="10">
        <v>600.0</v>
      </c>
      <c r="C49" s="57">
        <f t="shared" si="1"/>
        <v>8</v>
      </c>
      <c r="D49" s="10">
        <v>183.0</v>
      </c>
      <c r="E49" s="10" t="s">
        <v>73</v>
      </c>
      <c r="F49" s="10" t="s">
        <v>73</v>
      </c>
      <c r="G49" s="10" t="s">
        <v>423</v>
      </c>
      <c r="H49" s="10">
        <v>14.84</v>
      </c>
    </row>
    <row r="50">
      <c r="A50" s="10">
        <v>75.0</v>
      </c>
      <c r="B50" s="10">
        <v>600.0</v>
      </c>
      <c r="C50" s="57">
        <f t="shared" si="1"/>
        <v>8</v>
      </c>
      <c r="D50" s="10">
        <v>183.0</v>
      </c>
      <c r="E50" s="10" t="s">
        <v>73</v>
      </c>
      <c r="F50" s="10" t="s">
        <v>73</v>
      </c>
      <c r="G50" s="10"/>
      <c r="H50" s="10">
        <v>15.47</v>
      </c>
      <c r="I50" s="13" t="s">
        <v>427</v>
      </c>
    </row>
    <row r="51">
      <c r="A51" s="10">
        <v>75.0</v>
      </c>
      <c r="B51" s="10">
        <v>690.0</v>
      </c>
      <c r="C51" s="57">
        <f t="shared" si="1"/>
        <v>9.2</v>
      </c>
      <c r="D51" s="10">
        <v>183.0</v>
      </c>
      <c r="E51" s="10" t="s">
        <v>73</v>
      </c>
      <c r="F51" s="10" t="s">
        <v>73</v>
      </c>
      <c r="G51" s="10"/>
      <c r="H51" s="10">
        <v>14.76</v>
      </c>
    </row>
    <row r="52">
      <c r="A52" s="10">
        <v>75.0</v>
      </c>
      <c r="B52" s="10">
        <v>680.0</v>
      </c>
      <c r="C52" s="57">
        <f t="shared" si="1"/>
        <v>9.066666667</v>
      </c>
      <c r="D52" s="10">
        <v>183.0</v>
      </c>
      <c r="E52" s="10" t="s">
        <v>73</v>
      </c>
      <c r="F52" s="10" t="s">
        <v>73</v>
      </c>
      <c r="G52" s="10"/>
      <c r="H52" s="10">
        <v>14.82</v>
      </c>
    </row>
    <row r="53">
      <c r="A53" s="10">
        <v>75.0</v>
      </c>
      <c r="B53" s="10">
        <v>900.0</v>
      </c>
      <c r="C53" s="57">
        <f t="shared" si="1"/>
        <v>12</v>
      </c>
      <c r="D53" s="10">
        <v>183.0</v>
      </c>
      <c r="E53" s="10" t="s">
        <v>73</v>
      </c>
      <c r="F53" s="10" t="s">
        <v>73</v>
      </c>
      <c r="G53" s="10" t="s">
        <v>424</v>
      </c>
      <c r="H53" s="10">
        <v>13.29</v>
      </c>
    </row>
    <row r="54">
      <c r="A54" s="10">
        <v>75.0</v>
      </c>
      <c r="B54" s="10">
        <v>600.0</v>
      </c>
      <c r="C54" s="57">
        <f t="shared" si="1"/>
        <v>8</v>
      </c>
      <c r="D54" s="10">
        <v>183.0</v>
      </c>
      <c r="E54" s="10" t="s">
        <v>73</v>
      </c>
      <c r="F54" s="10" t="s">
        <v>73</v>
      </c>
      <c r="G54" s="10" t="s">
        <v>424</v>
      </c>
      <c r="H54" s="10">
        <v>15.37</v>
      </c>
    </row>
    <row r="55">
      <c r="A55" s="10">
        <v>75.0</v>
      </c>
      <c r="B55" s="10">
        <v>750.0</v>
      </c>
      <c r="C55" s="57">
        <f t="shared" si="1"/>
        <v>10</v>
      </c>
      <c r="D55" s="10">
        <v>183.0</v>
      </c>
      <c r="E55" s="10" t="s">
        <v>16</v>
      </c>
      <c r="F55" s="10" t="s">
        <v>17</v>
      </c>
      <c r="G55" s="10" t="s">
        <v>423</v>
      </c>
      <c r="H55" s="10">
        <v>14.06</v>
      </c>
    </row>
    <row r="56">
      <c r="A56" s="10">
        <v>75.0</v>
      </c>
      <c r="B56" s="10">
        <v>750.0</v>
      </c>
      <c r="C56" s="57">
        <f t="shared" si="1"/>
        <v>10</v>
      </c>
      <c r="D56" s="10">
        <v>183.0</v>
      </c>
      <c r="E56" s="10" t="s">
        <v>16</v>
      </c>
      <c r="F56" s="10" t="s">
        <v>17</v>
      </c>
      <c r="G56" s="10" t="s">
        <v>424</v>
      </c>
      <c r="H56" s="10">
        <v>14.47</v>
      </c>
    </row>
    <row r="57">
      <c r="A57" s="10">
        <v>75.0</v>
      </c>
      <c r="B57" s="10">
        <v>750.0</v>
      </c>
      <c r="C57" s="57">
        <f t="shared" si="1"/>
        <v>10</v>
      </c>
      <c r="D57" s="10">
        <v>183.0</v>
      </c>
      <c r="E57" s="10" t="s">
        <v>16</v>
      </c>
      <c r="F57" s="10" t="s">
        <v>17</v>
      </c>
      <c r="G57" s="10"/>
      <c r="H57" s="10">
        <v>14.64</v>
      </c>
    </row>
    <row r="58" ht="15.75" customHeight="1">
      <c r="A58" s="10">
        <v>75.0</v>
      </c>
      <c r="B58" s="10">
        <v>750.0</v>
      </c>
      <c r="C58" s="57">
        <f t="shared" si="1"/>
        <v>10</v>
      </c>
      <c r="D58" s="10">
        <v>183.0</v>
      </c>
      <c r="E58" s="10" t="s">
        <v>73</v>
      </c>
      <c r="F58" s="10" t="s">
        <v>73</v>
      </c>
      <c r="G58" s="11"/>
      <c r="H58" s="10">
        <v>14.34</v>
      </c>
    </row>
    <row r="59" ht="15.75" customHeight="1">
      <c r="A59" s="10">
        <v>75.0</v>
      </c>
      <c r="B59" s="10">
        <v>750.0</v>
      </c>
      <c r="C59" s="57">
        <f t="shared" si="1"/>
        <v>10</v>
      </c>
      <c r="D59" s="10">
        <v>183.0</v>
      </c>
      <c r="E59" s="10" t="s">
        <v>73</v>
      </c>
      <c r="F59" s="10" t="s">
        <v>73</v>
      </c>
      <c r="G59" s="11"/>
      <c r="H59" s="10">
        <v>14.33</v>
      </c>
    </row>
    <row r="60">
      <c r="A60" s="10">
        <v>75.0</v>
      </c>
      <c r="B60" s="10">
        <v>750.0</v>
      </c>
      <c r="C60" s="57">
        <f t="shared" si="1"/>
        <v>10</v>
      </c>
      <c r="D60" s="10">
        <v>183.0</v>
      </c>
      <c r="E60" s="10" t="s">
        <v>9</v>
      </c>
      <c r="F60" s="10" t="s">
        <v>65</v>
      </c>
      <c r="G60" s="11"/>
      <c r="H60" s="10">
        <v>14.32</v>
      </c>
    </row>
    <row r="61">
      <c r="A61" s="10"/>
      <c r="B61" s="10"/>
      <c r="C61" s="10"/>
      <c r="D61" s="10"/>
      <c r="E61" s="10"/>
      <c r="F61" s="10"/>
      <c r="G61" s="11"/>
      <c r="H61" s="11"/>
    </row>
    <row r="62">
      <c r="A62" s="10"/>
      <c r="B62" s="10"/>
      <c r="C62" s="10"/>
      <c r="D62" s="10"/>
      <c r="E62" s="10"/>
      <c r="F62" s="10"/>
      <c r="G62" s="11"/>
      <c r="H62" s="11"/>
    </row>
    <row r="63">
      <c r="A63" s="10"/>
      <c r="B63" s="10"/>
      <c r="C63" s="10"/>
      <c r="D63" s="10"/>
      <c r="E63" s="10"/>
      <c r="F63" s="10"/>
      <c r="G63" s="11"/>
      <c r="H63" s="11"/>
    </row>
    <row r="64">
      <c r="A64" s="10"/>
      <c r="B64" s="10"/>
      <c r="C64" s="10"/>
      <c r="D64" s="10"/>
      <c r="E64" s="10"/>
      <c r="F64" s="10"/>
      <c r="G64" s="11"/>
      <c r="H64" s="11"/>
    </row>
    <row r="65">
      <c r="A65" s="10"/>
      <c r="B65" s="10"/>
      <c r="C65" s="10"/>
      <c r="D65" s="10"/>
      <c r="E65" s="10"/>
      <c r="F65" s="10"/>
      <c r="G65" s="11"/>
      <c r="H65" s="11"/>
    </row>
    <row r="66">
      <c r="A66" s="10"/>
      <c r="B66" s="10"/>
      <c r="C66" s="10"/>
      <c r="D66" s="10"/>
      <c r="E66" s="10"/>
      <c r="F66" s="10"/>
      <c r="G66" s="11"/>
      <c r="H66" s="11"/>
    </row>
    <row r="67">
      <c r="A67" s="10"/>
      <c r="B67" s="10"/>
      <c r="C67" s="10"/>
      <c r="D67" s="10"/>
      <c r="E67" s="10"/>
      <c r="F67" s="10"/>
      <c r="G67" s="11"/>
      <c r="H67" s="11"/>
    </row>
    <row r="68">
      <c r="A68" s="10"/>
      <c r="B68" s="10"/>
      <c r="C68" s="10"/>
      <c r="D68" s="10"/>
      <c r="E68" s="10"/>
      <c r="F68" s="10"/>
      <c r="G68" s="11"/>
      <c r="H68" s="11"/>
    </row>
    <row r="69">
      <c r="A69" s="10"/>
      <c r="B69" s="10"/>
      <c r="C69" s="10"/>
      <c r="D69" s="10"/>
      <c r="E69" s="10"/>
      <c r="F69" s="10"/>
      <c r="G69" s="11"/>
      <c r="H69" s="11"/>
    </row>
    <row r="70">
      <c r="A70" s="10"/>
      <c r="B70" s="10"/>
      <c r="C70" s="10"/>
      <c r="D70" s="10"/>
      <c r="E70" s="10"/>
      <c r="F70" s="10"/>
      <c r="G70" s="11"/>
      <c r="H70" s="11"/>
    </row>
    <row r="71">
      <c r="A71" s="10"/>
      <c r="B71" s="10"/>
      <c r="C71" s="10"/>
      <c r="D71" s="10"/>
      <c r="E71" s="10"/>
      <c r="F71" s="10"/>
      <c r="G71" s="11"/>
      <c r="H71" s="11"/>
    </row>
    <row r="72">
      <c r="A72" s="10"/>
      <c r="B72" s="10"/>
      <c r="C72" s="10"/>
      <c r="D72" s="10"/>
      <c r="E72" s="10"/>
      <c r="F72" s="10"/>
      <c r="G72" s="11"/>
      <c r="H72" s="11"/>
    </row>
    <row r="73">
      <c r="A73" s="10"/>
      <c r="B73" s="10"/>
      <c r="C73" s="10"/>
      <c r="D73" s="10"/>
      <c r="E73" s="10"/>
      <c r="F73" s="10"/>
      <c r="G73" s="11"/>
      <c r="H73" s="11"/>
    </row>
    <row r="74">
      <c r="A74" s="10"/>
      <c r="B74" s="10"/>
      <c r="C74" s="10"/>
      <c r="D74" s="10"/>
      <c r="E74" s="10"/>
      <c r="F74" s="10"/>
      <c r="G74" s="11"/>
      <c r="H74" s="11"/>
    </row>
    <row r="75">
      <c r="A75" s="10"/>
      <c r="B75" s="10"/>
      <c r="C75" s="10"/>
      <c r="D75" s="10"/>
      <c r="E75" s="10"/>
      <c r="F75" s="10"/>
      <c r="G75" s="11"/>
      <c r="H75" s="11"/>
    </row>
    <row r="76">
      <c r="A76" s="10"/>
      <c r="B76" s="10"/>
      <c r="C76" s="10"/>
      <c r="D76" s="10"/>
      <c r="E76" s="10"/>
      <c r="F76" s="10"/>
      <c r="G76" s="11"/>
      <c r="H76" s="11"/>
    </row>
    <row r="77">
      <c r="A77" s="10"/>
      <c r="B77" s="10"/>
      <c r="C77" s="10"/>
      <c r="D77" s="10"/>
      <c r="E77" s="10"/>
      <c r="F77" s="10"/>
      <c r="G77" s="11"/>
      <c r="H77" s="11"/>
    </row>
    <row r="78">
      <c r="A78" s="10"/>
      <c r="B78" s="10"/>
      <c r="C78" s="10"/>
      <c r="D78" s="10"/>
      <c r="E78" s="10"/>
      <c r="F78" s="10"/>
      <c r="G78" s="11"/>
      <c r="H78" s="11"/>
    </row>
    <row r="79">
      <c r="A79" s="10"/>
      <c r="B79" s="10"/>
      <c r="C79" s="10"/>
      <c r="D79" s="10"/>
      <c r="E79" s="10"/>
      <c r="F79" s="10"/>
      <c r="G79" s="11"/>
      <c r="H79" s="11"/>
    </row>
    <row r="80">
      <c r="A80" s="10"/>
      <c r="B80" s="10"/>
      <c r="C80" s="10"/>
      <c r="D80" s="10"/>
      <c r="E80" s="10"/>
      <c r="F80" s="10"/>
      <c r="G80" s="11"/>
      <c r="H80" s="11"/>
    </row>
    <row r="81">
      <c r="A81" s="10"/>
      <c r="B81" s="10"/>
      <c r="C81" s="10"/>
      <c r="D81" s="10"/>
      <c r="E81" s="10"/>
      <c r="F81" s="10"/>
      <c r="G81" s="11"/>
      <c r="H81" s="11"/>
    </row>
    <row r="82">
      <c r="A82" s="10"/>
      <c r="B82" s="10"/>
      <c r="C82" s="10"/>
      <c r="D82" s="10"/>
      <c r="E82" s="10"/>
      <c r="F82" s="10"/>
      <c r="G82" s="11"/>
      <c r="H82" s="11"/>
    </row>
    <row r="83">
      <c r="A83" s="10"/>
      <c r="B83" s="10"/>
      <c r="C83" s="10"/>
      <c r="D83" s="10"/>
      <c r="E83" s="10"/>
      <c r="F83" s="10"/>
      <c r="G83" s="11"/>
      <c r="H83" s="11"/>
    </row>
    <row r="84">
      <c r="A84" s="10"/>
      <c r="B84" s="10"/>
      <c r="C84" s="10"/>
      <c r="D84" s="10"/>
      <c r="E84" s="10"/>
      <c r="F84" s="10"/>
      <c r="G84" s="11"/>
      <c r="H84" s="11"/>
    </row>
    <row r="85">
      <c r="A85" s="10"/>
      <c r="B85" s="10"/>
      <c r="C85" s="10"/>
      <c r="D85" s="10"/>
      <c r="E85" s="10"/>
      <c r="F85" s="10"/>
      <c r="G85" s="11"/>
      <c r="H85" s="11"/>
    </row>
    <row r="86">
      <c r="A86" s="10"/>
      <c r="B86" s="10"/>
      <c r="C86" s="10"/>
      <c r="D86" s="10"/>
      <c r="E86" s="10"/>
      <c r="F86" s="10"/>
      <c r="G86" s="11"/>
      <c r="H86" s="11"/>
    </row>
    <row r="87">
      <c r="A87" s="10"/>
      <c r="B87" s="10"/>
      <c r="C87" s="10"/>
      <c r="D87" s="10"/>
      <c r="E87" s="10"/>
      <c r="F87" s="10"/>
      <c r="G87" s="11"/>
      <c r="H87" s="11"/>
    </row>
    <row r="88">
      <c r="A88" s="10"/>
      <c r="B88" s="10"/>
      <c r="C88" s="10"/>
      <c r="D88" s="10"/>
      <c r="E88" s="10"/>
      <c r="F88" s="10"/>
      <c r="G88" s="11"/>
      <c r="H88" s="11"/>
    </row>
    <row r="957">
      <c r="J957" s="46"/>
    </row>
    <row r="977">
      <c r="C977" s="58"/>
    </row>
    <row r="978">
      <c r="C978" s="58"/>
    </row>
    <row r="979">
      <c r="C979" s="58"/>
    </row>
    <row r="980">
      <c r="C980" s="58"/>
    </row>
    <row r="981">
      <c r="C981" s="58"/>
    </row>
    <row r="982">
      <c r="C982" s="58"/>
    </row>
    <row r="983">
      <c r="C983" s="58"/>
    </row>
    <row r="984">
      <c r="C984" s="58"/>
    </row>
    <row r="985">
      <c r="C985" s="58"/>
    </row>
    <row r="986">
      <c r="C986" s="58"/>
    </row>
    <row r="987">
      <c r="C987" s="58"/>
    </row>
    <row r="988">
      <c r="C988" s="58"/>
    </row>
    <row r="989">
      <c r="C989" s="58"/>
    </row>
    <row r="990">
      <c r="C990" s="58"/>
    </row>
    <row r="991">
      <c r="C991" s="58"/>
    </row>
    <row r="992">
      <c r="C992" s="58"/>
    </row>
    <row r="993">
      <c r="C993" s="58"/>
    </row>
    <row r="994">
      <c r="C994" s="58"/>
    </row>
    <row r="995">
      <c r="C995" s="58"/>
    </row>
    <row r="996">
      <c r="C996" s="58"/>
    </row>
    <row r="997">
      <c r="C997" s="58"/>
    </row>
    <row r="998">
      <c r="C998" s="58"/>
    </row>
    <row r="999">
      <c r="C999" s="58"/>
    </row>
    <row r="1000">
      <c r="C1000" s="58"/>
    </row>
    <row r="1001">
      <c r="C1001" s="58"/>
    </row>
    <row r="1002">
      <c r="C1002" s="58"/>
    </row>
    <row r="1003">
      <c r="C1003" s="58"/>
    </row>
    <row r="1004">
      <c r="C1004" s="58"/>
    </row>
    <row r="1005">
      <c r="C1005" s="58"/>
    </row>
    <row r="1006">
      <c r="C1006" s="58"/>
    </row>
    <row r="1007">
      <c r="C1007" s="58"/>
    </row>
    <row r="1008">
      <c r="C1008" s="58"/>
    </row>
    <row r="1009">
      <c r="C1009" s="58"/>
    </row>
    <row r="1010">
      <c r="C1010" s="58"/>
    </row>
    <row r="1011">
      <c r="C1011" s="58"/>
    </row>
    <row r="1012">
      <c r="C1012" s="58"/>
    </row>
    <row r="1013">
      <c r="C1013" s="58"/>
    </row>
    <row r="1014">
      <c r="C1014" s="58"/>
    </row>
    <row r="1015">
      <c r="C1015" s="58"/>
    </row>
    <row r="1016">
      <c r="C1016" s="58"/>
    </row>
    <row r="1017">
      <c r="C1017" s="58"/>
    </row>
    <row r="1018">
      <c r="C1018" s="58"/>
    </row>
    <row r="1019">
      <c r="C1019" s="58"/>
    </row>
    <row r="1020">
      <c r="C1020" s="58"/>
    </row>
    <row r="1021">
      <c r="C1021" s="58"/>
    </row>
    <row r="1022">
      <c r="C1022" s="58"/>
    </row>
    <row r="1023">
      <c r="C1023" s="58"/>
    </row>
    <row r="1024">
      <c r="C1024" s="58"/>
    </row>
    <row r="1025">
      <c r="C1025" s="58"/>
    </row>
    <row r="1026">
      <c r="C1026" s="58"/>
    </row>
    <row r="1027">
      <c r="C1027" s="58"/>
    </row>
    <row r="1028">
      <c r="C1028" s="58"/>
    </row>
    <row r="1029">
      <c r="C1029" s="58"/>
    </row>
    <row r="1030">
      <c r="C1030" s="58"/>
    </row>
    <row r="1031">
      <c r="C1031" s="58"/>
    </row>
    <row r="1032">
      <c r="C1032" s="58"/>
    </row>
    <row r="1033">
      <c r="C1033" s="58"/>
    </row>
    <row r="1034">
      <c r="C1034" s="58"/>
    </row>
    <row r="1035">
      <c r="C1035" s="58"/>
    </row>
    <row r="1036">
      <c r="C1036" s="58"/>
    </row>
    <row r="1037">
      <c r="C1037" s="58"/>
    </row>
    <row r="1038">
      <c r="C1038" s="58"/>
    </row>
    <row r="1039">
      <c r="C1039" s="58"/>
    </row>
    <row r="1040">
      <c r="C1040" s="58"/>
    </row>
    <row r="1041">
      <c r="C1041" s="58"/>
    </row>
    <row r="1042">
      <c r="C1042" s="58"/>
    </row>
    <row r="1043">
      <c r="C1043" s="58"/>
    </row>
    <row r="1044">
      <c r="C1044" s="58"/>
    </row>
    <row r="1045">
      <c r="C1045" s="58"/>
    </row>
    <row r="1046">
      <c r="C1046" s="58"/>
    </row>
    <row r="1047">
      <c r="C1047" s="58"/>
    </row>
    <row r="1048">
      <c r="C1048" s="58"/>
    </row>
    <row r="1049">
      <c r="C1049" s="58"/>
    </row>
    <row r="1050">
      <c r="C1050" s="58"/>
    </row>
    <row r="1051">
      <c r="C1051" s="58"/>
    </row>
    <row r="1052">
      <c r="C1052" s="58"/>
    </row>
    <row r="1053">
      <c r="C1053" s="58"/>
    </row>
    <row r="1054">
      <c r="C1054" s="58"/>
    </row>
    <row r="1055">
      <c r="C1055" s="58"/>
    </row>
    <row r="1056">
      <c r="C1056" s="58"/>
    </row>
    <row r="1057">
      <c r="C1057" s="58"/>
    </row>
    <row r="1058">
      <c r="C1058" s="58"/>
    </row>
    <row r="1059">
      <c r="C1059" s="58"/>
    </row>
    <row r="1060">
      <c r="C1060" s="58"/>
    </row>
    <row r="1061">
      <c r="C1061" s="58"/>
    </row>
    <row r="1062">
      <c r="C1062" s="58"/>
    </row>
    <row r="1063">
      <c r="C1063" s="58"/>
    </row>
    <row r="1064">
      <c r="C1064" s="58"/>
    </row>
    <row r="1065">
      <c r="C1065" s="58"/>
    </row>
    <row r="1066">
      <c r="C1066" s="58"/>
    </row>
    <row r="1067">
      <c r="C1067" s="58"/>
    </row>
    <row r="1068">
      <c r="C1068" s="58"/>
    </row>
    <row r="1069">
      <c r="C1069" s="58"/>
    </row>
    <row r="1070">
      <c r="C1070" s="58"/>
    </row>
    <row r="1071">
      <c r="C1071" s="58"/>
    </row>
    <row r="1072">
      <c r="C1072" s="58"/>
    </row>
    <row r="1073">
      <c r="C1073" s="58"/>
    </row>
    <row r="1074">
      <c r="C1074" s="58"/>
    </row>
    <row r="1075">
      <c r="C1075" s="58"/>
    </row>
    <row r="1076">
      <c r="C1076" s="58"/>
    </row>
    <row r="1077">
      <c r="C1077" s="58"/>
    </row>
    <row r="1078">
      <c r="C1078" s="58"/>
    </row>
    <row r="1079">
      <c r="C1079" s="58"/>
    </row>
    <row r="1080">
      <c r="C1080" s="58"/>
    </row>
    <row r="1081">
      <c r="C1081" s="58"/>
    </row>
    <row r="1082">
      <c r="C1082" s="58"/>
    </row>
    <row r="1083">
      <c r="C1083" s="58"/>
    </row>
    <row r="1084">
      <c r="C1084" s="58"/>
    </row>
    <row r="1085">
      <c r="C1085" s="58"/>
    </row>
    <row r="1086">
      <c r="C1086" s="58"/>
    </row>
    <row r="1087">
      <c r="C1087" s="58"/>
    </row>
    <row r="1088">
      <c r="C1088" s="58"/>
    </row>
    <row r="1089">
      <c r="C1089" s="58"/>
    </row>
    <row r="1090">
      <c r="C1090" s="58"/>
    </row>
    <row r="1091">
      <c r="C1091" s="58"/>
    </row>
    <row r="1092">
      <c r="C1092" s="58"/>
    </row>
    <row r="1093">
      <c r="C1093" s="58"/>
    </row>
    <row r="1094">
      <c r="C1094" s="58"/>
    </row>
    <row r="1095">
      <c r="C1095" s="58"/>
    </row>
    <row r="1096">
      <c r="C1096" s="58"/>
    </row>
    <row r="1097">
      <c r="C1097" s="58"/>
    </row>
    <row r="1098">
      <c r="C1098" s="58"/>
    </row>
    <row r="1099">
      <c r="C1099" s="58"/>
    </row>
    <row r="1100">
      <c r="C1100" s="58"/>
    </row>
    <row r="1101">
      <c r="C1101" s="58"/>
    </row>
    <row r="1102">
      <c r="C1102" s="58"/>
    </row>
    <row r="1103">
      <c r="C1103" s="58"/>
    </row>
    <row r="1104">
      <c r="C1104" s="58"/>
    </row>
    <row r="1105">
      <c r="C1105" s="58"/>
    </row>
    <row r="1106">
      <c r="C1106" s="58"/>
    </row>
    <row r="1107">
      <c r="C1107" s="58"/>
    </row>
    <row r="1108">
      <c r="C1108" s="58"/>
    </row>
    <row r="1109">
      <c r="C1109" s="58"/>
    </row>
    <row r="1110">
      <c r="C1110" s="58"/>
    </row>
    <row r="1111">
      <c r="C1111" s="58"/>
    </row>
    <row r="1112">
      <c r="C1112" s="58"/>
    </row>
    <row r="1113">
      <c r="C1113" s="58"/>
    </row>
    <row r="1114">
      <c r="C1114" s="58"/>
    </row>
    <row r="1115">
      <c r="C1115" s="58"/>
    </row>
    <row r="1116">
      <c r="C1116" s="58"/>
    </row>
    <row r="1117">
      <c r="C1117" s="58"/>
    </row>
    <row r="1118">
      <c r="C1118" s="58"/>
    </row>
    <row r="1119">
      <c r="C1119" s="58"/>
    </row>
  </sheetData>
  <autoFilter ref="$A$1:$H$976"/>
  <customSheetViews>
    <customSheetView guid="{131ED934-56A5-4A4B-9246-8993FA1F050E}" filter="1" showAutoFilter="1">
      <autoFilter ref="$A$1:$H$976">
        <filterColumn colId="4">
          <filters blank="1">
            <filter val="Zwift Carbon"/>
            <filter val="Tron (Concept Z1)"/>
            <filter val="Specialized Venge S-Works"/>
            <filter val="Felt AR"/>
          </filters>
        </filterColumn>
        <filterColumn colId="3">
          <filters blank="1">
            <filter val="203"/>
            <filter val="193"/>
            <filter val="183"/>
            <filter val="173"/>
            <filter val="163"/>
          </filters>
        </filterColumn>
        <filterColumn colId="0">
          <filters blank="1">
            <filter val="90"/>
            <filter val="60"/>
            <filter val="75"/>
          </filters>
        </filterColumn>
        <filterColumn colId="1">
          <filters blank="1">
            <filter val="1010"/>
            <filter val="690"/>
            <filter val="790"/>
            <filter val="680"/>
            <filter val="760"/>
            <filter val="750"/>
            <filter val="850"/>
            <filter val="1015"/>
            <filter val="600"/>
            <filter val="700"/>
            <filter val="900"/>
            <filter val="825"/>
          </filters>
        </filterColumn>
        <filterColumn colId="5">
          <filters blank="1">
            <filter val="Zipp 454"/>
            <filter val="Zipp 858/Super9"/>
            <filter val="ENVE 8.9"/>
            <filter val="Zipp 858"/>
            <filter val="ENVE 7.8"/>
            <filter val="Tron (Concept Z1)"/>
            <filter val="32mm Carbon"/>
            <filter val="Zipp 808/Super9"/>
          </filters>
        </filterColumn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7.38"/>
    <col customWidth="1" min="7" max="7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428</v>
      </c>
      <c r="J1" s="1" t="s">
        <v>429</v>
      </c>
      <c r="K1" s="1" t="s">
        <v>430</v>
      </c>
      <c r="L1" s="1" t="s">
        <v>8</v>
      </c>
    </row>
    <row r="2">
      <c r="A2" s="10">
        <v>75.0</v>
      </c>
      <c r="B2" s="10">
        <v>300.0</v>
      </c>
      <c r="C2" s="10">
        <f t="shared" ref="C2:C10" si="1">B2/A2</f>
        <v>4</v>
      </c>
      <c r="D2" s="10">
        <v>183.0</v>
      </c>
      <c r="E2" s="10" t="s">
        <v>9</v>
      </c>
      <c r="F2" s="10" t="s">
        <v>10</v>
      </c>
      <c r="G2" s="10" t="s">
        <v>11</v>
      </c>
      <c r="H2" s="11">
        <v>0.031516203703703706</v>
      </c>
      <c r="I2" s="11">
        <v>0.0032407407407407406</v>
      </c>
      <c r="J2" s="11">
        <v>0.0018287037037037037</v>
      </c>
      <c r="K2" s="48">
        <f t="shared" ref="K2:K10" si="2">1-(PERCENTRANK(H:H,H2,4))</f>
        <v>1</v>
      </c>
      <c r="L2" s="28" t="s">
        <v>431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73</v>
      </c>
      <c r="F3" s="10" t="s">
        <v>10</v>
      </c>
      <c r="G3" s="10" t="s">
        <v>73</v>
      </c>
      <c r="H3" s="11">
        <v>0.03153935185185185</v>
      </c>
      <c r="I3" s="11">
        <v>0.0032407407407407406</v>
      </c>
      <c r="J3" s="11">
        <v>0.0018171296296296297</v>
      </c>
      <c r="K3" s="48">
        <f t="shared" si="2"/>
        <v>0.5</v>
      </c>
      <c r="L3" s="28" t="s">
        <v>432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94</v>
      </c>
      <c r="F4" s="10" t="s">
        <v>10</v>
      </c>
      <c r="G4" s="10" t="s">
        <v>11</v>
      </c>
      <c r="H4" s="11">
        <v>0.031655092592592596</v>
      </c>
      <c r="I4" s="11">
        <v>0.0032407407407407406</v>
      </c>
      <c r="J4" s="11">
        <v>0.0018287037037037037</v>
      </c>
      <c r="K4" s="48">
        <f t="shared" si="2"/>
        <v>0.25</v>
      </c>
      <c r="L4" s="28" t="s">
        <v>433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19</v>
      </c>
      <c r="F5" s="10" t="s">
        <v>10</v>
      </c>
      <c r="G5" s="10" t="s">
        <v>91</v>
      </c>
      <c r="H5" s="11">
        <v>0.03172453703703704</v>
      </c>
      <c r="I5" s="11">
        <v>0.0032523148148148147</v>
      </c>
      <c r="J5" s="11">
        <v>0.0018402777777777777</v>
      </c>
      <c r="K5" s="48">
        <f t="shared" si="2"/>
        <v>0.125</v>
      </c>
      <c r="L5" s="28" t="s">
        <v>434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94</v>
      </c>
      <c r="F6" s="10" t="s">
        <v>10</v>
      </c>
      <c r="G6" s="10" t="s">
        <v>133</v>
      </c>
      <c r="H6" s="11">
        <v>0.032025462962962964</v>
      </c>
      <c r="I6" s="11">
        <v>0.003263888888888889</v>
      </c>
      <c r="J6" s="11">
        <v>0.0018171296296296297</v>
      </c>
      <c r="K6" s="48">
        <f t="shared" si="2"/>
        <v>0</v>
      </c>
      <c r="L6" s="28" t="s">
        <v>435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9</v>
      </c>
      <c r="F7" s="10" t="s">
        <v>10</v>
      </c>
      <c r="G7" s="10" t="s">
        <v>79</v>
      </c>
      <c r="H7" s="11">
        <v>0.03158564814814815</v>
      </c>
      <c r="I7" s="11">
        <v>0.0032407407407407406</v>
      </c>
      <c r="J7" s="11">
        <v>0.0018171296296296297</v>
      </c>
      <c r="K7" s="48">
        <f t="shared" si="2"/>
        <v>0.375</v>
      </c>
      <c r="L7" s="28" t="s">
        <v>436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/>
      <c r="F8" s="10" t="s">
        <v>10</v>
      </c>
      <c r="G8" s="10"/>
      <c r="H8" s="11">
        <v>0.031516203703703706</v>
      </c>
      <c r="I8" s="11">
        <v>0.0032407407407407406</v>
      </c>
      <c r="J8" s="11">
        <v>0.0018287037037037037</v>
      </c>
      <c r="K8" s="48">
        <f t="shared" si="2"/>
        <v>1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/>
      <c r="F9" s="10" t="s">
        <v>10</v>
      </c>
      <c r="G9" s="10"/>
      <c r="H9" s="11">
        <v>0.031516203703703706</v>
      </c>
      <c r="I9" s="11">
        <v>0.0032407407407407406</v>
      </c>
      <c r="J9" s="11">
        <v>0.0018287037037037037</v>
      </c>
      <c r="K9" s="48">
        <f t="shared" si="2"/>
        <v>1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/>
      <c r="F10" s="10" t="s">
        <v>10</v>
      </c>
      <c r="G10" s="10"/>
      <c r="H10" s="11">
        <v>0.031516203703703706</v>
      </c>
      <c r="I10" s="11">
        <v>0.0032407407407407406</v>
      </c>
      <c r="J10" s="11">
        <v>0.0018287037037037037</v>
      </c>
      <c r="K10" s="48">
        <f t="shared" si="2"/>
        <v>1</v>
      </c>
    </row>
    <row r="11">
      <c r="A11" s="10"/>
      <c r="B11" s="10"/>
      <c r="C11" s="10"/>
      <c r="D11" s="10"/>
      <c r="E11" s="10"/>
      <c r="F11" s="10"/>
      <c r="G11" s="10"/>
      <c r="H11" s="11"/>
      <c r="I11" s="11"/>
      <c r="J11" s="11"/>
      <c r="K11" s="48"/>
    </row>
    <row r="12">
      <c r="A12" s="10"/>
      <c r="B12" s="10"/>
      <c r="C12" s="10"/>
      <c r="D12" s="10"/>
      <c r="E12" s="10"/>
      <c r="F12" s="10"/>
      <c r="G12" s="10"/>
      <c r="H12" s="11"/>
      <c r="I12" s="11"/>
      <c r="J12" s="11"/>
      <c r="K12" s="48"/>
    </row>
    <row r="13">
      <c r="A13" s="10"/>
      <c r="B13" s="10"/>
      <c r="C13" s="10"/>
      <c r="D13" s="10"/>
      <c r="E13" s="10"/>
      <c r="F13" s="10"/>
      <c r="G13" s="10"/>
      <c r="H13" s="11"/>
      <c r="I13" s="11"/>
      <c r="J13" s="11"/>
      <c r="K13" s="48"/>
    </row>
    <row r="14">
      <c r="A14" s="10"/>
      <c r="B14" s="10"/>
      <c r="C14" s="10"/>
      <c r="D14" s="10"/>
      <c r="E14" s="10"/>
      <c r="F14" s="10"/>
      <c r="G14" s="10"/>
      <c r="H14" s="11"/>
      <c r="I14" s="11"/>
      <c r="J14" s="11"/>
      <c r="K14" s="48"/>
    </row>
    <row r="15">
      <c r="A15" s="10"/>
      <c r="B15" s="10"/>
      <c r="C15" s="10"/>
      <c r="D15" s="10"/>
      <c r="E15" s="10"/>
      <c r="F15" s="10"/>
      <c r="G15" s="10"/>
      <c r="H15" s="11"/>
      <c r="I15" s="11"/>
      <c r="J15" s="11"/>
      <c r="K15" s="48"/>
    </row>
    <row r="16">
      <c r="A16" s="10"/>
      <c r="B16" s="10"/>
      <c r="C16" s="10"/>
      <c r="D16" s="10"/>
      <c r="E16" s="10"/>
      <c r="F16" s="10"/>
      <c r="G16" s="10"/>
      <c r="H16" s="11"/>
      <c r="I16" s="11"/>
      <c r="J16" s="11"/>
      <c r="K16" s="48"/>
    </row>
    <row r="17">
      <c r="A17" s="10"/>
      <c r="B17" s="10"/>
      <c r="C17" s="10"/>
      <c r="D17" s="10"/>
      <c r="E17" s="10"/>
      <c r="F17" s="10"/>
      <c r="G17" s="10"/>
      <c r="H17" s="11"/>
      <c r="I17" s="11"/>
      <c r="J17" s="11"/>
      <c r="K17" s="48"/>
    </row>
    <row r="18">
      <c r="A18" s="10"/>
      <c r="B18" s="10"/>
      <c r="C18" s="10"/>
      <c r="D18" s="10"/>
      <c r="E18" s="10"/>
      <c r="F18" s="10"/>
      <c r="G18" s="10"/>
      <c r="H18" s="11"/>
      <c r="I18" s="11"/>
      <c r="J18" s="11"/>
      <c r="K18" s="48"/>
    </row>
    <row r="19">
      <c r="A19" s="10"/>
      <c r="B19" s="10"/>
      <c r="C19" s="10"/>
      <c r="D19" s="10"/>
      <c r="E19" s="10"/>
      <c r="F19" s="10"/>
      <c r="G19" s="10"/>
      <c r="H19" s="11"/>
      <c r="I19" s="11"/>
      <c r="J19" s="11"/>
      <c r="K19" s="48"/>
    </row>
    <row r="20">
      <c r="A20" s="10"/>
      <c r="B20" s="10"/>
      <c r="C20" s="10"/>
      <c r="D20" s="10"/>
      <c r="E20" s="10"/>
      <c r="F20" s="10"/>
      <c r="G20" s="10"/>
      <c r="H20" s="11"/>
      <c r="I20" s="48"/>
      <c r="J20" s="48"/>
      <c r="K20" s="48"/>
    </row>
    <row r="21">
      <c r="A21" s="10"/>
      <c r="B21" s="10"/>
      <c r="C21" s="10"/>
      <c r="D21" s="10"/>
      <c r="E21" s="10"/>
      <c r="F21" s="10"/>
      <c r="G21" s="10"/>
      <c r="H21" s="11"/>
      <c r="I21" s="48"/>
      <c r="J21" s="48"/>
      <c r="K21" s="48"/>
    </row>
    <row r="22">
      <c r="A22" s="10"/>
      <c r="B22" s="10"/>
      <c r="C22" s="10"/>
      <c r="D22" s="10"/>
      <c r="E22" s="10"/>
      <c r="F22" s="10"/>
      <c r="G22" s="10"/>
      <c r="H22" s="11"/>
      <c r="I22" s="48"/>
      <c r="J22" s="48"/>
      <c r="K22" s="48"/>
    </row>
    <row r="23">
      <c r="A23" s="10"/>
      <c r="B23" s="10"/>
      <c r="C23" s="10"/>
      <c r="D23" s="10"/>
      <c r="E23" s="10"/>
      <c r="F23" s="10"/>
      <c r="G23" s="10"/>
      <c r="H23" s="11"/>
      <c r="I23" s="48"/>
      <c r="J23" s="48"/>
      <c r="K23" s="48"/>
    </row>
    <row r="24">
      <c r="A24" s="10"/>
      <c r="B24" s="10"/>
      <c r="C24" s="10"/>
      <c r="D24" s="10"/>
      <c r="E24" s="10"/>
      <c r="F24" s="10"/>
      <c r="G24" s="10"/>
      <c r="H24" s="11"/>
      <c r="I24" s="48"/>
      <c r="J24" s="48"/>
      <c r="K24" s="48"/>
    </row>
    <row r="25">
      <c r="A25" s="10"/>
      <c r="B25" s="10"/>
      <c r="C25" s="10"/>
      <c r="D25" s="10"/>
      <c r="E25" s="10"/>
      <c r="F25" s="10"/>
      <c r="G25" s="10"/>
      <c r="H25" s="11"/>
      <c r="I25" s="48"/>
      <c r="J25" s="48"/>
      <c r="K25" s="48"/>
    </row>
    <row r="26">
      <c r="A26" s="10"/>
      <c r="B26" s="10"/>
      <c r="C26" s="10"/>
      <c r="D26" s="10"/>
      <c r="E26" s="10"/>
      <c r="F26" s="10"/>
      <c r="G26" s="10"/>
      <c r="H26" s="11"/>
      <c r="I26" s="48"/>
      <c r="J26" s="48"/>
      <c r="K26" s="48"/>
    </row>
    <row r="27">
      <c r="A27" s="10"/>
      <c r="B27" s="10"/>
      <c r="C27" s="10"/>
      <c r="D27" s="10"/>
      <c r="E27" s="10"/>
      <c r="F27" s="10"/>
      <c r="G27" s="10"/>
      <c r="H27" s="11"/>
      <c r="I27" s="48"/>
      <c r="J27" s="48"/>
      <c r="K27" s="48"/>
    </row>
    <row r="28">
      <c r="A28" s="10"/>
      <c r="B28" s="10"/>
      <c r="C28" s="10"/>
      <c r="D28" s="10"/>
      <c r="E28" s="10"/>
      <c r="F28" s="10"/>
      <c r="G28" s="10"/>
      <c r="H28" s="11"/>
      <c r="I28" s="48"/>
      <c r="J28" s="48"/>
      <c r="K28" s="48"/>
    </row>
    <row r="29">
      <c r="A29" s="20"/>
      <c r="B29" s="20"/>
      <c r="C29" s="20"/>
      <c r="D29" s="20"/>
      <c r="E29" s="59"/>
      <c r="F29" s="59"/>
      <c r="G29" s="10"/>
      <c r="H29" s="11"/>
      <c r="I29" s="60"/>
      <c r="J29" s="60"/>
      <c r="K29" s="6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>
      <c r="A30" s="10"/>
      <c r="B30" s="10"/>
      <c r="C30" s="10"/>
      <c r="D30" s="10"/>
      <c r="E30" s="10"/>
      <c r="F30" s="10"/>
      <c r="G30" s="10"/>
      <c r="H30" s="11"/>
      <c r="I30" s="48"/>
      <c r="J30" s="48"/>
      <c r="K30" s="48"/>
    </row>
    <row r="31">
      <c r="A31" s="10"/>
      <c r="B31" s="10"/>
      <c r="C31" s="10"/>
      <c r="D31" s="10"/>
      <c r="E31" s="10"/>
      <c r="F31" s="10"/>
      <c r="G31" s="10"/>
      <c r="H31" s="11"/>
      <c r="I31" s="48"/>
      <c r="J31" s="48"/>
      <c r="K31" s="48"/>
    </row>
    <row r="32">
      <c r="A32" s="10"/>
      <c r="B32" s="10"/>
      <c r="C32" s="10"/>
      <c r="D32" s="10"/>
      <c r="E32" s="10"/>
      <c r="F32" s="10"/>
      <c r="G32" s="10"/>
      <c r="H32" s="11"/>
      <c r="I32" s="48"/>
      <c r="J32" s="48"/>
      <c r="K32" s="48"/>
    </row>
    <row r="33">
      <c r="A33" s="10"/>
      <c r="B33" s="10"/>
      <c r="C33" s="10"/>
      <c r="D33" s="10"/>
      <c r="E33" s="10"/>
      <c r="F33" s="10"/>
      <c r="G33" s="10"/>
      <c r="H33" s="11"/>
      <c r="I33" s="48"/>
      <c r="J33" s="48"/>
      <c r="K33" s="48"/>
    </row>
    <row r="34">
      <c r="A34" s="10"/>
      <c r="B34" s="10"/>
      <c r="C34" s="10"/>
      <c r="D34" s="10"/>
      <c r="E34" s="10"/>
      <c r="F34" s="10"/>
      <c r="G34" s="10"/>
      <c r="H34" s="11"/>
      <c r="I34" s="48"/>
      <c r="J34" s="48"/>
      <c r="K34" s="48"/>
    </row>
    <row r="35">
      <c r="A35" s="10"/>
      <c r="B35" s="10"/>
      <c r="C35" s="10"/>
      <c r="D35" s="10"/>
      <c r="E35" s="10"/>
      <c r="F35" s="10"/>
      <c r="G35" s="10"/>
      <c r="H35" s="11"/>
      <c r="I35" s="48"/>
      <c r="J35" s="48"/>
      <c r="K35" s="48"/>
    </row>
    <row r="36">
      <c r="A36" s="10"/>
      <c r="B36" s="10"/>
      <c r="C36" s="10"/>
      <c r="D36" s="10"/>
      <c r="E36" s="10"/>
      <c r="F36" s="10"/>
      <c r="G36" s="10"/>
      <c r="H36" s="11"/>
      <c r="I36" s="48"/>
      <c r="J36" s="48"/>
      <c r="K36" s="48"/>
    </row>
    <row r="37">
      <c r="A37" s="10"/>
      <c r="B37" s="10"/>
      <c r="C37" s="10"/>
      <c r="D37" s="10"/>
      <c r="E37" s="10"/>
      <c r="F37" s="10"/>
      <c r="G37" s="10"/>
      <c r="H37" s="11"/>
      <c r="I37" s="48"/>
      <c r="J37" s="48"/>
      <c r="K37" s="48"/>
    </row>
    <row r="38">
      <c r="A38" s="10"/>
      <c r="B38" s="10"/>
      <c r="C38" s="10"/>
      <c r="D38" s="10"/>
      <c r="E38" s="10"/>
      <c r="F38" s="10"/>
      <c r="G38" s="10"/>
      <c r="H38" s="11"/>
      <c r="I38" s="48"/>
      <c r="J38" s="48"/>
      <c r="K38" s="4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>
      <c r="A39" s="10"/>
      <c r="B39" s="10"/>
      <c r="C39" s="10"/>
      <c r="D39" s="10"/>
      <c r="E39" s="10"/>
      <c r="F39" s="10"/>
      <c r="G39" s="10"/>
      <c r="H39" s="11"/>
      <c r="I39" s="48"/>
      <c r="J39" s="48"/>
      <c r="K39" s="48"/>
    </row>
    <row r="40">
      <c r="A40" s="10"/>
      <c r="B40" s="10"/>
      <c r="C40" s="10"/>
      <c r="D40" s="10"/>
      <c r="E40" s="10"/>
      <c r="F40" s="10"/>
      <c r="G40" s="10"/>
      <c r="H40" s="11"/>
      <c r="I40" s="48"/>
      <c r="J40" s="48"/>
      <c r="K40" s="48"/>
    </row>
    <row r="41">
      <c r="A41" s="10"/>
      <c r="B41" s="10"/>
      <c r="C41" s="10"/>
      <c r="D41" s="10"/>
      <c r="E41" s="10"/>
      <c r="F41" s="10"/>
      <c r="G41" s="10"/>
      <c r="H41" s="11"/>
      <c r="I41" s="48"/>
      <c r="J41" s="48"/>
      <c r="K41" s="48"/>
    </row>
    <row r="42">
      <c r="A42" s="10"/>
      <c r="B42" s="10"/>
      <c r="C42" s="10"/>
      <c r="D42" s="10"/>
      <c r="E42" s="10"/>
      <c r="F42" s="10"/>
      <c r="G42" s="10"/>
      <c r="H42" s="11"/>
      <c r="I42" s="48"/>
      <c r="J42" s="48"/>
      <c r="K42" s="48"/>
    </row>
    <row r="43">
      <c r="A43" s="10"/>
      <c r="B43" s="10"/>
      <c r="C43" s="10"/>
      <c r="D43" s="10"/>
      <c r="E43" s="10"/>
      <c r="F43" s="10"/>
      <c r="G43" s="10"/>
      <c r="H43" s="11"/>
      <c r="I43" s="48"/>
      <c r="J43" s="48"/>
      <c r="K43" s="48"/>
    </row>
    <row r="44">
      <c r="A44" s="10"/>
      <c r="B44" s="10"/>
      <c r="C44" s="10"/>
      <c r="D44" s="10"/>
      <c r="E44" s="10"/>
      <c r="F44" s="10"/>
      <c r="G44" s="10"/>
      <c r="H44" s="11"/>
      <c r="I44" s="48"/>
      <c r="J44" s="48"/>
      <c r="K44" s="48"/>
    </row>
    <row r="45">
      <c r="A45" s="10"/>
      <c r="B45" s="10"/>
      <c r="C45" s="10"/>
      <c r="D45" s="10"/>
      <c r="E45" s="10"/>
      <c r="F45" s="10"/>
      <c r="G45" s="10"/>
      <c r="H45" s="11"/>
      <c r="I45" s="48"/>
      <c r="J45" s="48"/>
      <c r="K45" s="48"/>
    </row>
    <row r="46">
      <c r="A46" s="10"/>
      <c r="B46" s="10"/>
      <c r="C46" s="10"/>
      <c r="D46" s="10"/>
      <c r="E46" s="10"/>
      <c r="F46" s="10"/>
      <c r="G46" s="10"/>
      <c r="H46" s="11"/>
      <c r="I46" s="48"/>
      <c r="J46" s="48"/>
      <c r="K46" s="48"/>
    </row>
    <row r="47">
      <c r="A47" s="10"/>
      <c r="B47" s="10"/>
      <c r="C47" s="10"/>
      <c r="D47" s="10"/>
      <c r="E47" s="10"/>
      <c r="F47" s="10"/>
      <c r="G47" s="10"/>
      <c r="H47" s="11"/>
      <c r="I47" s="48"/>
      <c r="J47" s="48"/>
      <c r="K47" s="48"/>
    </row>
    <row r="48">
      <c r="A48" s="10"/>
      <c r="B48" s="10"/>
      <c r="C48" s="10"/>
      <c r="D48" s="10"/>
      <c r="E48" s="10"/>
      <c r="F48" s="10"/>
      <c r="G48" s="10"/>
      <c r="H48" s="11"/>
      <c r="I48" s="48"/>
      <c r="J48" s="48"/>
      <c r="K48" s="48"/>
    </row>
    <row r="49">
      <c r="A49" s="10"/>
      <c r="B49" s="10"/>
      <c r="C49" s="10"/>
      <c r="D49" s="10"/>
      <c r="E49" s="10"/>
      <c r="F49" s="10"/>
      <c r="G49" s="10"/>
      <c r="H49" s="11"/>
      <c r="I49" s="48"/>
      <c r="J49" s="48"/>
      <c r="K49" s="48"/>
    </row>
    <row r="50">
      <c r="A50" s="10"/>
      <c r="B50" s="10"/>
      <c r="C50" s="10"/>
      <c r="D50" s="10"/>
      <c r="E50" s="10"/>
      <c r="F50" s="10"/>
      <c r="G50" s="10"/>
      <c r="H50" s="11"/>
      <c r="I50" s="48"/>
      <c r="J50" s="48"/>
      <c r="K50" s="48"/>
    </row>
    <row r="51">
      <c r="A51" s="10"/>
      <c r="B51" s="10"/>
      <c r="C51" s="10"/>
      <c r="D51" s="10"/>
      <c r="E51" s="10"/>
      <c r="F51" s="10"/>
      <c r="G51" s="10"/>
      <c r="H51" s="11"/>
      <c r="I51" s="48"/>
      <c r="J51" s="48"/>
      <c r="K51" s="48"/>
    </row>
    <row r="52">
      <c r="A52" s="10"/>
      <c r="B52" s="10"/>
      <c r="C52" s="10"/>
      <c r="D52" s="10"/>
      <c r="E52" s="10"/>
      <c r="F52" s="10"/>
      <c r="G52" s="10"/>
      <c r="H52" s="11"/>
      <c r="I52" s="48"/>
      <c r="J52" s="48"/>
      <c r="K52" s="48"/>
    </row>
    <row r="53">
      <c r="A53" s="10"/>
      <c r="B53" s="10"/>
      <c r="C53" s="10"/>
      <c r="D53" s="10"/>
      <c r="E53" s="10"/>
      <c r="F53" s="10"/>
      <c r="G53" s="10"/>
      <c r="H53" s="11"/>
      <c r="I53" s="48"/>
      <c r="J53" s="48"/>
      <c r="K53" s="48"/>
    </row>
    <row r="54">
      <c r="A54" s="10"/>
      <c r="B54" s="10"/>
      <c r="C54" s="10"/>
      <c r="D54" s="10"/>
      <c r="E54" s="10"/>
      <c r="F54" s="10"/>
      <c r="G54" s="10"/>
      <c r="H54" s="11"/>
      <c r="I54" s="48"/>
      <c r="J54" s="48"/>
      <c r="K54" s="48"/>
    </row>
    <row r="55">
      <c r="A55" s="10"/>
      <c r="B55" s="10"/>
      <c r="C55" s="10"/>
      <c r="D55" s="10"/>
      <c r="E55" s="10"/>
      <c r="F55" s="10"/>
      <c r="G55" s="10"/>
      <c r="H55" s="11"/>
      <c r="I55" s="48"/>
      <c r="J55" s="48"/>
      <c r="K55" s="48"/>
    </row>
    <row r="56">
      <c r="A56" s="10"/>
      <c r="B56" s="10"/>
      <c r="C56" s="10"/>
      <c r="D56" s="10"/>
      <c r="E56" s="10"/>
      <c r="F56" s="10"/>
      <c r="G56" s="10"/>
      <c r="H56" s="11"/>
      <c r="I56" s="48"/>
      <c r="J56" s="48"/>
      <c r="K56" s="48"/>
    </row>
    <row r="57">
      <c r="A57" s="10"/>
      <c r="B57" s="10"/>
      <c r="C57" s="10"/>
      <c r="D57" s="10"/>
      <c r="E57" s="10"/>
      <c r="F57" s="10"/>
      <c r="G57" s="10"/>
      <c r="H57" s="11"/>
      <c r="I57" s="48"/>
      <c r="J57" s="48"/>
      <c r="K57" s="48"/>
    </row>
    <row r="58">
      <c r="A58" s="10"/>
      <c r="B58" s="10"/>
      <c r="C58" s="10"/>
      <c r="D58" s="10"/>
      <c r="E58" s="10"/>
      <c r="F58" s="10"/>
      <c r="G58" s="10"/>
      <c r="H58" s="11"/>
      <c r="I58" s="48"/>
      <c r="J58" s="48"/>
      <c r="K58" s="48"/>
    </row>
    <row r="59">
      <c r="A59" s="10"/>
      <c r="B59" s="10"/>
      <c r="C59" s="10"/>
      <c r="D59" s="10"/>
      <c r="E59" s="10"/>
      <c r="F59" s="10"/>
      <c r="G59" s="10"/>
      <c r="H59" s="11"/>
      <c r="I59" s="48"/>
      <c r="J59" s="48"/>
      <c r="K59" s="48"/>
    </row>
    <row r="60">
      <c r="A60" s="10"/>
      <c r="B60" s="10"/>
      <c r="C60" s="10"/>
      <c r="D60" s="10"/>
      <c r="E60" s="10"/>
      <c r="F60" s="10"/>
      <c r="G60" s="10"/>
      <c r="H60" s="11"/>
      <c r="I60" s="48"/>
      <c r="J60" s="48"/>
      <c r="K60" s="48"/>
    </row>
    <row r="61">
      <c r="A61" s="10"/>
      <c r="B61" s="10"/>
      <c r="C61" s="10"/>
      <c r="D61" s="10"/>
      <c r="E61" s="10"/>
      <c r="F61" s="10"/>
      <c r="G61" s="10"/>
      <c r="H61" s="11"/>
      <c r="I61" s="48"/>
      <c r="J61" s="48"/>
      <c r="K61" s="48"/>
    </row>
    <row r="62">
      <c r="A62" s="10"/>
      <c r="B62" s="10"/>
      <c r="C62" s="10"/>
      <c r="D62" s="10"/>
      <c r="E62" s="10"/>
      <c r="F62" s="10"/>
      <c r="G62" s="10"/>
      <c r="H62" s="11"/>
      <c r="I62" s="48"/>
      <c r="J62" s="48"/>
      <c r="K62" s="48"/>
    </row>
    <row r="63">
      <c r="A63" s="10"/>
      <c r="B63" s="10"/>
      <c r="C63" s="10"/>
      <c r="D63" s="10"/>
      <c r="E63" s="10"/>
      <c r="F63" s="10"/>
      <c r="G63" s="10"/>
      <c r="H63" s="11"/>
      <c r="I63" s="48"/>
      <c r="J63" s="48"/>
      <c r="K63" s="48"/>
    </row>
    <row r="64">
      <c r="A64" s="10"/>
      <c r="B64" s="10"/>
      <c r="C64" s="10"/>
      <c r="D64" s="10"/>
      <c r="E64" s="10"/>
      <c r="F64" s="10"/>
      <c r="G64" s="10"/>
      <c r="H64" s="11"/>
      <c r="I64" s="48"/>
      <c r="J64" s="48"/>
      <c r="K64" s="48"/>
    </row>
    <row r="65">
      <c r="A65" s="10"/>
      <c r="B65" s="10"/>
      <c r="C65" s="10"/>
      <c r="D65" s="10"/>
      <c r="E65" s="10"/>
      <c r="F65" s="10"/>
      <c r="G65" s="10"/>
      <c r="H65" s="11"/>
      <c r="I65" s="48"/>
      <c r="J65" s="48"/>
      <c r="K65" s="48"/>
    </row>
    <row r="66">
      <c r="A66" s="10"/>
      <c r="B66" s="10"/>
      <c r="C66" s="10"/>
      <c r="D66" s="10"/>
      <c r="E66" s="10"/>
      <c r="F66" s="10"/>
      <c r="G66" s="10"/>
      <c r="H66" s="11"/>
      <c r="I66" s="48"/>
      <c r="J66" s="48"/>
      <c r="K66" s="48"/>
    </row>
    <row r="67">
      <c r="A67" s="10"/>
      <c r="B67" s="10"/>
      <c r="C67" s="10"/>
      <c r="D67" s="10"/>
      <c r="E67" s="10"/>
      <c r="F67" s="10"/>
      <c r="G67" s="10"/>
      <c r="H67" s="11"/>
      <c r="I67" s="48"/>
      <c r="J67" s="48"/>
      <c r="K67" s="48"/>
    </row>
    <row r="68">
      <c r="A68" s="10"/>
      <c r="B68" s="10"/>
      <c r="C68" s="10"/>
      <c r="D68" s="10"/>
      <c r="E68" s="10"/>
      <c r="F68" s="10"/>
      <c r="G68" s="10"/>
      <c r="H68" s="11"/>
      <c r="I68" s="48"/>
      <c r="J68" s="48"/>
      <c r="K68" s="48"/>
    </row>
    <row r="69">
      <c r="A69" s="10"/>
      <c r="B69" s="10"/>
      <c r="C69" s="10"/>
      <c r="D69" s="10"/>
      <c r="E69" s="10"/>
      <c r="F69" s="10"/>
      <c r="G69" s="10"/>
      <c r="H69" s="11"/>
      <c r="I69" s="48"/>
      <c r="J69" s="48"/>
      <c r="K69" s="48"/>
    </row>
    <row r="70">
      <c r="A70" s="10"/>
      <c r="B70" s="10"/>
      <c r="C70" s="10"/>
      <c r="D70" s="10"/>
      <c r="E70" s="10"/>
      <c r="F70" s="10"/>
      <c r="G70" s="10"/>
      <c r="H70" s="11"/>
      <c r="I70" s="48"/>
      <c r="J70" s="48"/>
      <c r="K70" s="48"/>
    </row>
    <row r="71">
      <c r="A71" s="10"/>
      <c r="B71" s="10"/>
      <c r="C71" s="10"/>
      <c r="D71" s="10"/>
      <c r="E71" s="10"/>
      <c r="F71" s="10"/>
      <c r="G71" s="10"/>
      <c r="H71" s="11"/>
      <c r="I71" s="48"/>
      <c r="J71" s="48"/>
      <c r="K71" s="4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>
      <c r="A72" s="10"/>
      <c r="B72" s="10"/>
      <c r="C72" s="10"/>
      <c r="D72" s="10"/>
      <c r="E72" s="10"/>
      <c r="F72" s="10"/>
      <c r="G72" s="10"/>
      <c r="H72" s="11"/>
      <c r="I72" s="48"/>
      <c r="J72" s="48"/>
      <c r="K72" s="48"/>
    </row>
    <row r="73">
      <c r="A73" s="10"/>
      <c r="B73" s="10"/>
      <c r="C73" s="10"/>
      <c r="D73" s="10"/>
      <c r="E73" s="10"/>
      <c r="F73" s="10"/>
      <c r="G73" s="10"/>
      <c r="H73" s="11"/>
      <c r="I73" s="48"/>
      <c r="J73" s="48"/>
      <c r="K73" s="48"/>
    </row>
    <row r="74">
      <c r="A74" s="10"/>
      <c r="B74" s="10"/>
      <c r="C74" s="10"/>
      <c r="D74" s="10"/>
      <c r="E74" s="10"/>
      <c r="F74" s="10"/>
      <c r="G74" s="10"/>
      <c r="H74" s="11"/>
      <c r="I74" s="48"/>
      <c r="J74" s="48"/>
      <c r="K74" s="48"/>
    </row>
    <row r="75">
      <c r="A75" s="10"/>
      <c r="B75" s="10"/>
      <c r="C75" s="10"/>
      <c r="D75" s="10"/>
      <c r="E75" s="10"/>
      <c r="F75" s="10"/>
      <c r="G75" s="10"/>
      <c r="H75" s="11"/>
      <c r="I75" s="48"/>
      <c r="J75" s="48"/>
      <c r="K75" s="48"/>
    </row>
    <row r="76">
      <c r="A76" s="10"/>
      <c r="B76" s="10"/>
      <c r="C76" s="10"/>
      <c r="D76" s="10"/>
      <c r="E76" s="10"/>
      <c r="F76" s="10"/>
      <c r="G76" s="10"/>
      <c r="H76" s="11"/>
      <c r="I76" s="48"/>
      <c r="J76" s="48"/>
      <c r="K76" s="48"/>
    </row>
    <row r="77">
      <c r="A77" s="10"/>
      <c r="B77" s="10"/>
      <c r="C77" s="10"/>
      <c r="D77" s="10"/>
      <c r="E77" s="10"/>
      <c r="F77" s="10"/>
      <c r="G77" s="10"/>
      <c r="H77" s="11"/>
      <c r="I77" s="48"/>
      <c r="J77" s="48"/>
      <c r="K77" s="48"/>
    </row>
    <row r="78">
      <c r="A78" s="10"/>
      <c r="B78" s="10"/>
      <c r="C78" s="10"/>
      <c r="D78" s="10"/>
      <c r="E78" s="10"/>
      <c r="F78" s="10"/>
      <c r="G78" s="10"/>
      <c r="H78" s="11"/>
      <c r="I78" s="48"/>
      <c r="J78" s="48"/>
      <c r="K78" s="48"/>
      <c r="M78" s="46"/>
    </row>
    <row r="79">
      <c r="A79" s="10"/>
      <c r="B79" s="10"/>
      <c r="C79" s="10"/>
      <c r="D79" s="10"/>
      <c r="E79" s="10"/>
      <c r="F79" s="10"/>
      <c r="G79" s="10"/>
      <c r="H79" s="11"/>
      <c r="I79" s="48"/>
      <c r="J79" s="48"/>
      <c r="K79" s="48"/>
    </row>
    <row r="80">
      <c r="A80" s="10"/>
      <c r="B80" s="10"/>
      <c r="C80" s="10"/>
      <c r="D80" s="10"/>
      <c r="E80" s="10"/>
      <c r="F80" s="10"/>
      <c r="G80" s="10"/>
      <c r="H80" s="11"/>
      <c r="I80" s="48"/>
      <c r="J80" s="48"/>
      <c r="K80" s="48"/>
    </row>
    <row r="81">
      <c r="A81" s="10"/>
      <c r="B81" s="10"/>
      <c r="C81" s="10"/>
      <c r="D81" s="10"/>
      <c r="E81" s="10"/>
      <c r="F81" s="10"/>
      <c r="G81" s="10"/>
      <c r="H81" s="11"/>
      <c r="I81" s="48"/>
      <c r="J81" s="48"/>
      <c r="K81" s="48"/>
    </row>
    <row r="82">
      <c r="A82" s="10"/>
      <c r="B82" s="10"/>
      <c r="C82" s="10"/>
      <c r="D82" s="10"/>
      <c r="E82" s="10"/>
      <c r="F82" s="10"/>
      <c r="G82" s="10"/>
      <c r="H82" s="11"/>
      <c r="I82" s="48"/>
      <c r="J82" s="48"/>
      <c r="K82" s="48"/>
    </row>
    <row r="83">
      <c r="A83" s="10"/>
      <c r="B83" s="10"/>
      <c r="C83" s="10"/>
      <c r="D83" s="10"/>
      <c r="E83" s="10"/>
      <c r="F83" s="10"/>
      <c r="G83" s="10"/>
      <c r="H83" s="11"/>
      <c r="I83" s="48"/>
      <c r="J83" s="48"/>
      <c r="K83" s="48"/>
    </row>
    <row r="84">
      <c r="A84" s="10"/>
      <c r="B84" s="10"/>
      <c r="C84" s="10"/>
      <c r="D84" s="10"/>
      <c r="E84" s="10"/>
      <c r="F84" s="10"/>
      <c r="G84" s="10"/>
      <c r="H84" s="11"/>
      <c r="I84" s="48"/>
      <c r="J84" s="48"/>
      <c r="K84" s="48"/>
    </row>
    <row r="85">
      <c r="A85" s="10"/>
      <c r="B85" s="10"/>
      <c r="C85" s="10"/>
      <c r="D85" s="10"/>
      <c r="E85" s="10"/>
      <c r="F85" s="10"/>
      <c r="G85" s="10"/>
      <c r="H85" s="11"/>
      <c r="I85" s="48"/>
      <c r="J85" s="48"/>
      <c r="K85" s="48"/>
    </row>
    <row r="86">
      <c r="A86" s="10"/>
      <c r="B86" s="10"/>
      <c r="C86" s="10"/>
      <c r="D86" s="10"/>
      <c r="E86" s="10"/>
      <c r="F86" s="10"/>
      <c r="G86" s="10"/>
      <c r="H86" s="11"/>
      <c r="I86" s="48"/>
      <c r="J86" s="48"/>
      <c r="K86" s="48"/>
    </row>
    <row r="87">
      <c r="A87" s="10"/>
      <c r="B87" s="10"/>
      <c r="C87" s="10"/>
      <c r="D87" s="10"/>
      <c r="E87" s="10"/>
      <c r="F87" s="10"/>
      <c r="G87" s="10"/>
      <c r="H87" s="11"/>
      <c r="I87" s="48"/>
      <c r="J87" s="48"/>
      <c r="K87" s="48"/>
    </row>
    <row r="88">
      <c r="A88" s="10"/>
      <c r="B88" s="10"/>
      <c r="C88" s="10"/>
      <c r="D88" s="10"/>
      <c r="E88" s="10"/>
      <c r="F88" s="10"/>
      <c r="G88" s="10"/>
      <c r="H88" s="11"/>
      <c r="I88" s="48"/>
      <c r="J88" s="48"/>
      <c r="K88" s="48"/>
    </row>
    <row r="89">
      <c r="A89" s="10"/>
      <c r="B89" s="10"/>
      <c r="C89" s="10"/>
      <c r="D89" s="10"/>
      <c r="E89" s="10"/>
      <c r="F89" s="10"/>
      <c r="G89" s="10"/>
      <c r="H89" s="11"/>
      <c r="I89" s="48"/>
      <c r="J89" s="48"/>
      <c r="K89" s="48"/>
    </row>
    <row r="90">
      <c r="A90" s="10"/>
      <c r="B90" s="10"/>
      <c r="C90" s="10"/>
      <c r="D90" s="10"/>
      <c r="E90" s="10"/>
      <c r="F90" s="10"/>
      <c r="G90" s="10"/>
      <c r="H90" s="11"/>
      <c r="I90" s="48"/>
      <c r="J90" s="48"/>
      <c r="K90" s="48"/>
    </row>
    <row r="91">
      <c r="A91" s="10"/>
      <c r="B91" s="10"/>
      <c r="C91" s="10"/>
      <c r="D91" s="10"/>
      <c r="E91" s="10"/>
      <c r="F91" s="10"/>
      <c r="G91" s="10"/>
      <c r="H91" s="11"/>
      <c r="I91" s="48"/>
      <c r="J91" s="48"/>
      <c r="K91" s="48"/>
    </row>
    <row r="92">
      <c r="A92" s="10"/>
      <c r="B92" s="10"/>
      <c r="C92" s="10"/>
      <c r="D92" s="10"/>
      <c r="E92" s="10"/>
      <c r="F92" s="10"/>
      <c r="G92" s="10"/>
      <c r="H92" s="11"/>
      <c r="I92" s="48"/>
      <c r="J92" s="48"/>
      <c r="K92" s="48"/>
    </row>
    <row r="93">
      <c r="A93" s="10"/>
      <c r="B93" s="10"/>
      <c r="C93" s="10"/>
      <c r="D93" s="10"/>
      <c r="E93" s="10"/>
      <c r="F93" s="10"/>
      <c r="G93" s="10"/>
      <c r="H93" s="11"/>
      <c r="I93" s="48"/>
      <c r="J93" s="48"/>
      <c r="K93" s="48"/>
    </row>
    <row r="94">
      <c r="A94" s="10"/>
      <c r="B94" s="10"/>
      <c r="C94" s="10"/>
      <c r="D94" s="10"/>
      <c r="E94" s="10"/>
      <c r="F94" s="10"/>
      <c r="G94" s="10"/>
      <c r="H94" s="11"/>
      <c r="I94" s="48"/>
      <c r="J94" s="48"/>
      <c r="K94" s="48"/>
    </row>
    <row r="95">
      <c r="A95" s="10"/>
      <c r="B95" s="10"/>
      <c r="C95" s="10"/>
      <c r="D95" s="10"/>
      <c r="E95" s="10"/>
      <c r="F95" s="10"/>
      <c r="G95" s="10"/>
      <c r="H95" s="11"/>
      <c r="I95" s="48"/>
      <c r="J95" s="48"/>
      <c r="K95" s="48"/>
    </row>
    <row r="96">
      <c r="A96" s="10"/>
      <c r="B96" s="10"/>
      <c r="C96" s="10"/>
      <c r="D96" s="10"/>
      <c r="E96" s="10"/>
      <c r="F96" s="10"/>
      <c r="G96" s="10"/>
      <c r="H96" s="11"/>
      <c r="I96" s="48"/>
      <c r="J96" s="48"/>
      <c r="K96" s="48"/>
    </row>
    <row r="97">
      <c r="A97" s="10"/>
      <c r="B97" s="10"/>
      <c r="C97" s="10"/>
      <c r="D97" s="10"/>
      <c r="E97" s="10"/>
      <c r="F97" s="10"/>
      <c r="G97" s="10"/>
      <c r="H97" s="11"/>
      <c r="I97" s="48"/>
      <c r="J97" s="48"/>
      <c r="K97" s="48"/>
    </row>
    <row r="98">
      <c r="A98" s="10"/>
      <c r="B98" s="10"/>
      <c r="C98" s="10"/>
      <c r="D98" s="10"/>
      <c r="E98" s="10"/>
      <c r="F98" s="10"/>
      <c r="G98" s="10"/>
      <c r="H98" s="11"/>
      <c r="I98" s="48"/>
      <c r="J98" s="48"/>
      <c r="K98" s="48"/>
    </row>
    <row r="99">
      <c r="A99" s="10"/>
      <c r="B99" s="10"/>
      <c r="C99" s="10"/>
      <c r="D99" s="10"/>
      <c r="E99" s="10"/>
      <c r="F99" s="10"/>
      <c r="G99" s="10"/>
      <c r="H99" s="11"/>
      <c r="I99" s="48"/>
      <c r="J99" s="48"/>
      <c r="K99" s="48"/>
    </row>
    <row r="100">
      <c r="A100" s="10"/>
      <c r="B100" s="10"/>
      <c r="C100" s="10"/>
      <c r="D100" s="10"/>
      <c r="E100" s="10"/>
      <c r="F100" s="10"/>
      <c r="G100" s="10"/>
      <c r="H100" s="11"/>
      <c r="I100" s="48"/>
      <c r="J100" s="48"/>
      <c r="K100" s="48"/>
    </row>
    <row r="101">
      <c r="A101" s="10"/>
      <c r="B101" s="10"/>
      <c r="C101" s="10"/>
      <c r="D101" s="10"/>
      <c r="E101" s="10"/>
      <c r="F101" s="10"/>
      <c r="G101" s="10"/>
      <c r="H101" s="11"/>
      <c r="I101" s="48"/>
      <c r="J101" s="48"/>
      <c r="K101" s="48"/>
    </row>
    <row r="102">
      <c r="A102" s="10"/>
      <c r="B102" s="10"/>
      <c r="C102" s="10"/>
      <c r="D102" s="10"/>
      <c r="E102" s="10"/>
      <c r="F102" s="10"/>
      <c r="G102" s="10"/>
      <c r="H102" s="11"/>
      <c r="I102" s="48"/>
      <c r="J102" s="48"/>
      <c r="K102" s="48"/>
    </row>
    <row r="103">
      <c r="A103" s="10"/>
      <c r="B103" s="10"/>
      <c r="C103" s="10"/>
      <c r="D103" s="10"/>
      <c r="E103" s="10"/>
      <c r="F103" s="10"/>
      <c r="G103" s="10"/>
      <c r="H103" s="11"/>
      <c r="I103" s="48"/>
      <c r="J103" s="48"/>
      <c r="K103" s="48"/>
    </row>
    <row r="104">
      <c r="A104" s="10"/>
      <c r="B104" s="10"/>
      <c r="C104" s="10"/>
      <c r="D104" s="10"/>
      <c r="E104" s="10"/>
      <c r="F104" s="10"/>
      <c r="G104" s="10"/>
      <c r="H104" s="11"/>
      <c r="I104" s="48"/>
      <c r="J104" s="48"/>
      <c r="K104" s="48"/>
    </row>
    <row r="105">
      <c r="A105" s="10"/>
      <c r="B105" s="10"/>
      <c r="C105" s="10"/>
      <c r="D105" s="10"/>
      <c r="E105" s="10"/>
      <c r="F105" s="10"/>
      <c r="G105" s="10"/>
      <c r="H105" s="11"/>
      <c r="I105" s="48"/>
      <c r="J105" s="48"/>
      <c r="K105" s="48"/>
    </row>
    <row r="106">
      <c r="A106" s="10"/>
      <c r="B106" s="10"/>
      <c r="C106" s="10"/>
      <c r="D106" s="10"/>
      <c r="E106" s="10"/>
      <c r="F106" s="10"/>
      <c r="G106" s="10"/>
      <c r="H106" s="11"/>
      <c r="I106" s="48"/>
      <c r="J106" s="48"/>
      <c r="K106" s="48"/>
    </row>
    <row r="107">
      <c r="A107" s="10"/>
      <c r="B107" s="10"/>
      <c r="C107" s="10"/>
      <c r="D107" s="10"/>
      <c r="E107" s="10"/>
      <c r="F107" s="10"/>
      <c r="G107" s="10"/>
      <c r="H107" s="11"/>
      <c r="I107" s="48"/>
      <c r="J107" s="48"/>
      <c r="K107" s="48"/>
    </row>
    <row r="108">
      <c r="A108" s="10"/>
      <c r="B108" s="10"/>
      <c r="C108" s="10"/>
      <c r="D108" s="10"/>
      <c r="E108" s="10"/>
      <c r="F108" s="10"/>
      <c r="G108" s="10"/>
      <c r="H108" s="11"/>
      <c r="I108" s="48"/>
      <c r="J108" s="48"/>
      <c r="K108" s="48"/>
    </row>
    <row r="109">
      <c r="A109" s="10"/>
      <c r="B109" s="10"/>
      <c r="C109" s="10"/>
      <c r="D109" s="10"/>
      <c r="E109" s="10"/>
      <c r="F109" s="10"/>
      <c r="G109" s="10"/>
      <c r="H109" s="11"/>
      <c r="I109" s="48"/>
      <c r="J109" s="48"/>
      <c r="K109" s="48"/>
    </row>
    <row r="110">
      <c r="A110" s="10"/>
      <c r="B110" s="10"/>
      <c r="C110" s="10"/>
      <c r="D110" s="10"/>
      <c r="E110" s="10"/>
      <c r="F110" s="10"/>
      <c r="G110" s="10"/>
      <c r="H110" s="11"/>
      <c r="I110" s="48"/>
      <c r="J110" s="48"/>
      <c r="K110" s="48"/>
    </row>
    <row r="111">
      <c r="A111" s="10"/>
      <c r="B111" s="10"/>
      <c r="C111" s="10"/>
      <c r="D111" s="10"/>
      <c r="E111" s="10"/>
      <c r="F111" s="10"/>
      <c r="G111" s="10"/>
      <c r="H111" s="11"/>
      <c r="I111" s="48"/>
      <c r="J111" s="48"/>
      <c r="K111" s="48"/>
    </row>
    <row r="112">
      <c r="A112" s="10"/>
      <c r="B112" s="10"/>
      <c r="C112" s="10"/>
      <c r="D112" s="10"/>
      <c r="E112" s="10"/>
      <c r="F112" s="10"/>
      <c r="G112" s="10"/>
      <c r="H112" s="11"/>
      <c r="I112" s="48"/>
      <c r="J112" s="48"/>
      <c r="K112" s="48"/>
    </row>
    <row r="113">
      <c r="A113" s="10"/>
      <c r="B113" s="10"/>
      <c r="C113" s="10"/>
      <c r="D113" s="10"/>
      <c r="E113" s="10"/>
      <c r="F113" s="10"/>
      <c r="G113" s="10"/>
      <c r="H113" s="11"/>
      <c r="I113" s="48"/>
      <c r="J113" s="48"/>
      <c r="K113" s="48"/>
    </row>
    <row r="114">
      <c r="A114" s="10"/>
      <c r="B114" s="10"/>
      <c r="C114" s="10"/>
      <c r="D114" s="10"/>
      <c r="E114" s="10"/>
      <c r="F114" s="10"/>
      <c r="G114" s="10"/>
      <c r="H114" s="11"/>
      <c r="I114" s="48"/>
      <c r="J114" s="48"/>
      <c r="K114" s="48"/>
    </row>
    <row r="115">
      <c r="A115" s="10"/>
      <c r="B115" s="10"/>
      <c r="C115" s="10"/>
      <c r="D115" s="10"/>
      <c r="E115" s="10"/>
      <c r="F115" s="10"/>
      <c r="G115" s="10"/>
      <c r="H115" s="11"/>
      <c r="I115" s="48"/>
      <c r="J115" s="48"/>
      <c r="K115" s="48"/>
    </row>
    <row r="116">
      <c r="A116" s="10"/>
      <c r="B116" s="10"/>
      <c r="C116" s="10"/>
      <c r="D116" s="10"/>
      <c r="E116" s="10"/>
      <c r="F116" s="10"/>
      <c r="G116" s="10"/>
      <c r="H116" s="11"/>
      <c r="I116" s="48"/>
      <c r="J116" s="48"/>
      <c r="K116" s="48"/>
    </row>
    <row r="117">
      <c r="A117" s="10"/>
      <c r="B117" s="10"/>
      <c r="C117" s="10"/>
      <c r="D117" s="10"/>
      <c r="E117" s="10"/>
      <c r="F117" s="10"/>
      <c r="G117" s="10"/>
      <c r="H117" s="11"/>
      <c r="I117" s="48"/>
      <c r="J117" s="48"/>
      <c r="K117" s="48"/>
    </row>
    <row r="118">
      <c r="A118" s="10"/>
      <c r="B118" s="10"/>
      <c r="C118" s="10"/>
      <c r="D118" s="10"/>
      <c r="E118" s="10"/>
      <c r="F118" s="10"/>
      <c r="G118" s="10"/>
      <c r="H118" s="11"/>
      <c r="I118" s="48"/>
      <c r="J118" s="48"/>
      <c r="K118" s="48"/>
    </row>
    <row r="119">
      <c r="A119" s="10"/>
      <c r="B119" s="10"/>
      <c r="C119" s="10"/>
      <c r="D119" s="10"/>
      <c r="E119" s="10"/>
      <c r="F119" s="10"/>
      <c r="G119" s="10"/>
      <c r="H119" s="11"/>
      <c r="I119" s="48"/>
      <c r="J119" s="48"/>
      <c r="K119" s="48"/>
    </row>
  </sheetData>
  <autoFilter ref="$A$1:$K$1010"/>
  <customSheetViews>
    <customSheetView guid="{131ED934-56A5-4A4B-9246-8993FA1F050E}" filter="1" showAutoFilter="1">
      <autoFilter ref="$A$1:$K$1010">
        <filterColumn colId="4">
          <filters blank="1">
            <filter val="Specialized Tarmac Pro"/>
            <filter val="Tron (Concept Z1)"/>
            <filter val="Specialized Venge S-Works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6">
          <filters blank="1">
            <filter val="Zipp 858/Super9"/>
            <filter val="Zipp 858"/>
            <filter val="Lightweight Meilenstein"/>
            <filter val="Tron (Concept Z1)"/>
          </filters>
        </filterColumn>
      </autoFilter>
    </customSheetView>
  </customSheetViews>
  <conditionalFormatting sqref="I1:J1 K1:K1176 I20:J117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7.38"/>
    <col customWidth="1" min="7" max="7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429</v>
      </c>
      <c r="J1" s="1" t="s">
        <v>430</v>
      </c>
      <c r="K1" s="1" t="s">
        <v>8</v>
      </c>
    </row>
    <row r="2">
      <c r="A2" s="10">
        <v>75.0</v>
      </c>
      <c r="B2" s="10">
        <v>300.0</v>
      </c>
      <c r="C2" s="10">
        <f t="shared" ref="C2:C10" si="1">B2/A2</f>
        <v>4</v>
      </c>
      <c r="D2" s="10">
        <v>183.0</v>
      </c>
      <c r="E2" s="10" t="s">
        <v>19</v>
      </c>
      <c r="F2" s="10" t="s">
        <v>10</v>
      </c>
      <c r="G2" s="10" t="s">
        <v>91</v>
      </c>
      <c r="H2" s="11">
        <v>0.015833333333333335</v>
      </c>
      <c r="I2" s="11">
        <v>0.0022916666666666667</v>
      </c>
      <c r="J2" s="48">
        <f t="shared" ref="J2:J10" si="2">1-(PERCENTRANK(H:H,H2,4))</f>
        <v>0.2</v>
      </c>
      <c r="K2" s="28" t="s">
        <v>437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94</v>
      </c>
      <c r="F3" s="10" t="s">
        <v>10</v>
      </c>
      <c r="G3" s="10" t="s">
        <v>111</v>
      </c>
      <c r="H3" s="11">
        <v>0.01587962962962963</v>
      </c>
      <c r="I3" s="11">
        <v>0.0022800925925925927</v>
      </c>
      <c r="J3" s="48">
        <f t="shared" si="2"/>
        <v>0</v>
      </c>
      <c r="K3" s="28" t="s">
        <v>438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9</v>
      </c>
      <c r="F4" s="10" t="s">
        <v>10</v>
      </c>
      <c r="G4" s="10" t="s">
        <v>11</v>
      </c>
      <c r="H4" s="11">
        <v>0.015717592592592592</v>
      </c>
      <c r="I4" s="11">
        <v>0.0022800925925925927</v>
      </c>
      <c r="J4" s="48">
        <f t="shared" si="2"/>
        <v>1</v>
      </c>
      <c r="K4" s="28" t="s">
        <v>439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351</v>
      </c>
      <c r="F5" s="10" t="s">
        <v>10</v>
      </c>
      <c r="G5" s="10" t="s">
        <v>351</v>
      </c>
      <c r="H5" s="11">
        <v>0.015717592592592592</v>
      </c>
      <c r="I5" s="11">
        <v>0.0022685185185185187</v>
      </c>
      <c r="J5" s="48">
        <f t="shared" si="2"/>
        <v>1</v>
      </c>
      <c r="K5" s="28" t="s">
        <v>440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 t="s">
        <v>9</v>
      </c>
      <c r="F6" s="10"/>
      <c r="G6" s="10" t="s">
        <v>79</v>
      </c>
      <c r="H6" s="11">
        <v>0.01574074074074074</v>
      </c>
      <c r="I6" s="11">
        <v>0.0022685185185185187</v>
      </c>
      <c r="J6" s="48">
        <f t="shared" si="2"/>
        <v>0.6</v>
      </c>
      <c r="K6" s="28" t="s">
        <v>441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 t="s">
        <v>94</v>
      </c>
      <c r="F7" s="10"/>
      <c r="G7" s="10" t="s">
        <v>88</v>
      </c>
      <c r="H7" s="11">
        <v>0.01579861111111111</v>
      </c>
      <c r="I7" s="11">
        <v>0.0022685185185185187</v>
      </c>
      <c r="J7" s="48">
        <f t="shared" si="2"/>
        <v>0.4</v>
      </c>
      <c r="K7" s="28" t="s">
        <v>442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/>
      <c r="F8" s="10"/>
      <c r="G8" s="10"/>
      <c r="H8" s="11"/>
      <c r="I8" s="11"/>
      <c r="J8" s="48" t="str">
        <f t="shared" si="2"/>
        <v>#N/A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/>
      <c r="F9" s="10"/>
      <c r="G9" s="10"/>
      <c r="H9" s="11"/>
      <c r="I9" s="11"/>
      <c r="J9" s="48" t="str">
        <f t="shared" si="2"/>
        <v>#N/A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/>
      <c r="F10" s="10"/>
      <c r="G10" s="10"/>
      <c r="H10" s="11"/>
      <c r="I10" s="11"/>
      <c r="J10" s="48" t="str">
        <f t="shared" si="2"/>
        <v>#N/A</v>
      </c>
    </row>
    <row r="11">
      <c r="A11" s="10"/>
      <c r="B11" s="10"/>
      <c r="C11" s="10"/>
      <c r="D11" s="10"/>
      <c r="E11" s="10"/>
      <c r="F11" s="10"/>
      <c r="G11" s="10"/>
      <c r="H11" s="11"/>
      <c r="I11" s="11"/>
      <c r="J11" s="48"/>
    </row>
    <row r="12">
      <c r="A12" s="10"/>
      <c r="B12" s="10"/>
      <c r="C12" s="10"/>
      <c r="D12" s="10"/>
      <c r="E12" s="10"/>
      <c r="F12" s="10"/>
      <c r="G12" s="10"/>
      <c r="H12" s="11"/>
      <c r="I12" s="11"/>
      <c r="J12" s="48"/>
    </row>
    <row r="13">
      <c r="A13" s="10"/>
      <c r="B13" s="10"/>
      <c r="C13" s="10"/>
      <c r="D13" s="10"/>
      <c r="E13" s="10"/>
      <c r="F13" s="10"/>
      <c r="G13" s="10"/>
      <c r="H13" s="11"/>
      <c r="I13" s="11"/>
      <c r="J13" s="48"/>
    </row>
    <row r="14">
      <c r="A14" s="10"/>
      <c r="B14" s="10"/>
      <c r="C14" s="10"/>
      <c r="D14" s="10"/>
      <c r="E14" s="10"/>
      <c r="F14" s="10"/>
      <c r="G14" s="10"/>
      <c r="H14" s="11"/>
      <c r="I14" s="11"/>
      <c r="J14" s="48"/>
    </row>
    <row r="15">
      <c r="A15" s="10"/>
      <c r="B15" s="10"/>
      <c r="C15" s="10"/>
      <c r="D15" s="10"/>
      <c r="E15" s="10"/>
      <c r="F15" s="10"/>
      <c r="G15" s="10"/>
      <c r="H15" s="11"/>
      <c r="I15" s="11"/>
      <c r="J15" s="48"/>
    </row>
    <row r="16">
      <c r="A16" s="10"/>
      <c r="B16" s="10"/>
      <c r="C16" s="10"/>
      <c r="D16" s="10"/>
      <c r="E16" s="10"/>
      <c r="F16" s="10"/>
      <c r="G16" s="10"/>
      <c r="H16" s="11"/>
      <c r="I16" s="11"/>
      <c r="J16" s="48"/>
    </row>
    <row r="17">
      <c r="A17" s="10"/>
      <c r="B17" s="10"/>
      <c r="C17" s="10"/>
      <c r="D17" s="10"/>
      <c r="E17" s="10"/>
      <c r="F17" s="10"/>
      <c r="G17" s="10"/>
      <c r="H17" s="11"/>
      <c r="I17" s="11"/>
      <c r="J17" s="48"/>
    </row>
    <row r="18">
      <c r="A18" s="10"/>
      <c r="B18" s="10"/>
      <c r="C18" s="10"/>
      <c r="D18" s="10"/>
      <c r="E18" s="10"/>
      <c r="F18" s="10"/>
      <c r="G18" s="10"/>
      <c r="H18" s="11"/>
      <c r="I18" s="11"/>
      <c r="J18" s="48"/>
    </row>
    <row r="19">
      <c r="A19" s="10"/>
      <c r="B19" s="10"/>
      <c r="C19" s="10"/>
      <c r="D19" s="10"/>
      <c r="E19" s="10"/>
      <c r="F19" s="10"/>
      <c r="G19" s="10"/>
      <c r="H19" s="11"/>
      <c r="I19" s="11"/>
      <c r="J19" s="48"/>
    </row>
    <row r="20">
      <c r="A20" s="10"/>
      <c r="B20" s="10"/>
      <c r="C20" s="10"/>
      <c r="D20" s="10"/>
      <c r="E20" s="10"/>
      <c r="F20" s="10"/>
      <c r="G20" s="10"/>
      <c r="H20" s="11"/>
      <c r="I20" s="48"/>
      <c r="J20" s="48"/>
    </row>
    <row r="21">
      <c r="A21" s="10"/>
      <c r="B21" s="10"/>
      <c r="C21" s="10"/>
      <c r="D21" s="10"/>
      <c r="E21" s="10"/>
      <c r="F21" s="10"/>
      <c r="G21" s="10"/>
      <c r="H21" s="11"/>
      <c r="I21" s="48"/>
      <c r="J21" s="48"/>
    </row>
    <row r="22">
      <c r="A22" s="10"/>
      <c r="B22" s="10"/>
      <c r="C22" s="10"/>
      <c r="D22" s="10"/>
      <c r="E22" s="10"/>
      <c r="F22" s="10"/>
      <c r="G22" s="10"/>
      <c r="H22" s="11"/>
      <c r="I22" s="48"/>
      <c r="J22" s="48"/>
    </row>
    <row r="23">
      <c r="A23" s="10"/>
      <c r="B23" s="10"/>
      <c r="C23" s="10"/>
      <c r="D23" s="10"/>
      <c r="E23" s="10"/>
      <c r="F23" s="10"/>
      <c r="G23" s="10"/>
      <c r="H23" s="11"/>
      <c r="I23" s="48"/>
      <c r="J23" s="48"/>
    </row>
    <row r="24">
      <c r="A24" s="10"/>
      <c r="B24" s="10"/>
      <c r="C24" s="10"/>
      <c r="D24" s="10"/>
      <c r="E24" s="10"/>
      <c r="F24" s="10"/>
      <c r="G24" s="10"/>
      <c r="H24" s="11"/>
      <c r="I24" s="48"/>
      <c r="J24" s="48"/>
    </row>
    <row r="25">
      <c r="A25" s="10"/>
      <c r="B25" s="10"/>
      <c r="C25" s="10"/>
      <c r="D25" s="10"/>
      <c r="E25" s="10"/>
      <c r="F25" s="10"/>
      <c r="G25" s="10"/>
      <c r="H25" s="11"/>
      <c r="I25" s="48"/>
      <c r="J25" s="48"/>
    </row>
    <row r="26">
      <c r="A26" s="10"/>
      <c r="B26" s="10"/>
      <c r="C26" s="10"/>
      <c r="D26" s="10"/>
      <c r="E26" s="10"/>
      <c r="F26" s="10"/>
      <c r="G26" s="10"/>
      <c r="H26" s="11"/>
      <c r="I26" s="48"/>
      <c r="J26" s="48"/>
    </row>
    <row r="27">
      <c r="A27" s="10"/>
      <c r="B27" s="10"/>
      <c r="C27" s="10"/>
      <c r="D27" s="10"/>
      <c r="E27" s="10"/>
      <c r="F27" s="10"/>
      <c r="G27" s="10"/>
      <c r="H27" s="11"/>
      <c r="I27" s="48"/>
      <c r="J27" s="48"/>
    </row>
    <row r="28">
      <c r="A28" s="10"/>
      <c r="B28" s="10"/>
      <c r="C28" s="10"/>
      <c r="D28" s="10"/>
      <c r="E28" s="10"/>
      <c r="F28" s="10"/>
      <c r="G28" s="10"/>
      <c r="H28" s="11"/>
      <c r="I28" s="48"/>
      <c r="J28" s="48"/>
    </row>
    <row r="29">
      <c r="A29" s="20"/>
      <c r="B29" s="20"/>
      <c r="C29" s="20"/>
      <c r="D29" s="20"/>
      <c r="E29" s="59"/>
      <c r="F29" s="59"/>
      <c r="G29" s="10"/>
      <c r="H29" s="11"/>
      <c r="I29" s="60"/>
      <c r="J29" s="6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A30" s="10"/>
      <c r="B30" s="10"/>
      <c r="C30" s="10"/>
      <c r="D30" s="10"/>
      <c r="E30" s="10"/>
      <c r="F30" s="10"/>
      <c r="G30" s="10"/>
      <c r="H30" s="11"/>
      <c r="I30" s="48"/>
      <c r="J30" s="48"/>
    </row>
    <row r="31">
      <c r="A31" s="10"/>
      <c r="B31" s="10"/>
      <c r="C31" s="10"/>
      <c r="D31" s="10"/>
      <c r="E31" s="10"/>
      <c r="F31" s="10"/>
      <c r="G31" s="10"/>
      <c r="H31" s="11"/>
      <c r="I31" s="48"/>
      <c r="J31" s="48"/>
    </row>
    <row r="32">
      <c r="A32" s="10"/>
      <c r="B32" s="10"/>
      <c r="C32" s="10"/>
      <c r="D32" s="10"/>
      <c r="E32" s="10"/>
      <c r="F32" s="10"/>
      <c r="G32" s="10"/>
      <c r="H32" s="11"/>
      <c r="I32" s="48"/>
      <c r="J32" s="48"/>
    </row>
    <row r="33">
      <c r="A33" s="10"/>
      <c r="B33" s="10"/>
      <c r="C33" s="10"/>
      <c r="D33" s="10"/>
      <c r="E33" s="10"/>
      <c r="F33" s="10"/>
      <c r="G33" s="10"/>
      <c r="H33" s="11"/>
      <c r="I33" s="48"/>
      <c r="J33" s="48"/>
    </row>
    <row r="34">
      <c r="A34" s="10"/>
      <c r="B34" s="10"/>
      <c r="C34" s="10"/>
      <c r="D34" s="10"/>
      <c r="E34" s="10"/>
      <c r="F34" s="10"/>
      <c r="G34" s="10"/>
      <c r="H34" s="11"/>
      <c r="I34" s="48"/>
      <c r="J34" s="48"/>
    </row>
    <row r="35">
      <c r="A35" s="10"/>
      <c r="B35" s="10"/>
      <c r="C35" s="10"/>
      <c r="D35" s="10"/>
      <c r="E35" s="10"/>
      <c r="F35" s="10"/>
      <c r="G35" s="10"/>
      <c r="H35" s="11"/>
      <c r="I35" s="48"/>
      <c r="J35" s="48"/>
    </row>
    <row r="36">
      <c r="A36" s="10"/>
      <c r="B36" s="10"/>
      <c r="C36" s="10"/>
      <c r="D36" s="10"/>
      <c r="E36" s="10"/>
      <c r="F36" s="10"/>
      <c r="G36" s="10"/>
      <c r="H36" s="11"/>
      <c r="I36" s="48"/>
      <c r="J36" s="48"/>
    </row>
    <row r="37">
      <c r="A37" s="10"/>
      <c r="B37" s="10"/>
      <c r="C37" s="10"/>
      <c r="D37" s="10"/>
      <c r="E37" s="10"/>
      <c r="F37" s="10"/>
      <c r="G37" s="10"/>
      <c r="H37" s="11"/>
      <c r="I37" s="48"/>
      <c r="J37" s="48"/>
    </row>
    <row r="38">
      <c r="A38" s="10"/>
      <c r="B38" s="10"/>
      <c r="C38" s="10"/>
      <c r="D38" s="10"/>
      <c r="E38" s="10"/>
      <c r="F38" s="10"/>
      <c r="G38" s="10"/>
      <c r="H38" s="11"/>
      <c r="I38" s="48"/>
      <c r="J38" s="4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A39" s="10"/>
      <c r="B39" s="10"/>
      <c r="C39" s="10"/>
      <c r="D39" s="10"/>
      <c r="E39" s="10"/>
      <c r="F39" s="10"/>
      <c r="G39" s="10"/>
      <c r="H39" s="11"/>
      <c r="I39" s="48"/>
      <c r="J39" s="48"/>
    </row>
    <row r="40">
      <c r="A40" s="10"/>
      <c r="B40" s="10"/>
      <c r="C40" s="10"/>
      <c r="D40" s="10"/>
      <c r="E40" s="10"/>
      <c r="F40" s="10"/>
      <c r="G40" s="10"/>
      <c r="H40" s="11"/>
      <c r="I40" s="48"/>
      <c r="J40" s="48"/>
    </row>
    <row r="41">
      <c r="A41" s="10"/>
      <c r="B41" s="10"/>
      <c r="C41" s="10"/>
      <c r="D41" s="10"/>
      <c r="E41" s="10"/>
      <c r="F41" s="10"/>
      <c r="G41" s="10"/>
      <c r="H41" s="11"/>
      <c r="I41" s="48"/>
      <c r="J41" s="48"/>
    </row>
    <row r="42">
      <c r="A42" s="10"/>
      <c r="B42" s="10"/>
      <c r="C42" s="10"/>
      <c r="D42" s="10"/>
      <c r="E42" s="10"/>
      <c r="F42" s="10"/>
      <c r="G42" s="10"/>
      <c r="H42" s="11"/>
      <c r="I42" s="48"/>
      <c r="J42" s="48"/>
    </row>
    <row r="43">
      <c r="A43" s="10"/>
      <c r="B43" s="10"/>
      <c r="C43" s="10"/>
      <c r="D43" s="10"/>
      <c r="E43" s="10"/>
      <c r="F43" s="10"/>
      <c r="G43" s="10"/>
      <c r="H43" s="11"/>
      <c r="I43" s="48"/>
      <c r="J43" s="48"/>
    </row>
    <row r="44">
      <c r="A44" s="10"/>
      <c r="B44" s="10"/>
      <c r="C44" s="10"/>
      <c r="D44" s="10"/>
      <c r="E44" s="10"/>
      <c r="F44" s="10"/>
      <c r="G44" s="10"/>
      <c r="H44" s="11"/>
      <c r="I44" s="48"/>
      <c r="J44" s="48"/>
    </row>
    <row r="45">
      <c r="A45" s="10"/>
      <c r="B45" s="10"/>
      <c r="C45" s="10"/>
      <c r="D45" s="10"/>
      <c r="E45" s="10"/>
      <c r="F45" s="10"/>
      <c r="G45" s="10"/>
      <c r="H45" s="11"/>
      <c r="I45" s="48"/>
      <c r="J45" s="48"/>
    </row>
    <row r="46">
      <c r="A46" s="10"/>
      <c r="B46" s="10"/>
      <c r="C46" s="10"/>
      <c r="D46" s="10"/>
      <c r="E46" s="10"/>
      <c r="F46" s="10"/>
      <c r="G46" s="10"/>
      <c r="H46" s="11"/>
      <c r="I46" s="48"/>
      <c r="J46" s="48"/>
    </row>
    <row r="47">
      <c r="A47" s="10"/>
      <c r="B47" s="10"/>
      <c r="C47" s="10"/>
      <c r="D47" s="10"/>
      <c r="E47" s="10"/>
      <c r="F47" s="10"/>
      <c r="G47" s="10"/>
      <c r="H47" s="11"/>
      <c r="I47" s="48"/>
      <c r="J47" s="48"/>
    </row>
    <row r="48">
      <c r="A48" s="10"/>
      <c r="B48" s="10"/>
      <c r="C48" s="10"/>
      <c r="D48" s="10"/>
      <c r="E48" s="10"/>
      <c r="F48" s="10"/>
      <c r="G48" s="10"/>
      <c r="H48" s="11"/>
      <c r="I48" s="48"/>
      <c r="J48" s="48"/>
    </row>
    <row r="49">
      <c r="A49" s="10"/>
      <c r="B49" s="10"/>
      <c r="C49" s="10"/>
      <c r="D49" s="10"/>
      <c r="E49" s="10"/>
      <c r="F49" s="10"/>
      <c r="G49" s="10"/>
      <c r="H49" s="11"/>
      <c r="I49" s="48"/>
      <c r="J49" s="48"/>
    </row>
    <row r="50">
      <c r="A50" s="10"/>
      <c r="B50" s="10"/>
      <c r="C50" s="10"/>
      <c r="D50" s="10"/>
      <c r="E50" s="10"/>
      <c r="F50" s="10"/>
      <c r="G50" s="10"/>
      <c r="H50" s="11"/>
      <c r="I50" s="48"/>
      <c r="J50" s="48"/>
    </row>
    <row r="51">
      <c r="A51" s="10"/>
      <c r="B51" s="10"/>
      <c r="C51" s="10"/>
      <c r="D51" s="10"/>
      <c r="E51" s="10"/>
      <c r="F51" s="10"/>
      <c r="G51" s="10"/>
      <c r="H51" s="11"/>
      <c r="I51" s="48"/>
      <c r="J51" s="48"/>
    </row>
    <row r="52">
      <c r="A52" s="10"/>
      <c r="B52" s="10"/>
      <c r="C52" s="10"/>
      <c r="D52" s="10"/>
      <c r="E52" s="10"/>
      <c r="F52" s="10"/>
      <c r="G52" s="10"/>
      <c r="H52" s="11"/>
      <c r="I52" s="48"/>
      <c r="J52" s="48"/>
    </row>
    <row r="53">
      <c r="A53" s="10"/>
      <c r="B53" s="10"/>
      <c r="C53" s="10"/>
      <c r="D53" s="10"/>
      <c r="E53" s="10"/>
      <c r="F53" s="10"/>
      <c r="G53" s="10"/>
      <c r="H53" s="11"/>
      <c r="I53" s="48"/>
      <c r="J53" s="48"/>
    </row>
    <row r="54">
      <c r="A54" s="10"/>
      <c r="B54" s="10"/>
      <c r="C54" s="10"/>
      <c r="D54" s="10"/>
      <c r="E54" s="10"/>
      <c r="F54" s="10"/>
      <c r="G54" s="10"/>
      <c r="H54" s="11"/>
      <c r="I54" s="48"/>
      <c r="J54" s="48"/>
    </row>
    <row r="55">
      <c r="A55" s="10"/>
      <c r="B55" s="10"/>
      <c r="C55" s="10"/>
      <c r="D55" s="10"/>
      <c r="E55" s="10"/>
      <c r="F55" s="10"/>
      <c r="G55" s="10"/>
      <c r="H55" s="11"/>
      <c r="I55" s="48"/>
      <c r="J55" s="48"/>
    </row>
    <row r="56">
      <c r="A56" s="10"/>
      <c r="B56" s="10"/>
      <c r="C56" s="10"/>
      <c r="D56" s="10"/>
      <c r="E56" s="10"/>
      <c r="F56" s="10"/>
      <c r="G56" s="10"/>
      <c r="H56" s="11"/>
      <c r="I56" s="48"/>
      <c r="J56" s="48"/>
    </row>
    <row r="57">
      <c r="A57" s="10"/>
      <c r="B57" s="10"/>
      <c r="C57" s="10"/>
      <c r="D57" s="10"/>
      <c r="E57" s="10"/>
      <c r="F57" s="10"/>
      <c r="G57" s="10"/>
      <c r="H57" s="11"/>
      <c r="I57" s="48"/>
      <c r="J57" s="48"/>
    </row>
    <row r="58">
      <c r="A58" s="10"/>
      <c r="B58" s="10"/>
      <c r="C58" s="10"/>
      <c r="D58" s="10"/>
      <c r="E58" s="10"/>
      <c r="F58" s="10"/>
      <c r="G58" s="10"/>
      <c r="H58" s="11"/>
      <c r="I58" s="48"/>
      <c r="J58" s="48"/>
    </row>
    <row r="59">
      <c r="A59" s="10"/>
      <c r="B59" s="10"/>
      <c r="C59" s="10"/>
      <c r="D59" s="10"/>
      <c r="E59" s="10"/>
      <c r="F59" s="10"/>
      <c r="G59" s="10"/>
      <c r="H59" s="11"/>
      <c r="I59" s="48"/>
      <c r="J59" s="48"/>
    </row>
    <row r="60">
      <c r="A60" s="10"/>
      <c r="B60" s="10"/>
      <c r="C60" s="10"/>
      <c r="D60" s="10"/>
      <c r="E60" s="10"/>
      <c r="F60" s="10"/>
      <c r="G60" s="10"/>
      <c r="H60" s="11"/>
      <c r="I60" s="48"/>
      <c r="J60" s="48"/>
    </row>
    <row r="61">
      <c r="A61" s="10"/>
      <c r="B61" s="10"/>
      <c r="C61" s="10"/>
      <c r="D61" s="10"/>
      <c r="E61" s="10"/>
      <c r="F61" s="10"/>
      <c r="G61" s="10"/>
      <c r="H61" s="11"/>
      <c r="I61" s="48"/>
      <c r="J61" s="48"/>
    </row>
    <row r="62">
      <c r="A62" s="10"/>
      <c r="B62" s="10"/>
      <c r="C62" s="10"/>
      <c r="D62" s="10"/>
      <c r="E62" s="10"/>
      <c r="F62" s="10"/>
      <c r="G62" s="10"/>
      <c r="H62" s="11"/>
      <c r="I62" s="48"/>
      <c r="J62" s="48"/>
    </row>
    <row r="63">
      <c r="A63" s="10"/>
      <c r="B63" s="10"/>
      <c r="C63" s="10"/>
      <c r="D63" s="10"/>
      <c r="E63" s="10"/>
      <c r="F63" s="10"/>
      <c r="G63" s="10"/>
      <c r="H63" s="11"/>
      <c r="I63" s="48"/>
      <c r="J63" s="48"/>
    </row>
    <row r="64">
      <c r="A64" s="10"/>
      <c r="B64" s="10"/>
      <c r="C64" s="10"/>
      <c r="D64" s="10"/>
      <c r="E64" s="10"/>
      <c r="F64" s="10"/>
      <c r="G64" s="10"/>
      <c r="H64" s="11"/>
      <c r="I64" s="48"/>
      <c r="J64" s="48"/>
    </row>
    <row r="65">
      <c r="A65" s="10"/>
      <c r="B65" s="10"/>
      <c r="C65" s="10"/>
      <c r="D65" s="10"/>
      <c r="E65" s="10"/>
      <c r="F65" s="10"/>
      <c r="G65" s="10"/>
      <c r="H65" s="11"/>
      <c r="I65" s="48"/>
      <c r="J65" s="48"/>
    </row>
    <row r="66">
      <c r="A66" s="10"/>
      <c r="B66" s="10"/>
      <c r="C66" s="10"/>
      <c r="D66" s="10"/>
      <c r="E66" s="10"/>
      <c r="F66" s="10"/>
      <c r="G66" s="10"/>
      <c r="H66" s="11"/>
      <c r="I66" s="48"/>
      <c r="J66" s="48"/>
    </row>
    <row r="67">
      <c r="A67" s="10"/>
      <c r="B67" s="10"/>
      <c r="C67" s="10"/>
      <c r="D67" s="10"/>
      <c r="E67" s="10"/>
      <c r="F67" s="10"/>
      <c r="G67" s="10"/>
      <c r="H67" s="11"/>
      <c r="I67" s="48"/>
      <c r="J67" s="48"/>
    </row>
    <row r="68">
      <c r="A68" s="10"/>
      <c r="B68" s="10"/>
      <c r="C68" s="10"/>
      <c r="D68" s="10"/>
      <c r="E68" s="10"/>
      <c r="F68" s="10"/>
      <c r="G68" s="10"/>
      <c r="H68" s="11"/>
      <c r="I68" s="48"/>
      <c r="J68" s="48"/>
    </row>
    <row r="69">
      <c r="A69" s="10"/>
      <c r="B69" s="10"/>
      <c r="C69" s="10"/>
      <c r="D69" s="10"/>
      <c r="E69" s="10"/>
      <c r="F69" s="10"/>
      <c r="G69" s="10"/>
      <c r="H69" s="11"/>
      <c r="I69" s="48"/>
      <c r="J69" s="48"/>
    </row>
    <row r="70">
      <c r="A70" s="10"/>
      <c r="B70" s="10"/>
      <c r="C70" s="10"/>
      <c r="D70" s="10"/>
      <c r="E70" s="10"/>
      <c r="F70" s="10"/>
      <c r="G70" s="10"/>
      <c r="H70" s="11"/>
      <c r="I70" s="48"/>
      <c r="J70" s="48"/>
    </row>
    <row r="71">
      <c r="A71" s="10"/>
      <c r="B71" s="10"/>
      <c r="C71" s="10"/>
      <c r="D71" s="10"/>
      <c r="E71" s="10"/>
      <c r="F71" s="10"/>
      <c r="G71" s="10"/>
      <c r="H71" s="11"/>
      <c r="I71" s="48"/>
      <c r="J71" s="4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A72" s="10"/>
      <c r="B72" s="10"/>
      <c r="C72" s="10"/>
      <c r="D72" s="10"/>
      <c r="E72" s="10"/>
      <c r="F72" s="10"/>
      <c r="G72" s="10"/>
      <c r="H72" s="11"/>
      <c r="I72" s="48"/>
      <c r="J72" s="48"/>
    </row>
    <row r="73">
      <c r="A73" s="10"/>
      <c r="B73" s="10"/>
      <c r="C73" s="10"/>
      <c r="D73" s="10"/>
      <c r="E73" s="10"/>
      <c r="F73" s="10"/>
      <c r="G73" s="10"/>
      <c r="H73" s="11"/>
      <c r="I73" s="48"/>
      <c r="J73" s="48"/>
    </row>
    <row r="74">
      <c r="A74" s="10"/>
      <c r="B74" s="10"/>
      <c r="C74" s="10"/>
      <c r="D74" s="10"/>
      <c r="E74" s="10"/>
      <c r="F74" s="10"/>
      <c r="G74" s="10"/>
      <c r="H74" s="11"/>
      <c r="I74" s="48"/>
      <c r="J74" s="48"/>
    </row>
    <row r="75">
      <c r="A75" s="10"/>
      <c r="B75" s="10"/>
      <c r="C75" s="10"/>
      <c r="D75" s="10"/>
      <c r="E75" s="10"/>
      <c r="F75" s="10"/>
      <c r="G75" s="10"/>
      <c r="H75" s="11"/>
      <c r="I75" s="48"/>
      <c r="J75" s="48"/>
    </row>
    <row r="76">
      <c r="A76" s="10"/>
      <c r="B76" s="10"/>
      <c r="C76" s="10"/>
      <c r="D76" s="10"/>
      <c r="E76" s="10"/>
      <c r="F76" s="10"/>
      <c r="G76" s="10"/>
      <c r="H76" s="11"/>
      <c r="I76" s="48"/>
      <c r="J76" s="48"/>
    </row>
    <row r="77">
      <c r="A77" s="10"/>
      <c r="B77" s="10"/>
      <c r="C77" s="10"/>
      <c r="D77" s="10"/>
      <c r="E77" s="10"/>
      <c r="F77" s="10"/>
      <c r="G77" s="10"/>
      <c r="H77" s="11"/>
      <c r="I77" s="48"/>
      <c r="J77" s="48"/>
    </row>
    <row r="78">
      <c r="A78" s="10"/>
      <c r="B78" s="10"/>
      <c r="C78" s="10"/>
      <c r="D78" s="10"/>
      <c r="E78" s="10"/>
      <c r="F78" s="10"/>
      <c r="G78" s="10"/>
      <c r="H78" s="11"/>
      <c r="I78" s="48"/>
      <c r="J78" s="48"/>
      <c r="L78" s="46"/>
    </row>
    <row r="79">
      <c r="A79" s="10"/>
      <c r="B79" s="10"/>
      <c r="C79" s="10"/>
      <c r="D79" s="10"/>
      <c r="E79" s="10"/>
      <c r="F79" s="10"/>
      <c r="G79" s="10"/>
      <c r="H79" s="11"/>
      <c r="I79" s="48"/>
      <c r="J79" s="48"/>
    </row>
    <row r="80">
      <c r="A80" s="10"/>
      <c r="B80" s="10"/>
      <c r="C80" s="10"/>
      <c r="D80" s="10"/>
      <c r="E80" s="10"/>
      <c r="F80" s="10"/>
      <c r="G80" s="10"/>
      <c r="H80" s="11"/>
      <c r="I80" s="48"/>
      <c r="J80" s="48"/>
    </row>
    <row r="81">
      <c r="A81" s="10"/>
      <c r="B81" s="10"/>
      <c r="C81" s="10"/>
      <c r="D81" s="10"/>
      <c r="E81" s="10"/>
      <c r="F81" s="10"/>
      <c r="G81" s="10"/>
      <c r="H81" s="11"/>
      <c r="I81" s="48"/>
      <c r="J81" s="48"/>
    </row>
    <row r="82">
      <c r="A82" s="10"/>
      <c r="B82" s="10"/>
      <c r="C82" s="10"/>
      <c r="D82" s="10"/>
      <c r="E82" s="10"/>
      <c r="F82" s="10"/>
      <c r="G82" s="10"/>
      <c r="H82" s="11"/>
      <c r="I82" s="48"/>
      <c r="J82" s="48"/>
    </row>
    <row r="83">
      <c r="A83" s="10"/>
      <c r="B83" s="10"/>
      <c r="C83" s="10"/>
      <c r="D83" s="10"/>
      <c r="E83" s="10"/>
      <c r="F83" s="10"/>
      <c r="G83" s="10"/>
      <c r="H83" s="11"/>
      <c r="I83" s="48"/>
      <c r="J83" s="48"/>
    </row>
    <row r="84">
      <c r="A84" s="10"/>
      <c r="B84" s="10"/>
      <c r="C84" s="10"/>
      <c r="D84" s="10"/>
      <c r="E84" s="10"/>
      <c r="F84" s="10"/>
      <c r="G84" s="10"/>
      <c r="H84" s="11"/>
      <c r="I84" s="48"/>
      <c r="J84" s="48"/>
    </row>
    <row r="85">
      <c r="A85" s="10"/>
      <c r="B85" s="10"/>
      <c r="C85" s="10"/>
      <c r="D85" s="10"/>
      <c r="E85" s="10"/>
      <c r="F85" s="10"/>
      <c r="G85" s="10"/>
      <c r="H85" s="11"/>
      <c r="I85" s="48"/>
      <c r="J85" s="48"/>
    </row>
    <row r="86">
      <c r="A86" s="10"/>
      <c r="B86" s="10"/>
      <c r="C86" s="10"/>
      <c r="D86" s="10"/>
      <c r="E86" s="10"/>
      <c r="F86" s="10"/>
      <c r="G86" s="10"/>
      <c r="H86" s="11"/>
      <c r="I86" s="48"/>
      <c r="J86" s="48"/>
    </row>
    <row r="87">
      <c r="A87" s="10"/>
      <c r="B87" s="10"/>
      <c r="C87" s="10"/>
      <c r="D87" s="10"/>
      <c r="E87" s="10"/>
      <c r="F87" s="10"/>
      <c r="G87" s="10"/>
      <c r="H87" s="11"/>
      <c r="I87" s="48"/>
      <c r="J87" s="48"/>
    </row>
    <row r="88">
      <c r="A88" s="10"/>
      <c r="B88" s="10"/>
      <c r="C88" s="10"/>
      <c r="D88" s="10"/>
      <c r="E88" s="10"/>
      <c r="F88" s="10"/>
      <c r="G88" s="10"/>
      <c r="H88" s="11"/>
      <c r="I88" s="48"/>
      <c r="J88" s="48"/>
    </row>
    <row r="89">
      <c r="A89" s="10"/>
      <c r="B89" s="10"/>
      <c r="C89" s="10"/>
      <c r="D89" s="10"/>
      <c r="E89" s="10"/>
      <c r="F89" s="10"/>
      <c r="G89" s="10"/>
      <c r="H89" s="11"/>
      <c r="I89" s="48"/>
      <c r="J89" s="48"/>
    </row>
    <row r="90">
      <c r="A90" s="10"/>
      <c r="B90" s="10"/>
      <c r="C90" s="10"/>
      <c r="D90" s="10"/>
      <c r="E90" s="10"/>
      <c r="F90" s="10"/>
      <c r="G90" s="10"/>
      <c r="H90" s="11"/>
      <c r="I90" s="48"/>
      <c r="J90" s="48"/>
    </row>
    <row r="91">
      <c r="A91" s="10"/>
      <c r="B91" s="10"/>
      <c r="C91" s="10"/>
      <c r="D91" s="10"/>
      <c r="E91" s="10"/>
      <c r="F91" s="10"/>
      <c r="G91" s="10"/>
      <c r="H91" s="11"/>
      <c r="I91" s="48"/>
      <c r="J91" s="48"/>
    </row>
    <row r="92">
      <c r="A92" s="10"/>
      <c r="B92" s="10"/>
      <c r="C92" s="10"/>
      <c r="D92" s="10"/>
      <c r="E92" s="10"/>
      <c r="F92" s="10"/>
      <c r="G92" s="10"/>
      <c r="H92" s="11"/>
      <c r="I92" s="48"/>
      <c r="J92" s="48"/>
    </row>
    <row r="93">
      <c r="A93" s="10"/>
      <c r="B93" s="10"/>
      <c r="C93" s="10"/>
      <c r="D93" s="10"/>
      <c r="E93" s="10"/>
      <c r="F93" s="10"/>
      <c r="G93" s="10"/>
      <c r="H93" s="11"/>
      <c r="I93" s="48"/>
      <c r="J93" s="48"/>
    </row>
    <row r="94">
      <c r="A94" s="10"/>
      <c r="B94" s="10"/>
      <c r="C94" s="10"/>
      <c r="D94" s="10"/>
      <c r="E94" s="10"/>
      <c r="F94" s="10"/>
      <c r="G94" s="10"/>
      <c r="H94" s="11"/>
      <c r="I94" s="48"/>
      <c r="J94" s="48"/>
    </row>
    <row r="95">
      <c r="A95" s="10"/>
      <c r="B95" s="10"/>
      <c r="C95" s="10"/>
      <c r="D95" s="10"/>
      <c r="E95" s="10"/>
      <c r="F95" s="10"/>
      <c r="G95" s="10"/>
      <c r="H95" s="11"/>
      <c r="I95" s="48"/>
      <c r="J95" s="48"/>
    </row>
    <row r="96">
      <c r="A96" s="10"/>
      <c r="B96" s="10"/>
      <c r="C96" s="10"/>
      <c r="D96" s="10"/>
      <c r="E96" s="10"/>
      <c r="F96" s="10"/>
      <c r="G96" s="10"/>
      <c r="H96" s="11"/>
      <c r="I96" s="48"/>
      <c r="J96" s="48"/>
    </row>
    <row r="97">
      <c r="A97" s="10"/>
      <c r="B97" s="10"/>
      <c r="C97" s="10"/>
      <c r="D97" s="10"/>
      <c r="E97" s="10"/>
      <c r="F97" s="10"/>
      <c r="G97" s="10"/>
      <c r="H97" s="11"/>
      <c r="I97" s="48"/>
      <c r="J97" s="48"/>
    </row>
    <row r="98">
      <c r="A98" s="10"/>
      <c r="B98" s="10"/>
      <c r="C98" s="10"/>
      <c r="D98" s="10"/>
      <c r="E98" s="10"/>
      <c r="F98" s="10"/>
      <c r="G98" s="10"/>
      <c r="H98" s="11"/>
      <c r="I98" s="48"/>
      <c r="J98" s="48"/>
    </row>
    <row r="99">
      <c r="A99" s="10"/>
      <c r="B99" s="10"/>
      <c r="C99" s="10"/>
      <c r="D99" s="10"/>
      <c r="E99" s="10"/>
      <c r="F99" s="10"/>
      <c r="G99" s="10"/>
      <c r="H99" s="11"/>
      <c r="I99" s="48"/>
      <c r="J99" s="48"/>
    </row>
    <row r="100">
      <c r="A100" s="10"/>
      <c r="B100" s="10"/>
      <c r="C100" s="10"/>
      <c r="D100" s="10"/>
      <c r="E100" s="10"/>
      <c r="F100" s="10"/>
      <c r="G100" s="10"/>
      <c r="H100" s="11"/>
      <c r="I100" s="48"/>
      <c r="J100" s="48"/>
    </row>
    <row r="101">
      <c r="A101" s="10"/>
      <c r="B101" s="10"/>
      <c r="C101" s="10"/>
      <c r="D101" s="10"/>
      <c r="E101" s="10"/>
      <c r="F101" s="10"/>
      <c r="G101" s="10"/>
      <c r="H101" s="11"/>
      <c r="I101" s="48"/>
      <c r="J101" s="48"/>
    </row>
    <row r="102">
      <c r="A102" s="10"/>
      <c r="B102" s="10"/>
      <c r="C102" s="10"/>
      <c r="D102" s="10"/>
      <c r="E102" s="10"/>
      <c r="F102" s="10"/>
      <c r="G102" s="10"/>
      <c r="H102" s="11"/>
      <c r="I102" s="48"/>
      <c r="J102" s="48"/>
    </row>
    <row r="103">
      <c r="A103" s="10"/>
      <c r="B103" s="10"/>
      <c r="C103" s="10"/>
      <c r="D103" s="10"/>
      <c r="E103" s="10"/>
      <c r="F103" s="10"/>
      <c r="G103" s="10"/>
      <c r="H103" s="11"/>
      <c r="I103" s="48"/>
      <c r="J103" s="48"/>
    </row>
    <row r="104">
      <c r="A104" s="10"/>
      <c r="B104" s="10"/>
      <c r="C104" s="10"/>
      <c r="D104" s="10"/>
      <c r="E104" s="10"/>
      <c r="F104" s="10"/>
      <c r="G104" s="10"/>
      <c r="H104" s="11"/>
      <c r="I104" s="48"/>
      <c r="J104" s="48"/>
    </row>
    <row r="105">
      <c r="A105" s="10"/>
      <c r="B105" s="10"/>
      <c r="C105" s="10"/>
      <c r="D105" s="10"/>
      <c r="E105" s="10"/>
      <c r="F105" s="10"/>
      <c r="G105" s="10"/>
      <c r="H105" s="11"/>
      <c r="I105" s="48"/>
      <c r="J105" s="48"/>
    </row>
    <row r="106">
      <c r="A106" s="10"/>
      <c r="B106" s="10"/>
      <c r="C106" s="10"/>
      <c r="D106" s="10"/>
      <c r="E106" s="10"/>
      <c r="F106" s="10"/>
      <c r="G106" s="10"/>
      <c r="H106" s="11"/>
      <c r="I106" s="48"/>
      <c r="J106" s="48"/>
    </row>
    <row r="107">
      <c r="A107" s="10"/>
      <c r="B107" s="10"/>
      <c r="C107" s="10"/>
      <c r="D107" s="10"/>
      <c r="E107" s="10"/>
      <c r="F107" s="10"/>
      <c r="G107" s="10"/>
      <c r="H107" s="11"/>
      <c r="I107" s="48"/>
      <c r="J107" s="48"/>
    </row>
    <row r="108">
      <c r="A108" s="10"/>
      <c r="B108" s="10"/>
      <c r="C108" s="10"/>
      <c r="D108" s="10"/>
      <c r="E108" s="10"/>
      <c r="F108" s="10"/>
      <c r="G108" s="10"/>
      <c r="H108" s="11"/>
      <c r="I108" s="48"/>
      <c r="J108" s="48"/>
    </row>
    <row r="109">
      <c r="A109" s="10"/>
      <c r="B109" s="10"/>
      <c r="C109" s="10"/>
      <c r="D109" s="10"/>
      <c r="E109" s="10"/>
      <c r="F109" s="10"/>
      <c r="G109" s="10"/>
      <c r="H109" s="11"/>
      <c r="I109" s="48"/>
      <c r="J109" s="48"/>
    </row>
    <row r="110">
      <c r="A110" s="10"/>
      <c r="B110" s="10"/>
      <c r="C110" s="10"/>
      <c r="D110" s="10"/>
      <c r="E110" s="10"/>
      <c r="F110" s="10"/>
      <c r="G110" s="10"/>
      <c r="H110" s="11"/>
      <c r="I110" s="48"/>
      <c r="J110" s="48"/>
    </row>
    <row r="111">
      <c r="A111" s="10"/>
      <c r="B111" s="10"/>
      <c r="C111" s="10"/>
      <c r="D111" s="10"/>
      <c r="E111" s="10"/>
      <c r="F111" s="10"/>
      <c r="G111" s="10"/>
      <c r="H111" s="11"/>
      <c r="I111" s="48"/>
      <c r="J111" s="48"/>
    </row>
    <row r="112">
      <c r="A112" s="10"/>
      <c r="B112" s="10"/>
      <c r="C112" s="10"/>
      <c r="D112" s="10"/>
      <c r="E112" s="10"/>
      <c r="F112" s="10"/>
      <c r="G112" s="10"/>
      <c r="H112" s="11"/>
      <c r="I112" s="48"/>
      <c r="J112" s="48"/>
    </row>
    <row r="113">
      <c r="A113" s="10"/>
      <c r="B113" s="10"/>
      <c r="C113" s="10"/>
      <c r="D113" s="10"/>
      <c r="E113" s="10"/>
      <c r="F113" s="10"/>
      <c r="G113" s="10"/>
      <c r="H113" s="11"/>
      <c r="I113" s="48"/>
      <c r="J113" s="48"/>
    </row>
    <row r="114">
      <c r="A114" s="10"/>
      <c r="B114" s="10"/>
      <c r="C114" s="10"/>
      <c r="D114" s="10"/>
      <c r="E114" s="10"/>
      <c r="F114" s="10"/>
      <c r="G114" s="10"/>
      <c r="H114" s="11"/>
      <c r="I114" s="48"/>
      <c r="J114" s="48"/>
    </row>
    <row r="115">
      <c r="A115" s="10"/>
      <c r="B115" s="10"/>
      <c r="C115" s="10"/>
      <c r="D115" s="10"/>
      <c r="E115" s="10"/>
      <c r="F115" s="10"/>
      <c r="G115" s="10"/>
      <c r="H115" s="11"/>
      <c r="I115" s="48"/>
      <c r="J115" s="48"/>
    </row>
    <row r="116">
      <c r="A116" s="10"/>
      <c r="B116" s="10"/>
      <c r="C116" s="10"/>
      <c r="D116" s="10"/>
      <c r="E116" s="10"/>
      <c r="F116" s="10"/>
      <c r="G116" s="10"/>
      <c r="H116" s="11"/>
      <c r="I116" s="48"/>
      <c r="J116" s="48"/>
    </row>
    <row r="117">
      <c r="A117" s="10"/>
      <c r="B117" s="10"/>
      <c r="C117" s="10"/>
      <c r="D117" s="10"/>
      <c r="E117" s="10"/>
      <c r="F117" s="10"/>
      <c r="G117" s="10"/>
      <c r="H117" s="11"/>
      <c r="I117" s="48"/>
      <c r="J117" s="48"/>
    </row>
    <row r="118">
      <c r="A118" s="10"/>
      <c r="B118" s="10"/>
      <c r="C118" s="10"/>
      <c r="D118" s="10"/>
      <c r="E118" s="10"/>
      <c r="F118" s="10"/>
      <c r="G118" s="10"/>
      <c r="H118" s="11"/>
      <c r="I118" s="48"/>
      <c r="J118" s="48"/>
    </row>
    <row r="119">
      <c r="A119" s="10"/>
      <c r="B119" s="10"/>
      <c r="C119" s="10"/>
      <c r="D119" s="10"/>
      <c r="E119" s="10"/>
      <c r="F119" s="10"/>
      <c r="G119" s="10"/>
      <c r="H119" s="11"/>
      <c r="I119" s="48"/>
      <c r="J119" s="48"/>
    </row>
  </sheetData>
  <autoFilter ref="$A$1:$J$1010"/>
  <customSheetViews>
    <customSheetView guid="{131ED934-56A5-4A4B-9246-8993FA1F050E}" filter="1" showAutoFilter="1">
      <autoFilter ref="$A$1:$J$1010">
        <filterColumn colId="4">
          <filters blank="1">
            <filter val="Specialized Tarmac Pro"/>
            <filter val="Tron"/>
            <filter val="Specialized Venge S-Works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6">
          <filters blank="1">
            <filter val="ENVE 3.4"/>
            <filter val="Zipp 858/Super9"/>
            <filter val="Tron"/>
            <filter val="Zipp 858"/>
            <filter val="ENVE 7.8"/>
          </filters>
        </filterColumn>
      </autoFilter>
    </customSheetView>
  </customSheetViews>
  <conditionalFormatting sqref="I1 J1:J1176 I20:I117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K2"/>
    <hyperlink r:id="rId2" ref="K3"/>
    <hyperlink r:id="rId3" ref="K4"/>
    <hyperlink r:id="rId4" ref="K5"/>
    <hyperlink r:id="rId5" ref="K6"/>
    <hyperlink r:id="rId6" ref="K7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7.38"/>
    <col customWidth="1" min="7" max="7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429</v>
      </c>
      <c r="J1" s="1" t="s">
        <v>430</v>
      </c>
      <c r="K1" s="1" t="s">
        <v>8</v>
      </c>
    </row>
    <row r="2">
      <c r="A2" s="10">
        <v>75.0</v>
      </c>
      <c r="B2" s="10">
        <v>300.0</v>
      </c>
      <c r="C2" s="10">
        <f t="shared" ref="C2:C10" si="1">B2/A2</f>
        <v>4</v>
      </c>
      <c r="D2" s="10">
        <v>183.0</v>
      </c>
      <c r="E2" s="10" t="s">
        <v>9</v>
      </c>
      <c r="F2" s="10" t="s">
        <v>10</v>
      </c>
      <c r="G2" s="10" t="s">
        <v>79</v>
      </c>
      <c r="H2" s="11">
        <v>0.029722222222222223</v>
      </c>
      <c r="I2" s="11">
        <v>0.015150462962962963</v>
      </c>
      <c r="J2" s="48">
        <f t="shared" ref="J2:J10" si="2">1-(PERCENTRANK(H:H,H2,4))</f>
        <v>1</v>
      </c>
      <c r="K2" s="28" t="s">
        <v>443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94</v>
      </c>
      <c r="F3" s="10" t="s">
        <v>10</v>
      </c>
      <c r="G3" s="10" t="s">
        <v>79</v>
      </c>
      <c r="H3" s="11">
        <v>0.029780092592592594</v>
      </c>
      <c r="I3" s="11">
        <v>0.015127314814814816</v>
      </c>
      <c r="J3" s="48">
        <f t="shared" si="2"/>
        <v>0.875</v>
      </c>
      <c r="K3" s="28" t="s">
        <v>443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 t="s">
        <v>94</v>
      </c>
      <c r="F4" s="10" t="s">
        <v>10</v>
      </c>
      <c r="G4" s="10" t="s">
        <v>444</v>
      </c>
      <c r="H4" s="11">
        <v>0.029930555555555554</v>
      </c>
      <c r="I4" s="11">
        <v>0.015092592592592593</v>
      </c>
      <c r="J4" s="48">
        <f t="shared" si="2"/>
        <v>0.625</v>
      </c>
      <c r="K4" s="28" t="s">
        <v>445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 t="s">
        <v>94</v>
      </c>
      <c r="F5" s="10" t="s">
        <v>10</v>
      </c>
      <c r="G5" s="10" t="s">
        <v>446</v>
      </c>
      <c r="H5" s="11">
        <v>0.029872685185185186</v>
      </c>
      <c r="I5" s="11">
        <v>0.01511574074074074</v>
      </c>
      <c r="J5" s="48">
        <f t="shared" si="2"/>
        <v>0.75</v>
      </c>
      <c r="K5" s="28" t="s">
        <v>445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/>
      <c r="F6" s="10"/>
      <c r="G6" s="10"/>
      <c r="H6" s="11">
        <v>0.032025462962962964</v>
      </c>
      <c r="I6" s="11">
        <v>0.0018171296296296297</v>
      </c>
      <c r="J6" s="48">
        <f t="shared" si="2"/>
        <v>0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/>
      <c r="F7" s="10"/>
      <c r="G7" s="10"/>
      <c r="H7" s="11">
        <v>0.03158564814814815</v>
      </c>
      <c r="I7" s="11">
        <v>0.0018171296296296297</v>
      </c>
      <c r="J7" s="48">
        <f t="shared" si="2"/>
        <v>0.125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/>
      <c r="F8" s="10"/>
      <c r="G8" s="10"/>
      <c r="H8" s="11">
        <v>0.031516203703703706</v>
      </c>
      <c r="I8" s="11">
        <v>0.0018287037037037037</v>
      </c>
      <c r="J8" s="48">
        <f t="shared" si="2"/>
        <v>0.5</v>
      </c>
    </row>
    <row r="9">
      <c r="A9" s="10">
        <v>75.0</v>
      </c>
      <c r="B9" s="10">
        <v>300.0</v>
      </c>
      <c r="C9" s="10">
        <f t="shared" si="1"/>
        <v>4</v>
      </c>
      <c r="D9" s="10">
        <v>183.0</v>
      </c>
      <c r="E9" s="10"/>
      <c r="F9" s="10"/>
      <c r="G9" s="10"/>
      <c r="H9" s="11">
        <v>0.031516203703703706</v>
      </c>
      <c r="I9" s="11">
        <v>0.0018287037037037037</v>
      </c>
      <c r="J9" s="48">
        <f t="shared" si="2"/>
        <v>0.5</v>
      </c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/>
      <c r="F10" s="10"/>
      <c r="G10" s="10"/>
      <c r="H10" s="11">
        <v>0.031516203703703706</v>
      </c>
      <c r="I10" s="11">
        <v>0.0018287037037037037</v>
      </c>
      <c r="J10" s="48">
        <f t="shared" si="2"/>
        <v>0.5</v>
      </c>
    </row>
    <row r="11">
      <c r="A11" s="10"/>
      <c r="B11" s="10"/>
      <c r="C11" s="10"/>
      <c r="D11" s="10"/>
      <c r="E11" s="10"/>
      <c r="F11" s="10"/>
      <c r="G11" s="10"/>
      <c r="H11" s="11"/>
      <c r="I11" s="11"/>
      <c r="J11" s="48"/>
    </row>
    <row r="12">
      <c r="A12" s="10"/>
      <c r="B12" s="10"/>
      <c r="C12" s="10"/>
      <c r="D12" s="10"/>
      <c r="E12" s="10"/>
      <c r="F12" s="10"/>
      <c r="G12" s="10"/>
      <c r="H12" s="11"/>
      <c r="I12" s="11"/>
      <c r="J12" s="48"/>
    </row>
    <row r="13">
      <c r="A13" s="10"/>
      <c r="B13" s="10"/>
      <c r="C13" s="10"/>
      <c r="D13" s="10"/>
      <c r="E13" s="10"/>
      <c r="F13" s="10"/>
      <c r="G13" s="10"/>
      <c r="H13" s="11"/>
      <c r="I13" s="11"/>
      <c r="J13" s="48"/>
    </row>
    <row r="14">
      <c r="A14" s="10"/>
      <c r="B14" s="10"/>
      <c r="C14" s="10"/>
      <c r="D14" s="10"/>
      <c r="E14" s="10"/>
      <c r="F14" s="10"/>
      <c r="G14" s="10"/>
      <c r="H14" s="11"/>
      <c r="I14" s="11"/>
      <c r="J14" s="48"/>
    </row>
    <row r="15">
      <c r="A15" s="10"/>
      <c r="B15" s="10"/>
      <c r="C15" s="10"/>
      <c r="D15" s="10"/>
      <c r="E15" s="10"/>
      <c r="F15" s="10"/>
      <c r="G15" s="10"/>
      <c r="H15" s="11"/>
      <c r="I15" s="11"/>
      <c r="J15" s="48"/>
    </row>
    <row r="16">
      <c r="A16" s="10"/>
      <c r="B16" s="10"/>
      <c r="C16" s="10"/>
      <c r="D16" s="10"/>
      <c r="E16" s="10"/>
      <c r="F16" s="10"/>
      <c r="G16" s="10"/>
      <c r="H16" s="11"/>
      <c r="I16" s="11"/>
      <c r="J16" s="48"/>
    </row>
    <row r="17">
      <c r="A17" s="10"/>
      <c r="B17" s="10"/>
      <c r="C17" s="10"/>
      <c r="D17" s="10"/>
      <c r="E17" s="10"/>
      <c r="F17" s="10"/>
      <c r="G17" s="10"/>
      <c r="H17" s="11"/>
      <c r="I17" s="11"/>
      <c r="J17" s="48"/>
    </row>
    <row r="18">
      <c r="A18" s="10"/>
      <c r="B18" s="10"/>
      <c r="C18" s="10"/>
      <c r="D18" s="10"/>
      <c r="E18" s="10"/>
      <c r="F18" s="10"/>
      <c r="G18" s="10"/>
      <c r="H18" s="11"/>
      <c r="I18" s="11"/>
      <c r="J18" s="48"/>
    </row>
    <row r="19">
      <c r="A19" s="10"/>
      <c r="B19" s="10"/>
      <c r="C19" s="10"/>
      <c r="D19" s="10"/>
      <c r="E19" s="10"/>
      <c r="F19" s="10"/>
      <c r="G19" s="10"/>
      <c r="H19" s="11"/>
      <c r="I19" s="11"/>
      <c r="J19" s="48"/>
    </row>
    <row r="20">
      <c r="A20" s="10"/>
      <c r="B20" s="10"/>
      <c r="C20" s="10"/>
      <c r="D20" s="10"/>
      <c r="E20" s="10"/>
      <c r="F20" s="10"/>
      <c r="G20" s="10"/>
      <c r="H20" s="11"/>
      <c r="I20" s="48"/>
      <c r="J20" s="48"/>
    </row>
    <row r="21">
      <c r="A21" s="10"/>
      <c r="B21" s="10"/>
      <c r="C21" s="10"/>
      <c r="D21" s="10"/>
      <c r="E21" s="10"/>
      <c r="F21" s="10"/>
      <c r="G21" s="10"/>
      <c r="H21" s="11"/>
      <c r="I21" s="48"/>
      <c r="J21" s="48"/>
    </row>
    <row r="22">
      <c r="A22" s="10"/>
      <c r="B22" s="10"/>
      <c r="C22" s="10"/>
      <c r="D22" s="10"/>
      <c r="E22" s="10"/>
      <c r="F22" s="10"/>
      <c r="G22" s="10"/>
      <c r="H22" s="11"/>
      <c r="I22" s="48"/>
      <c r="J22" s="48"/>
    </row>
    <row r="23">
      <c r="A23" s="10"/>
      <c r="B23" s="10"/>
      <c r="C23" s="10"/>
      <c r="D23" s="10"/>
      <c r="E23" s="10"/>
      <c r="F23" s="10"/>
      <c r="G23" s="10"/>
      <c r="H23" s="11"/>
      <c r="I23" s="48"/>
      <c r="J23" s="48"/>
    </row>
    <row r="24">
      <c r="A24" s="10"/>
      <c r="B24" s="10"/>
      <c r="C24" s="10"/>
      <c r="D24" s="10"/>
      <c r="E24" s="10"/>
      <c r="F24" s="10"/>
      <c r="G24" s="10"/>
      <c r="H24" s="11"/>
      <c r="I24" s="48"/>
      <c r="J24" s="48"/>
    </row>
    <row r="25">
      <c r="A25" s="10"/>
      <c r="B25" s="10"/>
      <c r="C25" s="10"/>
      <c r="D25" s="10"/>
      <c r="E25" s="10"/>
      <c r="F25" s="10"/>
      <c r="G25" s="10"/>
      <c r="H25" s="11"/>
      <c r="I25" s="48"/>
      <c r="J25" s="48"/>
    </row>
    <row r="26">
      <c r="A26" s="10"/>
      <c r="B26" s="10"/>
      <c r="C26" s="10"/>
      <c r="D26" s="10"/>
      <c r="E26" s="10"/>
      <c r="F26" s="10"/>
      <c r="G26" s="10"/>
      <c r="H26" s="11"/>
      <c r="I26" s="48"/>
      <c r="J26" s="48"/>
    </row>
    <row r="27">
      <c r="A27" s="10"/>
      <c r="B27" s="10"/>
      <c r="C27" s="10"/>
      <c r="D27" s="10"/>
      <c r="E27" s="10"/>
      <c r="F27" s="10"/>
      <c r="G27" s="10"/>
      <c r="H27" s="11"/>
      <c r="I27" s="48"/>
      <c r="J27" s="48"/>
    </row>
    <row r="28">
      <c r="A28" s="10"/>
      <c r="B28" s="10"/>
      <c r="C28" s="10"/>
      <c r="D28" s="10"/>
      <c r="E28" s="10"/>
      <c r="F28" s="10"/>
      <c r="G28" s="10"/>
      <c r="H28" s="11"/>
      <c r="I28" s="48"/>
      <c r="J28" s="48"/>
    </row>
    <row r="29">
      <c r="A29" s="20"/>
      <c r="B29" s="20"/>
      <c r="C29" s="20"/>
      <c r="D29" s="20"/>
      <c r="E29" s="59"/>
      <c r="F29" s="59"/>
      <c r="G29" s="10"/>
      <c r="H29" s="11"/>
      <c r="I29" s="60"/>
      <c r="J29" s="6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A30" s="10"/>
      <c r="B30" s="10"/>
      <c r="C30" s="10"/>
      <c r="D30" s="10"/>
      <c r="E30" s="10"/>
      <c r="F30" s="10"/>
      <c r="G30" s="10"/>
      <c r="H30" s="11"/>
      <c r="I30" s="48"/>
      <c r="J30" s="48"/>
    </row>
    <row r="31">
      <c r="A31" s="10"/>
      <c r="B31" s="10"/>
      <c r="C31" s="10"/>
      <c r="D31" s="10"/>
      <c r="E31" s="10"/>
      <c r="F31" s="10"/>
      <c r="G31" s="10"/>
      <c r="H31" s="11"/>
      <c r="I31" s="48"/>
      <c r="J31" s="48"/>
    </row>
    <row r="32">
      <c r="A32" s="10"/>
      <c r="B32" s="10"/>
      <c r="C32" s="10"/>
      <c r="D32" s="10"/>
      <c r="E32" s="10"/>
      <c r="F32" s="10"/>
      <c r="G32" s="10"/>
      <c r="H32" s="11"/>
      <c r="I32" s="48"/>
      <c r="J32" s="48"/>
    </row>
    <row r="33">
      <c r="A33" s="10"/>
      <c r="B33" s="10"/>
      <c r="C33" s="10"/>
      <c r="D33" s="10"/>
      <c r="E33" s="10"/>
      <c r="F33" s="10"/>
      <c r="G33" s="10"/>
      <c r="H33" s="11"/>
      <c r="I33" s="48"/>
      <c r="J33" s="48"/>
    </row>
    <row r="34">
      <c r="A34" s="10"/>
      <c r="B34" s="10"/>
      <c r="C34" s="10"/>
      <c r="D34" s="10"/>
      <c r="E34" s="10"/>
      <c r="F34" s="10"/>
      <c r="G34" s="10"/>
      <c r="H34" s="11"/>
      <c r="I34" s="48"/>
      <c r="J34" s="48"/>
    </row>
    <row r="35">
      <c r="A35" s="10"/>
      <c r="B35" s="10"/>
      <c r="C35" s="10"/>
      <c r="D35" s="10"/>
      <c r="E35" s="10"/>
      <c r="F35" s="10"/>
      <c r="G35" s="10"/>
      <c r="H35" s="11"/>
      <c r="I35" s="48"/>
      <c r="J35" s="48"/>
    </row>
    <row r="36">
      <c r="A36" s="10"/>
      <c r="B36" s="10"/>
      <c r="C36" s="10"/>
      <c r="D36" s="10"/>
      <c r="E36" s="10"/>
      <c r="F36" s="10"/>
      <c r="G36" s="10"/>
      <c r="H36" s="11"/>
      <c r="I36" s="48"/>
      <c r="J36" s="48"/>
    </row>
    <row r="37">
      <c r="A37" s="10"/>
      <c r="B37" s="10"/>
      <c r="C37" s="10"/>
      <c r="D37" s="10"/>
      <c r="E37" s="10"/>
      <c r="F37" s="10"/>
      <c r="G37" s="10"/>
      <c r="H37" s="11"/>
      <c r="I37" s="48"/>
      <c r="J37" s="48"/>
    </row>
    <row r="38">
      <c r="A38" s="10"/>
      <c r="B38" s="10"/>
      <c r="C38" s="10"/>
      <c r="D38" s="10"/>
      <c r="E38" s="10"/>
      <c r="F38" s="10"/>
      <c r="G38" s="10"/>
      <c r="H38" s="11"/>
      <c r="I38" s="48"/>
      <c r="J38" s="4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A39" s="10"/>
      <c r="B39" s="10"/>
      <c r="C39" s="10"/>
      <c r="D39" s="10"/>
      <c r="E39" s="10"/>
      <c r="F39" s="10"/>
      <c r="G39" s="10"/>
      <c r="H39" s="11"/>
      <c r="I39" s="48"/>
      <c r="J39" s="48"/>
    </row>
    <row r="40">
      <c r="A40" s="10"/>
      <c r="B40" s="10"/>
      <c r="C40" s="10"/>
      <c r="D40" s="10"/>
      <c r="E40" s="10"/>
      <c r="F40" s="10"/>
      <c r="G40" s="10"/>
      <c r="H40" s="11"/>
      <c r="I40" s="48"/>
      <c r="J40" s="48"/>
    </row>
    <row r="41">
      <c r="A41" s="10"/>
      <c r="B41" s="10"/>
      <c r="C41" s="10"/>
      <c r="D41" s="10"/>
      <c r="E41" s="10"/>
      <c r="F41" s="10"/>
      <c r="G41" s="10"/>
      <c r="H41" s="11"/>
      <c r="I41" s="48"/>
      <c r="J41" s="48"/>
    </row>
    <row r="42">
      <c r="A42" s="10"/>
      <c r="B42" s="10"/>
      <c r="C42" s="10"/>
      <c r="D42" s="10"/>
      <c r="E42" s="10"/>
      <c r="F42" s="10"/>
      <c r="G42" s="10"/>
      <c r="H42" s="11"/>
      <c r="I42" s="48"/>
      <c r="J42" s="48"/>
    </row>
    <row r="43">
      <c r="A43" s="10"/>
      <c r="B43" s="10"/>
      <c r="C43" s="10"/>
      <c r="D43" s="10"/>
      <c r="E43" s="10"/>
      <c r="F43" s="10"/>
      <c r="G43" s="10"/>
      <c r="H43" s="11"/>
      <c r="I43" s="48"/>
      <c r="J43" s="48"/>
    </row>
    <row r="44">
      <c r="A44" s="10"/>
      <c r="B44" s="10"/>
      <c r="C44" s="10"/>
      <c r="D44" s="10"/>
      <c r="E44" s="10"/>
      <c r="F44" s="10"/>
      <c r="G44" s="10"/>
      <c r="H44" s="11"/>
      <c r="I44" s="48"/>
      <c r="J44" s="48"/>
    </row>
    <row r="45">
      <c r="A45" s="10"/>
      <c r="B45" s="10"/>
      <c r="C45" s="10"/>
      <c r="D45" s="10"/>
      <c r="E45" s="10"/>
      <c r="F45" s="10"/>
      <c r="G45" s="10"/>
      <c r="H45" s="11"/>
      <c r="I45" s="48"/>
      <c r="J45" s="48"/>
    </row>
    <row r="46">
      <c r="A46" s="10"/>
      <c r="B46" s="10"/>
      <c r="C46" s="10"/>
      <c r="D46" s="10"/>
      <c r="E46" s="10"/>
      <c r="F46" s="10"/>
      <c r="G46" s="10"/>
      <c r="H46" s="11"/>
      <c r="I46" s="48"/>
      <c r="J46" s="48"/>
    </row>
    <row r="47">
      <c r="A47" s="10"/>
      <c r="B47" s="10"/>
      <c r="C47" s="10"/>
      <c r="D47" s="10"/>
      <c r="E47" s="10"/>
      <c r="F47" s="10"/>
      <c r="G47" s="10"/>
      <c r="H47" s="11"/>
      <c r="I47" s="48"/>
      <c r="J47" s="48"/>
    </row>
    <row r="48">
      <c r="A48" s="10"/>
      <c r="B48" s="10"/>
      <c r="C48" s="10"/>
      <c r="D48" s="10"/>
      <c r="E48" s="10"/>
      <c r="F48" s="10"/>
      <c r="G48" s="10"/>
      <c r="H48" s="11"/>
      <c r="I48" s="48"/>
      <c r="J48" s="48"/>
    </row>
    <row r="49">
      <c r="A49" s="10"/>
      <c r="B49" s="10"/>
      <c r="C49" s="10"/>
      <c r="D49" s="10"/>
      <c r="E49" s="10"/>
      <c r="F49" s="10"/>
      <c r="G49" s="10"/>
      <c r="H49" s="11"/>
      <c r="I49" s="48"/>
      <c r="J49" s="48"/>
    </row>
    <row r="50">
      <c r="A50" s="10"/>
      <c r="B50" s="10"/>
      <c r="C50" s="10"/>
      <c r="D50" s="10"/>
      <c r="E50" s="10"/>
      <c r="F50" s="10"/>
      <c r="G50" s="10"/>
      <c r="H50" s="11"/>
      <c r="I50" s="48"/>
      <c r="J50" s="48"/>
    </row>
    <row r="51">
      <c r="A51" s="10"/>
      <c r="B51" s="10"/>
      <c r="C51" s="10"/>
      <c r="D51" s="10"/>
      <c r="E51" s="10"/>
      <c r="F51" s="10"/>
      <c r="G51" s="10"/>
      <c r="H51" s="11"/>
      <c r="I51" s="48"/>
      <c r="J51" s="48"/>
    </row>
    <row r="52">
      <c r="A52" s="10"/>
      <c r="B52" s="10"/>
      <c r="C52" s="10"/>
      <c r="D52" s="10"/>
      <c r="E52" s="10"/>
      <c r="F52" s="10"/>
      <c r="G52" s="10"/>
      <c r="H52" s="11"/>
      <c r="I52" s="48"/>
      <c r="J52" s="48"/>
    </row>
    <row r="53">
      <c r="A53" s="10"/>
      <c r="B53" s="10"/>
      <c r="C53" s="10"/>
      <c r="D53" s="10"/>
      <c r="E53" s="10"/>
      <c r="F53" s="10"/>
      <c r="G53" s="10"/>
      <c r="H53" s="11"/>
      <c r="I53" s="48"/>
      <c r="J53" s="48"/>
    </row>
    <row r="54">
      <c r="A54" s="10"/>
      <c r="B54" s="10"/>
      <c r="C54" s="10"/>
      <c r="D54" s="10"/>
      <c r="E54" s="10"/>
      <c r="F54" s="10"/>
      <c r="G54" s="10"/>
      <c r="H54" s="11"/>
      <c r="I54" s="48"/>
      <c r="J54" s="48"/>
    </row>
    <row r="55">
      <c r="A55" s="10"/>
      <c r="B55" s="10"/>
      <c r="C55" s="10"/>
      <c r="D55" s="10"/>
      <c r="E55" s="10"/>
      <c r="F55" s="10"/>
      <c r="G55" s="10"/>
      <c r="H55" s="11"/>
      <c r="I55" s="48"/>
      <c r="J55" s="48"/>
    </row>
    <row r="56">
      <c r="A56" s="10"/>
      <c r="B56" s="10"/>
      <c r="C56" s="10"/>
      <c r="D56" s="10"/>
      <c r="E56" s="10"/>
      <c r="F56" s="10"/>
      <c r="G56" s="10"/>
      <c r="H56" s="11"/>
      <c r="I56" s="48"/>
      <c r="J56" s="48"/>
    </row>
    <row r="57">
      <c r="A57" s="10"/>
      <c r="B57" s="10"/>
      <c r="C57" s="10"/>
      <c r="D57" s="10"/>
      <c r="E57" s="10"/>
      <c r="F57" s="10"/>
      <c r="G57" s="10"/>
      <c r="H57" s="11"/>
      <c r="I57" s="48"/>
      <c r="J57" s="48"/>
    </row>
    <row r="58">
      <c r="A58" s="10"/>
      <c r="B58" s="10"/>
      <c r="C58" s="10"/>
      <c r="D58" s="10"/>
      <c r="E58" s="10"/>
      <c r="F58" s="10"/>
      <c r="G58" s="10"/>
      <c r="H58" s="11"/>
      <c r="I58" s="48"/>
      <c r="J58" s="48"/>
    </row>
    <row r="59">
      <c r="A59" s="10"/>
      <c r="B59" s="10"/>
      <c r="C59" s="10"/>
      <c r="D59" s="10"/>
      <c r="E59" s="10"/>
      <c r="F59" s="10"/>
      <c r="G59" s="10"/>
      <c r="H59" s="11"/>
      <c r="I59" s="48"/>
      <c r="J59" s="48"/>
    </row>
    <row r="60">
      <c r="A60" s="10"/>
      <c r="B60" s="10"/>
      <c r="C60" s="10"/>
      <c r="D60" s="10"/>
      <c r="E60" s="10"/>
      <c r="F60" s="10"/>
      <c r="G60" s="10"/>
      <c r="H60" s="11"/>
      <c r="I60" s="48"/>
      <c r="J60" s="48"/>
    </row>
    <row r="61">
      <c r="A61" s="10"/>
      <c r="B61" s="10"/>
      <c r="C61" s="10"/>
      <c r="D61" s="10"/>
      <c r="E61" s="10"/>
      <c r="F61" s="10"/>
      <c r="G61" s="10"/>
      <c r="H61" s="11"/>
      <c r="I61" s="48"/>
      <c r="J61" s="48"/>
    </row>
    <row r="62">
      <c r="A62" s="10"/>
      <c r="B62" s="10"/>
      <c r="C62" s="10"/>
      <c r="D62" s="10"/>
      <c r="E62" s="10"/>
      <c r="F62" s="10"/>
      <c r="G62" s="10"/>
      <c r="H62" s="11"/>
      <c r="I62" s="48"/>
      <c r="J62" s="48"/>
    </row>
    <row r="63">
      <c r="A63" s="10"/>
      <c r="B63" s="10"/>
      <c r="C63" s="10"/>
      <c r="D63" s="10"/>
      <c r="E63" s="10"/>
      <c r="F63" s="10"/>
      <c r="G63" s="10"/>
      <c r="H63" s="11"/>
      <c r="I63" s="48"/>
      <c r="J63" s="48"/>
    </row>
    <row r="64">
      <c r="A64" s="10"/>
      <c r="B64" s="10"/>
      <c r="C64" s="10"/>
      <c r="D64" s="10"/>
      <c r="E64" s="10"/>
      <c r="F64" s="10"/>
      <c r="G64" s="10"/>
      <c r="H64" s="11"/>
      <c r="I64" s="48"/>
      <c r="J64" s="48"/>
    </row>
    <row r="65">
      <c r="A65" s="10"/>
      <c r="B65" s="10"/>
      <c r="C65" s="10"/>
      <c r="D65" s="10"/>
      <c r="E65" s="10"/>
      <c r="F65" s="10"/>
      <c r="G65" s="10"/>
      <c r="H65" s="11"/>
      <c r="I65" s="48"/>
      <c r="J65" s="48"/>
    </row>
    <row r="66">
      <c r="A66" s="10"/>
      <c r="B66" s="10"/>
      <c r="C66" s="10"/>
      <c r="D66" s="10"/>
      <c r="E66" s="10"/>
      <c r="F66" s="10"/>
      <c r="G66" s="10"/>
      <c r="H66" s="11"/>
      <c r="I66" s="48"/>
      <c r="J66" s="48"/>
    </row>
    <row r="67">
      <c r="A67" s="10"/>
      <c r="B67" s="10"/>
      <c r="C67" s="10"/>
      <c r="D67" s="10"/>
      <c r="E67" s="10"/>
      <c r="F67" s="10"/>
      <c r="G67" s="10"/>
      <c r="H67" s="11"/>
      <c r="I67" s="48"/>
      <c r="J67" s="48"/>
    </row>
    <row r="68">
      <c r="A68" s="10"/>
      <c r="B68" s="10"/>
      <c r="C68" s="10"/>
      <c r="D68" s="10"/>
      <c r="E68" s="10"/>
      <c r="F68" s="10"/>
      <c r="G68" s="10"/>
      <c r="H68" s="11"/>
      <c r="I68" s="48"/>
      <c r="J68" s="48"/>
    </row>
    <row r="69">
      <c r="A69" s="10"/>
      <c r="B69" s="10"/>
      <c r="C69" s="10"/>
      <c r="D69" s="10"/>
      <c r="E69" s="10"/>
      <c r="F69" s="10"/>
      <c r="G69" s="10"/>
      <c r="H69" s="11"/>
      <c r="I69" s="48"/>
      <c r="J69" s="48"/>
    </row>
    <row r="70">
      <c r="A70" s="10"/>
      <c r="B70" s="10"/>
      <c r="C70" s="10"/>
      <c r="D70" s="10"/>
      <c r="E70" s="10"/>
      <c r="F70" s="10"/>
      <c r="G70" s="10"/>
      <c r="H70" s="11"/>
      <c r="I70" s="48"/>
      <c r="J70" s="48"/>
    </row>
    <row r="71">
      <c r="A71" s="10"/>
      <c r="B71" s="10"/>
      <c r="C71" s="10"/>
      <c r="D71" s="10"/>
      <c r="E71" s="10"/>
      <c r="F71" s="10"/>
      <c r="G71" s="10"/>
      <c r="H71" s="11"/>
      <c r="I71" s="48"/>
      <c r="J71" s="4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A72" s="10"/>
      <c r="B72" s="10"/>
      <c r="C72" s="10"/>
      <c r="D72" s="10"/>
      <c r="E72" s="10"/>
      <c r="F72" s="10"/>
      <c r="G72" s="10"/>
      <c r="H72" s="11"/>
      <c r="I72" s="48"/>
      <c r="J72" s="48"/>
    </row>
    <row r="73">
      <c r="A73" s="10"/>
      <c r="B73" s="10"/>
      <c r="C73" s="10"/>
      <c r="D73" s="10"/>
      <c r="E73" s="10"/>
      <c r="F73" s="10"/>
      <c r="G73" s="10"/>
      <c r="H73" s="11"/>
      <c r="I73" s="48"/>
      <c r="J73" s="48"/>
    </row>
    <row r="74">
      <c r="A74" s="10"/>
      <c r="B74" s="10"/>
      <c r="C74" s="10"/>
      <c r="D74" s="10"/>
      <c r="E74" s="10"/>
      <c r="F74" s="10"/>
      <c r="G74" s="10"/>
      <c r="H74" s="11"/>
      <c r="I74" s="48"/>
      <c r="J74" s="48"/>
    </row>
    <row r="75">
      <c r="A75" s="10"/>
      <c r="B75" s="10"/>
      <c r="C75" s="10"/>
      <c r="D75" s="10"/>
      <c r="E75" s="10"/>
      <c r="F75" s="10"/>
      <c r="G75" s="10"/>
      <c r="H75" s="11"/>
      <c r="I75" s="48"/>
      <c r="J75" s="48"/>
    </row>
    <row r="76">
      <c r="A76" s="10"/>
      <c r="B76" s="10"/>
      <c r="C76" s="10"/>
      <c r="D76" s="10"/>
      <c r="E76" s="10"/>
      <c r="F76" s="10"/>
      <c r="G76" s="10"/>
      <c r="H76" s="11"/>
      <c r="I76" s="48"/>
      <c r="J76" s="48"/>
    </row>
    <row r="77">
      <c r="A77" s="10"/>
      <c r="B77" s="10"/>
      <c r="C77" s="10"/>
      <c r="D77" s="10"/>
      <c r="E77" s="10"/>
      <c r="F77" s="10"/>
      <c r="G77" s="10"/>
      <c r="H77" s="11"/>
      <c r="I77" s="48"/>
      <c r="J77" s="48"/>
    </row>
    <row r="78">
      <c r="A78" s="10"/>
      <c r="B78" s="10"/>
      <c r="C78" s="10"/>
      <c r="D78" s="10"/>
      <c r="E78" s="10"/>
      <c r="F78" s="10"/>
      <c r="G78" s="10"/>
      <c r="H78" s="11"/>
      <c r="I78" s="48"/>
      <c r="J78" s="48"/>
      <c r="L78" s="46"/>
    </row>
    <row r="79">
      <c r="A79" s="10"/>
      <c r="B79" s="10"/>
      <c r="C79" s="10"/>
      <c r="D79" s="10"/>
      <c r="E79" s="10"/>
      <c r="F79" s="10"/>
      <c r="G79" s="10"/>
      <c r="H79" s="11"/>
      <c r="I79" s="48"/>
      <c r="J79" s="48"/>
    </row>
    <row r="80">
      <c r="A80" s="10"/>
      <c r="B80" s="10"/>
      <c r="C80" s="10"/>
      <c r="D80" s="10"/>
      <c r="E80" s="10"/>
      <c r="F80" s="10"/>
      <c r="G80" s="10"/>
      <c r="H80" s="11"/>
      <c r="I80" s="48"/>
      <c r="J80" s="48"/>
    </row>
    <row r="81">
      <c r="A81" s="10"/>
      <c r="B81" s="10"/>
      <c r="C81" s="10"/>
      <c r="D81" s="10"/>
      <c r="E81" s="10"/>
      <c r="F81" s="10"/>
      <c r="G81" s="10"/>
      <c r="H81" s="11"/>
      <c r="I81" s="48"/>
      <c r="J81" s="48"/>
    </row>
    <row r="82">
      <c r="A82" s="10"/>
      <c r="B82" s="10"/>
      <c r="C82" s="10"/>
      <c r="D82" s="10"/>
      <c r="E82" s="10"/>
      <c r="F82" s="10"/>
      <c r="G82" s="10"/>
      <c r="H82" s="11"/>
      <c r="I82" s="48"/>
      <c r="J82" s="48"/>
    </row>
    <row r="83">
      <c r="A83" s="10"/>
      <c r="B83" s="10"/>
      <c r="C83" s="10"/>
      <c r="D83" s="10"/>
      <c r="E83" s="10"/>
      <c r="F83" s="10"/>
      <c r="G83" s="10"/>
      <c r="H83" s="11"/>
      <c r="I83" s="48"/>
      <c r="J83" s="48"/>
    </row>
    <row r="84">
      <c r="A84" s="10"/>
      <c r="B84" s="10"/>
      <c r="C84" s="10"/>
      <c r="D84" s="10"/>
      <c r="E84" s="10"/>
      <c r="F84" s="10"/>
      <c r="G84" s="10"/>
      <c r="H84" s="11"/>
      <c r="I84" s="48"/>
      <c r="J84" s="48"/>
    </row>
    <row r="85">
      <c r="A85" s="10"/>
      <c r="B85" s="10"/>
      <c r="C85" s="10"/>
      <c r="D85" s="10"/>
      <c r="E85" s="10"/>
      <c r="F85" s="10"/>
      <c r="G85" s="10"/>
      <c r="H85" s="11"/>
      <c r="I85" s="48"/>
      <c r="J85" s="48"/>
    </row>
    <row r="86">
      <c r="A86" s="10"/>
      <c r="B86" s="10"/>
      <c r="C86" s="10"/>
      <c r="D86" s="10"/>
      <c r="E86" s="10"/>
      <c r="F86" s="10"/>
      <c r="G86" s="10"/>
      <c r="H86" s="11"/>
      <c r="I86" s="48"/>
      <c r="J86" s="48"/>
    </row>
    <row r="87">
      <c r="A87" s="10"/>
      <c r="B87" s="10"/>
      <c r="C87" s="10"/>
      <c r="D87" s="10"/>
      <c r="E87" s="10"/>
      <c r="F87" s="10"/>
      <c r="G87" s="10"/>
      <c r="H87" s="11"/>
      <c r="I87" s="48"/>
      <c r="J87" s="48"/>
    </row>
    <row r="88">
      <c r="A88" s="10"/>
      <c r="B88" s="10"/>
      <c r="C88" s="10"/>
      <c r="D88" s="10"/>
      <c r="E88" s="10"/>
      <c r="F88" s="10"/>
      <c r="G88" s="10"/>
      <c r="H88" s="11"/>
      <c r="I88" s="48"/>
      <c r="J88" s="48"/>
    </row>
    <row r="89">
      <c r="A89" s="10"/>
      <c r="B89" s="10"/>
      <c r="C89" s="10"/>
      <c r="D89" s="10"/>
      <c r="E89" s="10"/>
      <c r="F89" s="10"/>
      <c r="G89" s="10"/>
      <c r="H89" s="11"/>
      <c r="I89" s="48"/>
      <c r="J89" s="48"/>
    </row>
    <row r="90">
      <c r="A90" s="10"/>
      <c r="B90" s="10"/>
      <c r="C90" s="10"/>
      <c r="D90" s="10"/>
      <c r="E90" s="10"/>
      <c r="F90" s="10"/>
      <c r="G90" s="10"/>
      <c r="H90" s="11"/>
      <c r="I90" s="48"/>
      <c r="J90" s="48"/>
    </row>
    <row r="91">
      <c r="A91" s="10"/>
      <c r="B91" s="10"/>
      <c r="C91" s="10"/>
      <c r="D91" s="10"/>
      <c r="E91" s="10"/>
      <c r="F91" s="10"/>
      <c r="G91" s="10"/>
      <c r="H91" s="11"/>
      <c r="I91" s="48"/>
      <c r="J91" s="48"/>
    </row>
    <row r="92">
      <c r="A92" s="10"/>
      <c r="B92" s="10"/>
      <c r="C92" s="10"/>
      <c r="D92" s="10"/>
      <c r="E92" s="10"/>
      <c r="F92" s="10"/>
      <c r="G92" s="10"/>
      <c r="H92" s="11"/>
      <c r="I92" s="48"/>
      <c r="J92" s="48"/>
    </row>
    <row r="93">
      <c r="A93" s="10"/>
      <c r="B93" s="10"/>
      <c r="C93" s="10"/>
      <c r="D93" s="10"/>
      <c r="E93" s="10"/>
      <c r="F93" s="10"/>
      <c r="G93" s="10"/>
      <c r="H93" s="11"/>
      <c r="I93" s="48"/>
      <c r="J93" s="48"/>
    </row>
    <row r="94">
      <c r="A94" s="10"/>
      <c r="B94" s="10"/>
      <c r="C94" s="10"/>
      <c r="D94" s="10"/>
      <c r="E94" s="10"/>
      <c r="F94" s="10"/>
      <c r="G94" s="10"/>
      <c r="H94" s="11"/>
      <c r="I94" s="48"/>
      <c r="J94" s="48"/>
    </row>
    <row r="95">
      <c r="A95" s="10"/>
      <c r="B95" s="10"/>
      <c r="C95" s="10"/>
      <c r="D95" s="10"/>
      <c r="E95" s="10"/>
      <c r="F95" s="10"/>
      <c r="G95" s="10"/>
      <c r="H95" s="11"/>
      <c r="I95" s="48"/>
      <c r="J95" s="48"/>
    </row>
    <row r="96">
      <c r="A96" s="10"/>
      <c r="B96" s="10"/>
      <c r="C96" s="10"/>
      <c r="D96" s="10"/>
      <c r="E96" s="10"/>
      <c r="F96" s="10"/>
      <c r="G96" s="10"/>
      <c r="H96" s="11"/>
      <c r="I96" s="48"/>
      <c r="J96" s="48"/>
    </row>
    <row r="97">
      <c r="A97" s="10"/>
      <c r="B97" s="10"/>
      <c r="C97" s="10"/>
      <c r="D97" s="10"/>
      <c r="E97" s="10"/>
      <c r="F97" s="10"/>
      <c r="G97" s="10"/>
      <c r="H97" s="11"/>
      <c r="I97" s="48"/>
      <c r="J97" s="48"/>
    </row>
    <row r="98">
      <c r="A98" s="10"/>
      <c r="B98" s="10"/>
      <c r="C98" s="10"/>
      <c r="D98" s="10"/>
      <c r="E98" s="10"/>
      <c r="F98" s="10"/>
      <c r="G98" s="10"/>
      <c r="H98" s="11"/>
      <c r="I98" s="48"/>
      <c r="J98" s="48"/>
    </row>
    <row r="99">
      <c r="A99" s="10"/>
      <c r="B99" s="10"/>
      <c r="C99" s="10"/>
      <c r="D99" s="10"/>
      <c r="E99" s="10"/>
      <c r="F99" s="10"/>
      <c r="G99" s="10"/>
      <c r="H99" s="11"/>
      <c r="I99" s="48"/>
      <c r="J99" s="48"/>
    </row>
    <row r="100">
      <c r="A100" s="10"/>
      <c r="B100" s="10"/>
      <c r="C100" s="10"/>
      <c r="D100" s="10"/>
      <c r="E100" s="10"/>
      <c r="F100" s="10"/>
      <c r="G100" s="10"/>
      <c r="H100" s="11"/>
      <c r="I100" s="48"/>
      <c r="J100" s="48"/>
    </row>
    <row r="101">
      <c r="A101" s="10"/>
      <c r="B101" s="10"/>
      <c r="C101" s="10"/>
      <c r="D101" s="10"/>
      <c r="E101" s="10"/>
      <c r="F101" s="10"/>
      <c r="G101" s="10"/>
      <c r="H101" s="11"/>
      <c r="I101" s="48"/>
      <c r="J101" s="48"/>
    </row>
    <row r="102">
      <c r="A102" s="10"/>
      <c r="B102" s="10"/>
      <c r="C102" s="10"/>
      <c r="D102" s="10"/>
      <c r="E102" s="10"/>
      <c r="F102" s="10"/>
      <c r="G102" s="10"/>
      <c r="H102" s="11"/>
      <c r="I102" s="48"/>
      <c r="J102" s="48"/>
    </row>
    <row r="103">
      <c r="A103" s="10"/>
      <c r="B103" s="10"/>
      <c r="C103" s="10"/>
      <c r="D103" s="10"/>
      <c r="E103" s="10"/>
      <c r="F103" s="10"/>
      <c r="G103" s="10"/>
      <c r="H103" s="11"/>
      <c r="I103" s="48"/>
      <c r="J103" s="48"/>
    </row>
    <row r="104">
      <c r="A104" s="10"/>
      <c r="B104" s="10"/>
      <c r="C104" s="10"/>
      <c r="D104" s="10"/>
      <c r="E104" s="10"/>
      <c r="F104" s="10"/>
      <c r="G104" s="10"/>
      <c r="H104" s="11"/>
      <c r="I104" s="48"/>
      <c r="J104" s="48"/>
    </row>
    <row r="105">
      <c r="A105" s="10"/>
      <c r="B105" s="10"/>
      <c r="C105" s="10"/>
      <c r="D105" s="10"/>
      <c r="E105" s="10"/>
      <c r="F105" s="10"/>
      <c r="G105" s="10"/>
      <c r="H105" s="11"/>
      <c r="I105" s="48"/>
      <c r="J105" s="48"/>
    </row>
    <row r="106">
      <c r="A106" s="10"/>
      <c r="B106" s="10"/>
      <c r="C106" s="10"/>
      <c r="D106" s="10"/>
      <c r="E106" s="10"/>
      <c r="F106" s="10"/>
      <c r="G106" s="10"/>
      <c r="H106" s="11"/>
      <c r="I106" s="48"/>
      <c r="J106" s="48"/>
    </row>
    <row r="107">
      <c r="A107" s="10"/>
      <c r="B107" s="10"/>
      <c r="C107" s="10"/>
      <c r="D107" s="10"/>
      <c r="E107" s="10"/>
      <c r="F107" s="10"/>
      <c r="G107" s="10"/>
      <c r="H107" s="11"/>
      <c r="I107" s="48"/>
      <c r="J107" s="48"/>
    </row>
    <row r="108">
      <c r="A108" s="10"/>
      <c r="B108" s="10"/>
      <c r="C108" s="10"/>
      <c r="D108" s="10"/>
      <c r="E108" s="10"/>
      <c r="F108" s="10"/>
      <c r="G108" s="10"/>
      <c r="H108" s="11"/>
      <c r="I108" s="48"/>
      <c r="J108" s="48"/>
    </row>
    <row r="109">
      <c r="A109" s="10"/>
      <c r="B109" s="10"/>
      <c r="C109" s="10"/>
      <c r="D109" s="10"/>
      <c r="E109" s="10"/>
      <c r="F109" s="10"/>
      <c r="G109" s="10"/>
      <c r="H109" s="11"/>
      <c r="I109" s="48"/>
      <c r="J109" s="48"/>
    </row>
    <row r="110">
      <c r="A110" s="10"/>
      <c r="B110" s="10"/>
      <c r="C110" s="10"/>
      <c r="D110" s="10"/>
      <c r="E110" s="10"/>
      <c r="F110" s="10"/>
      <c r="G110" s="10"/>
      <c r="H110" s="11"/>
      <c r="I110" s="48"/>
      <c r="J110" s="48"/>
    </row>
    <row r="111">
      <c r="A111" s="10"/>
      <c r="B111" s="10"/>
      <c r="C111" s="10"/>
      <c r="D111" s="10"/>
      <c r="E111" s="10"/>
      <c r="F111" s="10"/>
      <c r="G111" s="10"/>
      <c r="H111" s="11"/>
      <c r="I111" s="48"/>
      <c r="J111" s="48"/>
    </row>
    <row r="112">
      <c r="A112" s="10"/>
      <c r="B112" s="10"/>
      <c r="C112" s="10"/>
      <c r="D112" s="10"/>
      <c r="E112" s="10"/>
      <c r="F112" s="10"/>
      <c r="G112" s="10"/>
      <c r="H112" s="11"/>
      <c r="I112" s="48"/>
      <c r="J112" s="48"/>
    </row>
    <row r="113">
      <c r="A113" s="10"/>
      <c r="B113" s="10"/>
      <c r="C113" s="10"/>
      <c r="D113" s="10"/>
      <c r="E113" s="10"/>
      <c r="F113" s="10"/>
      <c r="G113" s="10"/>
      <c r="H113" s="11"/>
      <c r="I113" s="48"/>
      <c r="J113" s="48"/>
    </row>
    <row r="114">
      <c r="A114" s="10"/>
      <c r="B114" s="10"/>
      <c r="C114" s="10"/>
      <c r="D114" s="10"/>
      <c r="E114" s="10"/>
      <c r="F114" s="10"/>
      <c r="G114" s="10"/>
      <c r="H114" s="11"/>
      <c r="I114" s="48"/>
      <c r="J114" s="48"/>
    </row>
    <row r="115">
      <c r="A115" s="10"/>
      <c r="B115" s="10"/>
      <c r="C115" s="10"/>
      <c r="D115" s="10"/>
      <c r="E115" s="10"/>
      <c r="F115" s="10"/>
      <c r="G115" s="10"/>
      <c r="H115" s="11"/>
      <c r="I115" s="48"/>
      <c r="J115" s="48"/>
    </row>
    <row r="116">
      <c r="A116" s="10"/>
      <c r="B116" s="10"/>
      <c r="C116" s="10"/>
      <c r="D116" s="10"/>
      <c r="E116" s="10"/>
      <c r="F116" s="10"/>
      <c r="G116" s="10"/>
      <c r="H116" s="11"/>
      <c r="I116" s="48"/>
      <c r="J116" s="48"/>
    </row>
    <row r="117">
      <c r="A117" s="10"/>
      <c r="B117" s="10"/>
      <c r="C117" s="10"/>
      <c r="D117" s="10"/>
      <c r="E117" s="10"/>
      <c r="F117" s="10"/>
      <c r="G117" s="10"/>
      <c r="H117" s="11"/>
      <c r="I117" s="48"/>
      <c r="J117" s="48"/>
    </row>
    <row r="118">
      <c r="A118" s="10"/>
      <c r="B118" s="10"/>
      <c r="C118" s="10"/>
      <c r="D118" s="10"/>
      <c r="E118" s="10"/>
      <c r="F118" s="10"/>
      <c r="G118" s="10"/>
      <c r="H118" s="11"/>
      <c r="I118" s="48"/>
      <c r="J118" s="48"/>
    </row>
    <row r="119">
      <c r="A119" s="10"/>
      <c r="B119" s="10"/>
      <c r="C119" s="10"/>
      <c r="D119" s="10"/>
      <c r="E119" s="10"/>
      <c r="F119" s="10"/>
      <c r="G119" s="10"/>
      <c r="H119" s="11"/>
      <c r="I119" s="48"/>
      <c r="J119" s="48"/>
    </row>
  </sheetData>
  <autoFilter ref="$A$1:$J$1010"/>
  <customSheetViews>
    <customSheetView guid="{131ED934-56A5-4A4B-9246-8993FA1F050E}" filter="1" showAutoFilter="1">
      <autoFilter ref="$A$1:$J$1010">
        <filterColumn colId="4">
          <filters blank="1">
            <filter val="Specialized Tarmac Pro"/>
            <filter val="Specialized Venge S-Works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6">
          <filters blank="1">
            <filter val="Lightweight Meilensteins"/>
            <filter val="Enve 3.4"/>
            <filter val="Zipp 858"/>
          </filters>
        </filterColumn>
      </autoFilter>
    </customSheetView>
  </customSheetViews>
  <conditionalFormatting sqref="I1 J1:J1176 I20:I117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K2"/>
    <hyperlink r:id="rId2" ref="K3"/>
    <hyperlink r:id="rId3" ref="K4"/>
    <hyperlink r:id="rId4" ref="K5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88"/>
    <col customWidth="1" min="5" max="5" width="25.63"/>
    <col customWidth="1" min="6" max="6" width="7.38"/>
    <col customWidth="1" min="7" max="7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429</v>
      </c>
      <c r="J1" s="1" t="s">
        <v>430</v>
      </c>
      <c r="K1" s="1" t="s">
        <v>8</v>
      </c>
    </row>
    <row r="2">
      <c r="A2" s="10">
        <v>75.0</v>
      </c>
      <c r="B2" s="10">
        <v>300.0</v>
      </c>
      <c r="C2" s="10">
        <f t="shared" ref="C2:C8" si="1">B2/A2</f>
        <v>4</v>
      </c>
      <c r="D2" s="10">
        <v>183.0</v>
      </c>
      <c r="E2" s="10" t="s">
        <v>94</v>
      </c>
      <c r="F2" s="10" t="s">
        <v>10</v>
      </c>
      <c r="G2" s="10" t="s">
        <v>444</v>
      </c>
      <c r="H2" s="11">
        <v>0.017222222222222222</v>
      </c>
      <c r="I2" s="11">
        <v>0.005532407407407408</v>
      </c>
      <c r="J2" s="48">
        <f t="shared" ref="J2:J8" si="2">1-(PERCENTRANK(H:H,H2,4))</f>
        <v>0.8333</v>
      </c>
      <c r="K2" s="28" t="s">
        <v>447</v>
      </c>
    </row>
    <row r="3">
      <c r="A3" s="10">
        <v>75.0</v>
      </c>
      <c r="B3" s="10">
        <v>300.0</v>
      </c>
      <c r="C3" s="10">
        <f t="shared" si="1"/>
        <v>4</v>
      </c>
      <c r="D3" s="10">
        <v>183.0</v>
      </c>
      <c r="E3" s="10" t="s">
        <v>94</v>
      </c>
      <c r="F3" s="10" t="s">
        <v>10</v>
      </c>
      <c r="G3" s="10" t="s">
        <v>446</v>
      </c>
      <c r="H3" s="11">
        <v>0.01716435185185185</v>
      </c>
      <c r="I3" s="11">
        <v>0.005520833333333333</v>
      </c>
      <c r="J3" s="48">
        <f t="shared" si="2"/>
        <v>1</v>
      </c>
      <c r="K3" s="28" t="s">
        <v>447</v>
      </c>
    </row>
    <row r="4">
      <c r="A4" s="10">
        <v>75.0</v>
      </c>
      <c r="B4" s="10">
        <v>300.0</v>
      </c>
      <c r="C4" s="10">
        <f t="shared" si="1"/>
        <v>4</v>
      </c>
      <c r="D4" s="10">
        <v>183.0</v>
      </c>
      <c r="E4" s="10"/>
      <c r="F4" s="10"/>
      <c r="G4" s="10"/>
      <c r="H4" s="11">
        <v>0.032025462962962964</v>
      </c>
      <c r="I4" s="11">
        <v>0.0018171296296296297</v>
      </c>
      <c r="J4" s="48">
        <f t="shared" si="2"/>
        <v>0</v>
      </c>
    </row>
    <row r="5">
      <c r="A5" s="10">
        <v>75.0</v>
      </c>
      <c r="B5" s="10">
        <v>300.0</v>
      </c>
      <c r="C5" s="10">
        <f t="shared" si="1"/>
        <v>4</v>
      </c>
      <c r="D5" s="10">
        <v>183.0</v>
      </c>
      <c r="E5" s="10"/>
      <c r="F5" s="10"/>
      <c r="G5" s="10"/>
      <c r="H5" s="11">
        <v>0.03158564814814815</v>
      </c>
      <c r="I5" s="11">
        <v>0.0018171296296296297</v>
      </c>
      <c r="J5" s="48">
        <f t="shared" si="2"/>
        <v>0.1667</v>
      </c>
    </row>
    <row r="6">
      <c r="A6" s="10">
        <v>75.0</v>
      </c>
      <c r="B6" s="10">
        <v>300.0</v>
      </c>
      <c r="C6" s="10">
        <f t="shared" si="1"/>
        <v>4</v>
      </c>
      <c r="D6" s="10">
        <v>183.0</v>
      </c>
      <c r="E6" s="10"/>
      <c r="F6" s="10"/>
      <c r="G6" s="10"/>
      <c r="H6" s="11">
        <v>0.031516203703703706</v>
      </c>
      <c r="I6" s="11">
        <v>0.0018287037037037037</v>
      </c>
      <c r="J6" s="48">
        <f t="shared" si="2"/>
        <v>0.6667</v>
      </c>
    </row>
    <row r="7">
      <c r="A7" s="10">
        <v>75.0</v>
      </c>
      <c r="B7" s="10">
        <v>300.0</v>
      </c>
      <c r="C7" s="10">
        <f t="shared" si="1"/>
        <v>4</v>
      </c>
      <c r="D7" s="10">
        <v>183.0</v>
      </c>
      <c r="E7" s="10"/>
      <c r="F7" s="10"/>
      <c r="G7" s="10"/>
      <c r="H7" s="11">
        <v>0.031516203703703706</v>
      </c>
      <c r="I7" s="11">
        <v>0.0018287037037037037</v>
      </c>
      <c r="J7" s="48">
        <f t="shared" si="2"/>
        <v>0.6667</v>
      </c>
    </row>
    <row r="8">
      <c r="A8" s="10">
        <v>75.0</v>
      </c>
      <c r="B8" s="10">
        <v>300.0</v>
      </c>
      <c r="C8" s="10">
        <f t="shared" si="1"/>
        <v>4</v>
      </c>
      <c r="D8" s="10">
        <v>183.0</v>
      </c>
      <c r="E8" s="10"/>
      <c r="F8" s="10"/>
      <c r="G8" s="10"/>
      <c r="H8" s="11">
        <v>0.031516203703703706</v>
      </c>
      <c r="I8" s="11">
        <v>0.0018287037037037037</v>
      </c>
      <c r="J8" s="48">
        <f t="shared" si="2"/>
        <v>0.6667</v>
      </c>
    </row>
    <row r="9">
      <c r="A9" s="10"/>
      <c r="B9" s="10"/>
      <c r="C9" s="10"/>
      <c r="D9" s="10"/>
      <c r="E9" s="10"/>
      <c r="F9" s="10"/>
      <c r="G9" s="10"/>
      <c r="H9" s="11"/>
      <c r="I9" s="11"/>
      <c r="J9" s="48"/>
    </row>
    <row r="10">
      <c r="A10" s="10"/>
      <c r="B10" s="10"/>
      <c r="C10" s="10"/>
      <c r="D10" s="10"/>
      <c r="E10" s="10"/>
      <c r="F10" s="10"/>
      <c r="G10" s="10"/>
      <c r="H10" s="11"/>
      <c r="I10" s="11"/>
      <c r="J10" s="48"/>
    </row>
    <row r="11">
      <c r="A11" s="10"/>
      <c r="B11" s="10"/>
      <c r="C11" s="10"/>
      <c r="D11" s="10"/>
      <c r="E11" s="10"/>
      <c r="F11" s="10"/>
      <c r="G11" s="10"/>
      <c r="H11" s="11"/>
      <c r="I11" s="11"/>
      <c r="J11" s="48"/>
    </row>
    <row r="12">
      <c r="A12" s="10"/>
      <c r="B12" s="10"/>
      <c r="C12" s="10"/>
      <c r="D12" s="10"/>
      <c r="E12" s="10"/>
      <c r="F12" s="10"/>
      <c r="G12" s="10"/>
      <c r="H12" s="11"/>
      <c r="I12" s="11"/>
      <c r="J12" s="48"/>
    </row>
    <row r="13">
      <c r="A13" s="10"/>
      <c r="B13" s="10"/>
      <c r="C13" s="10"/>
      <c r="D13" s="10"/>
      <c r="E13" s="10"/>
      <c r="F13" s="10"/>
      <c r="G13" s="10"/>
      <c r="H13" s="11"/>
      <c r="I13" s="11"/>
      <c r="J13" s="48"/>
    </row>
    <row r="14">
      <c r="A14" s="10"/>
      <c r="B14" s="10"/>
      <c r="C14" s="10"/>
      <c r="D14" s="10"/>
      <c r="E14" s="10"/>
      <c r="F14" s="10"/>
      <c r="G14" s="10"/>
      <c r="H14" s="11"/>
      <c r="I14" s="11"/>
      <c r="J14" s="48"/>
    </row>
    <row r="15">
      <c r="A15" s="10"/>
      <c r="B15" s="10"/>
      <c r="C15" s="10"/>
      <c r="D15" s="10"/>
      <c r="E15" s="10"/>
      <c r="F15" s="10"/>
      <c r="G15" s="10"/>
      <c r="H15" s="11"/>
      <c r="I15" s="11"/>
      <c r="J15" s="48"/>
    </row>
    <row r="16">
      <c r="A16" s="10"/>
      <c r="B16" s="10"/>
      <c r="C16" s="10"/>
      <c r="D16" s="10"/>
      <c r="E16" s="10"/>
      <c r="F16" s="10"/>
      <c r="G16" s="10"/>
      <c r="H16" s="11"/>
      <c r="I16" s="11"/>
      <c r="J16" s="48"/>
    </row>
    <row r="17">
      <c r="A17" s="10"/>
      <c r="B17" s="10"/>
      <c r="C17" s="10"/>
      <c r="D17" s="10"/>
      <c r="E17" s="10"/>
      <c r="F17" s="10"/>
      <c r="G17" s="10"/>
      <c r="H17" s="11"/>
      <c r="I17" s="11"/>
      <c r="J17" s="48"/>
    </row>
    <row r="18">
      <c r="A18" s="10"/>
      <c r="B18" s="10"/>
      <c r="C18" s="10"/>
      <c r="D18" s="10"/>
      <c r="E18" s="10"/>
      <c r="F18" s="10"/>
      <c r="G18" s="10"/>
      <c r="H18" s="11"/>
      <c r="I18" s="48"/>
      <c r="J18" s="48"/>
    </row>
    <row r="19">
      <c r="A19" s="10"/>
      <c r="B19" s="10"/>
      <c r="C19" s="10"/>
      <c r="D19" s="10"/>
      <c r="E19" s="10"/>
      <c r="F19" s="10"/>
      <c r="G19" s="10"/>
      <c r="H19" s="11"/>
      <c r="I19" s="48"/>
      <c r="J19" s="48"/>
    </row>
    <row r="20">
      <c r="A20" s="10"/>
      <c r="B20" s="10"/>
      <c r="C20" s="10"/>
      <c r="D20" s="10"/>
      <c r="E20" s="10"/>
      <c r="F20" s="10"/>
      <c r="G20" s="10"/>
      <c r="H20" s="11"/>
      <c r="I20" s="48"/>
      <c r="J20" s="48"/>
    </row>
    <row r="21">
      <c r="A21" s="10"/>
      <c r="B21" s="10"/>
      <c r="C21" s="10"/>
      <c r="D21" s="10"/>
      <c r="E21" s="10"/>
      <c r="F21" s="10"/>
      <c r="G21" s="10"/>
      <c r="H21" s="11"/>
      <c r="I21" s="48"/>
      <c r="J21" s="48"/>
    </row>
    <row r="22">
      <c r="A22" s="10"/>
      <c r="B22" s="10"/>
      <c r="C22" s="10"/>
      <c r="D22" s="10"/>
      <c r="E22" s="10"/>
      <c r="F22" s="10"/>
      <c r="G22" s="10"/>
      <c r="H22" s="11"/>
      <c r="I22" s="48"/>
      <c r="J22" s="48"/>
    </row>
    <row r="23">
      <c r="A23" s="10"/>
      <c r="B23" s="10"/>
      <c r="C23" s="10"/>
      <c r="D23" s="10"/>
      <c r="E23" s="10"/>
      <c r="F23" s="10"/>
      <c r="G23" s="10"/>
      <c r="H23" s="11"/>
      <c r="I23" s="48"/>
      <c r="J23" s="48"/>
    </row>
    <row r="24">
      <c r="A24" s="10"/>
      <c r="B24" s="10"/>
      <c r="C24" s="10"/>
      <c r="D24" s="10"/>
      <c r="E24" s="10"/>
      <c r="F24" s="10"/>
      <c r="G24" s="10"/>
      <c r="H24" s="11"/>
      <c r="I24" s="48"/>
      <c r="J24" s="48"/>
    </row>
    <row r="25">
      <c r="A25" s="10"/>
      <c r="B25" s="10"/>
      <c r="C25" s="10"/>
      <c r="D25" s="10"/>
      <c r="E25" s="10"/>
      <c r="F25" s="10"/>
      <c r="G25" s="10"/>
      <c r="H25" s="11"/>
      <c r="I25" s="48"/>
      <c r="J25" s="48"/>
    </row>
    <row r="26">
      <c r="A26" s="10"/>
      <c r="B26" s="10"/>
      <c r="C26" s="10"/>
      <c r="D26" s="10"/>
      <c r="E26" s="10"/>
      <c r="F26" s="10"/>
      <c r="G26" s="10"/>
      <c r="H26" s="11"/>
      <c r="I26" s="48"/>
      <c r="J26" s="48"/>
    </row>
    <row r="27">
      <c r="A27" s="20"/>
      <c r="B27" s="20"/>
      <c r="C27" s="20"/>
      <c r="D27" s="20"/>
      <c r="E27" s="59"/>
      <c r="F27" s="59"/>
      <c r="G27" s="10"/>
      <c r="H27" s="11"/>
      <c r="I27" s="60"/>
      <c r="J27" s="6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A28" s="10"/>
      <c r="B28" s="10"/>
      <c r="C28" s="10"/>
      <c r="D28" s="10"/>
      <c r="E28" s="10"/>
      <c r="F28" s="10"/>
      <c r="G28" s="10"/>
      <c r="H28" s="11"/>
      <c r="I28" s="48"/>
      <c r="J28" s="48"/>
    </row>
    <row r="29">
      <c r="A29" s="10"/>
      <c r="B29" s="10"/>
      <c r="C29" s="10"/>
      <c r="D29" s="10"/>
      <c r="E29" s="10"/>
      <c r="F29" s="10"/>
      <c r="G29" s="10"/>
      <c r="H29" s="11"/>
      <c r="I29" s="48"/>
      <c r="J29" s="48"/>
    </row>
    <row r="30">
      <c r="A30" s="10"/>
      <c r="B30" s="10"/>
      <c r="C30" s="10"/>
      <c r="D30" s="10"/>
      <c r="E30" s="10"/>
      <c r="F30" s="10"/>
      <c r="G30" s="10"/>
      <c r="H30" s="11"/>
      <c r="I30" s="48"/>
      <c r="J30" s="48"/>
    </row>
    <row r="31">
      <c r="A31" s="10"/>
      <c r="B31" s="10"/>
      <c r="C31" s="10"/>
      <c r="D31" s="10"/>
      <c r="E31" s="10"/>
      <c r="F31" s="10"/>
      <c r="G31" s="10"/>
      <c r="H31" s="11"/>
      <c r="I31" s="48"/>
      <c r="J31" s="48"/>
    </row>
    <row r="32">
      <c r="A32" s="10"/>
      <c r="B32" s="10"/>
      <c r="C32" s="10"/>
      <c r="D32" s="10"/>
      <c r="E32" s="10"/>
      <c r="F32" s="10"/>
      <c r="G32" s="10"/>
      <c r="H32" s="11"/>
      <c r="I32" s="48"/>
      <c r="J32" s="48"/>
    </row>
    <row r="33">
      <c r="A33" s="10"/>
      <c r="B33" s="10"/>
      <c r="C33" s="10"/>
      <c r="D33" s="10"/>
      <c r="E33" s="10"/>
      <c r="F33" s="10"/>
      <c r="G33" s="10"/>
      <c r="H33" s="11"/>
      <c r="I33" s="48"/>
      <c r="J33" s="48"/>
    </row>
    <row r="34">
      <c r="A34" s="10"/>
      <c r="B34" s="10"/>
      <c r="C34" s="10"/>
      <c r="D34" s="10"/>
      <c r="E34" s="10"/>
      <c r="F34" s="10"/>
      <c r="G34" s="10"/>
      <c r="H34" s="11"/>
      <c r="I34" s="48"/>
      <c r="J34" s="48"/>
    </row>
    <row r="35">
      <c r="A35" s="10"/>
      <c r="B35" s="10"/>
      <c r="C35" s="10"/>
      <c r="D35" s="10"/>
      <c r="E35" s="10"/>
      <c r="F35" s="10"/>
      <c r="G35" s="10"/>
      <c r="H35" s="11"/>
      <c r="I35" s="48"/>
      <c r="J35" s="48"/>
    </row>
    <row r="36">
      <c r="A36" s="10"/>
      <c r="B36" s="10"/>
      <c r="C36" s="10"/>
      <c r="D36" s="10"/>
      <c r="E36" s="10"/>
      <c r="F36" s="10"/>
      <c r="G36" s="10"/>
      <c r="H36" s="11"/>
      <c r="I36" s="48"/>
      <c r="J36" s="4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A37" s="10"/>
      <c r="B37" s="10"/>
      <c r="C37" s="10"/>
      <c r="D37" s="10"/>
      <c r="E37" s="10"/>
      <c r="F37" s="10"/>
      <c r="G37" s="10"/>
      <c r="H37" s="11"/>
      <c r="I37" s="48"/>
      <c r="J37" s="48"/>
    </row>
    <row r="38">
      <c r="A38" s="10"/>
      <c r="B38" s="10"/>
      <c r="C38" s="10"/>
      <c r="D38" s="10"/>
      <c r="E38" s="10"/>
      <c r="F38" s="10"/>
      <c r="G38" s="10"/>
      <c r="H38" s="11"/>
      <c r="I38" s="48"/>
      <c r="J38" s="48"/>
    </row>
    <row r="39">
      <c r="A39" s="10"/>
      <c r="B39" s="10"/>
      <c r="C39" s="10"/>
      <c r="D39" s="10"/>
      <c r="E39" s="10"/>
      <c r="F39" s="10"/>
      <c r="G39" s="10"/>
      <c r="H39" s="11"/>
      <c r="I39" s="48"/>
      <c r="J39" s="48"/>
    </row>
    <row r="40">
      <c r="A40" s="10"/>
      <c r="B40" s="10"/>
      <c r="C40" s="10"/>
      <c r="D40" s="10"/>
      <c r="E40" s="10"/>
      <c r="F40" s="10"/>
      <c r="G40" s="10"/>
      <c r="H40" s="11"/>
      <c r="I40" s="48"/>
      <c r="J40" s="48"/>
    </row>
    <row r="41">
      <c r="A41" s="10"/>
      <c r="B41" s="10"/>
      <c r="C41" s="10"/>
      <c r="D41" s="10"/>
      <c r="E41" s="10"/>
      <c r="F41" s="10"/>
      <c r="G41" s="10"/>
      <c r="H41" s="11"/>
      <c r="I41" s="48"/>
      <c r="J41" s="48"/>
    </row>
    <row r="42">
      <c r="A42" s="10"/>
      <c r="B42" s="10"/>
      <c r="C42" s="10"/>
      <c r="D42" s="10"/>
      <c r="E42" s="10"/>
      <c r="F42" s="10"/>
      <c r="G42" s="10"/>
      <c r="H42" s="11"/>
      <c r="I42" s="48"/>
      <c r="J42" s="48"/>
    </row>
    <row r="43">
      <c r="A43" s="10"/>
      <c r="B43" s="10"/>
      <c r="C43" s="10"/>
      <c r="D43" s="10"/>
      <c r="E43" s="10"/>
      <c r="F43" s="10"/>
      <c r="G43" s="10"/>
      <c r="H43" s="11"/>
      <c r="I43" s="48"/>
      <c r="J43" s="48"/>
    </row>
    <row r="44">
      <c r="A44" s="10"/>
      <c r="B44" s="10"/>
      <c r="C44" s="10"/>
      <c r="D44" s="10"/>
      <c r="E44" s="10"/>
      <c r="F44" s="10"/>
      <c r="G44" s="10"/>
      <c r="H44" s="11"/>
      <c r="I44" s="48"/>
      <c r="J44" s="48"/>
    </row>
    <row r="45">
      <c r="A45" s="10"/>
      <c r="B45" s="10"/>
      <c r="C45" s="10"/>
      <c r="D45" s="10"/>
      <c r="E45" s="10"/>
      <c r="F45" s="10"/>
      <c r="G45" s="10"/>
      <c r="H45" s="11"/>
      <c r="I45" s="48"/>
      <c r="J45" s="48"/>
    </row>
    <row r="46">
      <c r="A46" s="10"/>
      <c r="B46" s="10"/>
      <c r="C46" s="10"/>
      <c r="D46" s="10"/>
      <c r="E46" s="10"/>
      <c r="F46" s="10"/>
      <c r="G46" s="10"/>
      <c r="H46" s="11"/>
      <c r="I46" s="48"/>
      <c r="J46" s="48"/>
    </row>
    <row r="47">
      <c r="A47" s="10"/>
      <c r="B47" s="10"/>
      <c r="C47" s="10"/>
      <c r="D47" s="10"/>
      <c r="E47" s="10"/>
      <c r="F47" s="10"/>
      <c r="G47" s="10"/>
      <c r="H47" s="11"/>
      <c r="I47" s="48"/>
      <c r="J47" s="48"/>
    </row>
    <row r="48">
      <c r="A48" s="10"/>
      <c r="B48" s="10"/>
      <c r="C48" s="10"/>
      <c r="D48" s="10"/>
      <c r="E48" s="10"/>
      <c r="F48" s="10"/>
      <c r="G48" s="10"/>
      <c r="H48" s="11"/>
      <c r="I48" s="48"/>
      <c r="J48" s="48"/>
    </row>
    <row r="49">
      <c r="A49" s="10"/>
      <c r="B49" s="10"/>
      <c r="C49" s="10"/>
      <c r="D49" s="10"/>
      <c r="E49" s="10"/>
      <c r="F49" s="10"/>
      <c r="G49" s="10"/>
      <c r="H49" s="11"/>
      <c r="I49" s="48"/>
      <c r="J49" s="48"/>
    </row>
    <row r="50">
      <c r="A50" s="10"/>
      <c r="B50" s="10"/>
      <c r="C50" s="10"/>
      <c r="D50" s="10"/>
      <c r="E50" s="10"/>
      <c r="F50" s="10"/>
      <c r="G50" s="10"/>
      <c r="H50" s="11"/>
      <c r="I50" s="48"/>
      <c r="J50" s="48"/>
    </row>
    <row r="51">
      <c r="A51" s="10"/>
      <c r="B51" s="10"/>
      <c r="C51" s="10"/>
      <c r="D51" s="10"/>
      <c r="E51" s="10"/>
      <c r="F51" s="10"/>
      <c r="G51" s="10"/>
      <c r="H51" s="11"/>
      <c r="I51" s="48"/>
      <c r="J51" s="48"/>
    </row>
    <row r="52">
      <c r="A52" s="10"/>
      <c r="B52" s="10"/>
      <c r="C52" s="10"/>
      <c r="D52" s="10"/>
      <c r="E52" s="10"/>
      <c r="F52" s="10"/>
      <c r="G52" s="10"/>
      <c r="H52" s="11"/>
      <c r="I52" s="48"/>
      <c r="J52" s="48"/>
    </row>
    <row r="53">
      <c r="A53" s="10"/>
      <c r="B53" s="10"/>
      <c r="C53" s="10"/>
      <c r="D53" s="10"/>
      <c r="E53" s="10"/>
      <c r="F53" s="10"/>
      <c r="G53" s="10"/>
      <c r="H53" s="11"/>
      <c r="I53" s="48"/>
      <c r="J53" s="48"/>
    </row>
    <row r="54">
      <c r="A54" s="10"/>
      <c r="B54" s="10"/>
      <c r="C54" s="10"/>
      <c r="D54" s="10"/>
      <c r="E54" s="10"/>
      <c r="F54" s="10"/>
      <c r="G54" s="10"/>
      <c r="H54" s="11"/>
      <c r="I54" s="48"/>
      <c r="J54" s="48"/>
    </row>
    <row r="55">
      <c r="A55" s="10"/>
      <c r="B55" s="10"/>
      <c r="C55" s="10"/>
      <c r="D55" s="10"/>
      <c r="E55" s="10"/>
      <c r="F55" s="10"/>
      <c r="G55" s="10"/>
      <c r="H55" s="11"/>
      <c r="I55" s="48"/>
      <c r="J55" s="48"/>
    </row>
    <row r="56">
      <c r="A56" s="10"/>
      <c r="B56" s="10"/>
      <c r="C56" s="10"/>
      <c r="D56" s="10"/>
      <c r="E56" s="10"/>
      <c r="F56" s="10"/>
      <c r="G56" s="10"/>
      <c r="H56" s="11"/>
      <c r="I56" s="48"/>
      <c r="J56" s="48"/>
    </row>
    <row r="57">
      <c r="A57" s="10"/>
      <c r="B57" s="10"/>
      <c r="C57" s="10"/>
      <c r="D57" s="10"/>
      <c r="E57" s="10"/>
      <c r="F57" s="10"/>
      <c r="G57" s="10"/>
      <c r="H57" s="11"/>
      <c r="I57" s="48"/>
      <c r="J57" s="48"/>
    </row>
    <row r="58">
      <c r="A58" s="10"/>
      <c r="B58" s="10"/>
      <c r="C58" s="10"/>
      <c r="D58" s="10"/>
      <c r="E58" s="10"/>
      <c r="F58" s="10"/>
      <c r="G58" s="10"/>
      <c r="H58" s="11"/>
      <c r="I58" s="48"/>
      <c r="J58" s="48"/>
    </row>
    <row r="59">
      <c r="A59" s="10"/>
      <c r="B59" s="10"/>
      <c r="C59" s="10"/>
      <c r="D59" s="10"/>
      <c r="E59" s="10"/>
      <c r="F59" s="10"/>
      <c r="G59" s="10"/>
      <c r="H59" s="11"/>
      <c r="I59" s="48"/>
      <c r="J59" s="48"/>
    </row>
    <row r="60">
      <c r="A60" s="10"/>
      <c r="B60" s="10"/>
      <c r="C60" s="10"/>
      <c r="D60" s="10"/>
      <c r="E60" s="10"/>
      <c r="F60" s="10"/>
      <c r="G60" s="10"/>
      <c r="H60" s="11"/>
      <c r="I60" s="48"/>
      <c r="J60" s="48"/>
    </row>
    <row r="61">
      <c r="A61" s="10"/>
      <c r="B61" s="10"/>
      <c r="C61" s="10"/>
      <c r="D61" s="10"/>
      <c r="E61" s="10"/>
      <c r="F61" s="10"/>
      <c r="G61" s="10"/>
      <c r="H61" s="11"/>
      <c r="I61" s="48"/>
      <c r="J61" s="48"/>
    </row>
    <row r="62">
      <c r="A62" s="10"/>
      <c r="B62" s="10"/>
      <c r="C62" s="10"/>
      <c r="D62" s="10"/>
      <c r="E62" s="10"/>
      <c r="F62" s="10"/>
      <c r="G62" s="10"/>
      <c r="H62" s="11"/>
      <c r="I62" s="48"/>
      <c r="J62" s="48"/>
    </row>
    <row r="63">
      <c r="A63" s="10"/>
      <c r="B63" s="10"/>
      <c r="C63" s="10"/>
      <c r="D63" s="10"/>
      <c r="E63" s="10"/>
      <c r="F63" s="10"/>
      <c r="G63" s="10"/>
      <c r="H63" s="11"/>
      <c r="I63" s="48"/>
      <c r="J63" s="48"/>
    </row>
    <row r="64">
      <c r="A64" s="10"/>
      <c r="B64" s="10"/>
      <c r="C64" s="10"/>
      <c r="D64" s="10"/>
      <c r="E64" s="10"/>
      <c r="F64" s="10"/>
      <c r="G64" s="10"/>
      <c r="H64" s="11"/>
      <c r="I64" s="48"/>
      <c r="J64" s="48"/>
    </row>
    <row r="65">
      <c r="A65" s="10"/>
      <c r="B65" s="10"/>
      <c r="C65" s="10"/>
      <c r="D65" s="10"/>
      <c r="E65" s="10"/>
      <c r="F65" s="10"/>
      <c r="G65" s="10"/>
      <c r="H65" s="11"/>
      <c r="I65" s="48"/>
      <c r="J65" s="48"/>
    </row>
    <row r="66">
      <c r="A66" s="10"/>
      <c r="B66" s="10"/>
      <c r="C66" s="10"/>
      <c r="D66" s="10"/>
      <c r="E66" s="10"/>
      <c r="F66" s="10"/>
      <c r="G66" s="10"/>
      <c r="H66" s="11"/>
      <c r="I66" s="48"/>
      <c r="J66" s="48"/>
    </row>
    <row r="67">
      <c r="A67" s="10"/>
      <c r="B67" s="10"/>
      <c r="C67" s="10"/>
      <c r="D67" s="10"/>
      <c r="E67" s="10"/>
      <c r="F67" s="10"/>
      <c r="G67" s="10"/>
      <c r="H67" s="11"/>
      <c r="I67" s="48"/>
      <c r="J67" s="48"/>
    </row>
    <row r="68">
      <c r="A68" s="10"/>
      <c r="B68" s="10"/>
      <c r="C68" s="10"/>
      <c r="D68" s="10"/>
      <c r="E68" s="10"/>
      <c r="F68" s="10"/>
      <c r="G68" s="10"/>
      <c r="H68" s="11"/>
      <c r="I68" s="48"/>
      <c r="J68" s="48"/>
    </row>
    <row r="69">
      <c r="A69" s="10"/>
      <c r="B69" s="10"/>
      <c r="C69" s="10"/>
      <c r="D69" s="10"/>
      <c r="E69" s="10"/>
      <c r="F69" s="10"/>
      <c r="G69" s="10"/>
      <c r="H69" s="11"/>
      <c r="I69" s="48"/>
      <c r="J69" s="4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A70" s="10"/>
      <c r="B70" s="10"/>
      <c r="C70" s="10"/>
      <c r="D70" s="10"/>
      <c r="E70" s="10"/>
      <c r="F70" s="10"/>
      <c r="G70" s="10"/>
      <c r="H70" s="11"/>
      <c r="I70" s="48"/>
      <c r="J70" s="48"/>
    </row>
    <row r="71">
      <c r="A71" s="10"/>
      <c r="B71" s="10"/>
      <c r="C71" s="10"/>
      <c r="D71" s="10"/>
      <c r="E71" s="10"/>
      <c r="F71" s="10"/>
      <c r="G71" s="10"/>
      <c r="H71" s="11"/>
      <c r="I71" s="48"/>
      <c r="J71" s="48"/>
    </row>
    <row r="72">
      <c r="A72" s="10"/>
      <c r="B72" s="10"/>
      <c r="C72" s="10"/>
      <c r="D72" s="10"/>
      <c r="E72" s="10"/>
      <c r="F72" s="10"/>
      <c r="G72" s="10"/>
      <c r="H72" s="11"/>
      <c r="I72" s="48"/>
      <c r="J72" s="48"/>
    </row>
    <row r="73">
      <c r="A73" s="10"/>
      <c r="B73" s="10"/>
      <c r="C73" s="10"/>
      <c r="D73" s="10"/>
      <c r="E73" s="10"/>
      <c r="F73" s="10"/>
      <c r="G73" s="10"/>
      <c r="H73" s="11"/>
      <c r="I73" s="48"/>
      <c r="J73" s="48"/>
    </row>
    <row r="74">
      <c r="A74" s="10"/>
      <c r="B74" s="10"/>
      <c r="C74" s="10"/>
      <c r="D74" s="10"/>
      <c r="E74" s="10"/>
      <c r="F74" s="10"/>
      <c r="G74" s="10"/>
      <c r="H74" s="11"/>
      <c r="I74" s="48"/>
      <c r="J74" s="48"/>
    </row>
    <row r="75">
      <c r="A75" s="10"/>
      <c r="B75" s="10"/>
      <c r="C75" s="10"/>
      <c r="D75" s="10"/>
      <c r="E75" s="10"/>
      <c r="F75" s="10"/>
      <c r="G75" s="10"/>
      <c r="H75" s="11"/>
      <c r="I75" s="48"/>
      <c r="J75" s="48"/>
    </row>
    <row r="76">
      <c r="A76" s="10"/>
      <c r="B76" s="10"/>
      <c r="C76" s="10"/>
      <c r="D76" s="10"/>
      <c r="E76" s="10"/>
      <c r="F76" s="10"/>
      <c r="G76" s="10"/>
      <c r="H76" s="11"/>
      <c r="I76" s="48"/>
      <c r="J76" s="48"/>
      <c r="L76" s="46"/>
    </row>
    <row r="77">
      <c r="A77" s="10"/>
      <c r="B77" s="10"/>
      <c r="C77" s="10"/>
      <c r="D77" s="10"/>
      <c r="E77" s="10"/>
      <c r="F77" s="10"/>
      <c r="G77" s="10"/>
      <c r="H77" s="11"/>
      <c r="I77" s="48"/>
      <c r="J77" s="48"/>
    </row>
    <row r="78">
      <c r="A78" s="10"/>
      <c r="B78" s="10"/>
      <c r="C78" s="10"/>
      <c r="D78" s="10"/>
      <c r="E78" s="10"/>
      <c r="F78" s="10"/>
      <c r="G78" s="10"/>
      <c r="H78" s="11"/>
      <c r="I78" s="48"/>
      <c r="J78" s="48"/>
    </row>
    <row r="79">
      <c r="A79" s="10"/>
      <c r="B79" s="10"/>
      <c r="C79" s="10"/>
      <c r="D79" s="10"/>
      <c r="E79" s="10"/>
      <c r="F79" s="10"/>
      <c r="G79" s="10"/>
      <c r="H79" s="11"/>
      <c r="I79" s="48"/>
      <c r="J79" s="48"/>
    </row>
    <row r="80">
      <c r="A80" s="10"/>
      <c r="B80" s="10"/>
      <c r="C80" s="10"/>
      <c r="D80" s="10"/>
      <c r="E80" s="10"/>
      <c r="F80" s="10"/>
      <c r="G80" s="10"/>
      <c r="H80" s="11"/>
      <c r="I80" s="48"/>
      <c r="J80" s="48"/>
    </row>
    <row r="81">
      <c r="A81" s="10"/>
      <c r="B81" s="10"/>
      <c r="C81" s="10"/>
      <c r="D81" s="10"/>
      <c r="E81" s="10"/>
      <c r="F81" s="10"/>
      <c r="G81" s="10"/>
      <c r="H81" s="11"/>
      <c r="I81" s="48"/>
      <c r="J81" s="48"/>
    </row>
    <row r="82">
      <c r="A82" s="10"/>
      <c r="B82" s="10"/>
      <c r="C82" s="10"/>
      <c r="D82" s="10"/>
      <c r="E82" s="10"/>
      <c r="F82" s="10"/>
      <c r="G82" s="10"/>
      <c r="H82" s="11"/>
      <c r="I82" s="48"/>
      <c r="J82" s="48"/>
    </row>
    <row r="83">
      <c r="A83" s="10"/>
      <c r="B83" s="10"/>
      <c r="C83" s="10"/>
      <c r="D83" s="10"/>
      <c r="E83" s="10"/>
      <c r="F83" s="10"/>
      <c r="G83" s="10"/>
      <c r="H83" s="11"/>
      <c r="I83" s="48"/>
      <c r="J83" s="48"/>
    </row>
    <row r="84">
      <c r="A84" s="10"/>
      <c r="B84" s="10"/>
      <c r="C84" s="10"/>
      <c r="D84" s="10"/>
      <c r="E84" s="10"/>
      <c r="F84" s="10"/>
      <c r="G84" s="10"/>
      <c r="H84" s="11"/>
      <c r="I84" s="48"/>
      <c r="J84" s="48"/>
    </row>
    <row r="85">
      <c r="A85" s="10"/>
      <c r="B85" s="10"/>
      <c r="C85" s="10"/>
      <c r="D85" s="10"/>
      <c r="E85" s="10"/>
      <c r="F85" s="10"/>
      <c r="G85" s="10"/>
      <c r="H85" s="11"/>
      <c r="I85" s="48"/>
      <c r="J85" s="48"/>
    </row>
    <row r="86">
      <c r="A86" s="10"/>
      <c r="B86" s="10"/>
      <c r="C86" s="10"/>
      <c r="D86" s="10"/>
      <c r="E86" s="10"/>
      <c r="F86" s="10"/>
      <c r="G86" s="10"/>
      <c r="H86" s="11"/>
      <c r="I86" s="48"/>
      <c r="J86" s="48"/>
    </row>
    <row r="87">
      <c r="A87" s="10"/>
      <c r="B87" s="10"/>
      <c r="C87" s="10"/>
      <c r="D87" s="10"/>
      <c r="E87" s="10"/>
      <c r="F87" s="10"/>
      <c r="G87" s="10"/>
      <c r="H87" s="11"/>
      <c r="I87" s="48"/>
      <c r="J87" s="48"/>
    </row>
    <row r="88">
      <c r="A88" s="10"/>
      <c r="B88" s="10"/>
      <c r="C88" s="10"/>
      <c r="D88" s="10"/>
      <c r="E88" s="10"/>
      <c r="F88" s="10"/>
      <c r="G88" s="10"/>
      <c r="H88" s="11"/>
      <c r="I88" s="48"/>
      <c r="J88" s="48"/>
    </row>
    <row r="89">
      <c r="A89" s="10"/>
      <c r="B89" s="10"/>
      <c r="C89" s="10"/>
      <c r="D89" s="10"/>
      <c r="E89" s="10"/>
      <c r="F89" s="10"/>
      <c r="G89" s="10"/>
      <c r="H89" s="11"/>
      <c r="I89" s="48"/>
      <c r="J89" s="48"/>
    </row>
    <row r="90">
      <c r="A90" s="10"/>
      <c r="B90" s="10"/>
      <c r="C90" s="10"/>
      <c r="D90" s="10"/>
      <c r="E90" s="10"/>
      <c r="F90" s="10"/>
      <c r="G90" s="10"/>
      <c r="H90" s="11"/>
      <c r="I90" s="48"/>
      <c r="J90" s="48"/>
    </row>
    <row r="91">
      <c r="A91" s="10"/>
      <c r="B91" s="10"/>
      <c r="C91" s="10"/>
      <c r="D91" s="10"/>
      <c r="E91" s="10"/>
      <c r="F91" s="10"/>
      <c r="G91" s="10"/>
      <c r="H91" s="11"/>
      <c r="I91" s="48"/>
      <c r="J91" s="48"/>
    </row>
    <row r="92">
      <c r="A92" s="10"/>
      <c r="B92" s="10"/>
      <c r="C92" s="10"/>
      <c r="D92" s="10"/>
      <c r="E92" s="10"/>
      <c r="F92" s="10"/>
      <c r="G92" s="10"/>
      <c r="H92" s="11"/>
      <c r="I92" s="48"/>
      <c r="J92" s="48"/>
    </row>
    <row r="93">
      <c r="A93" s="10"/>
      <c r="B93" s="10"/>
      <c r="C93" s="10"/>
      <c r="D93" s="10"/>
      <c r="E93" s="10"/>
      <c r="F93" s="10"/>
      <c r="G93" s="10"/>
      <c r="H93" s="11"/>
      <c r="I93" s="48"/>
      <c r="J93" s="48"/>
    </row>
    <row r="94">
      <c r="A94" s="10"/>
      <c r="B94" s="10"/>
      <c r="C94" s="10"/>
      <c r="D94" s="10"/>
      <c r="E94" s="10"/>
      <c r="F94" s="10"/>
      <c r="G94" s="10"/>
      <c r="H94" s="11"/>
      <c r="I94" s="48"/>
      <c r="J94" s="48"/>
    </row>
    <row r="95">
      <c r="A95" s="10"/>
      <c r="B95" s="10"/>
      <c r="C95" s="10"/>
      <c r="D95" s="10"/>
      <c r="E95" s="10"/>
      <c r="F95" s="10"/>
      <c r="G95" s="10"/>
      <c r="H95" s="11"/>
      <c r="I95" s="48"/>
      <c r="J95" s="48"/>
    </row>
    <row r="96">
      <c r="A96" s="10"/>
      <c r="B96" s="10"/>
      <c r="C96" s="10"/>
      <c r="D96" s="10"/>
      <c r="E96" s="10"/>
      <c r="F96" s="10"/>
      <c r="G96" s="10"/>
      <c r="H96" s="11"/>
      <c r="I96" s="48"/>
      <c r="J96" s="48"/>
    </row>
    <row r="97">
      <c r="A97" s="10"/>
      <c r="B97" s="10"/>
      <c r="C97" s="10"/>
      <c r="D97" s="10"/>
      <c r="E97" s="10"/>
      <c r="F97" s="10"/>
      <c r="G97" s="10"/>
      <c r="H97" s="11"/>
      <c r="I97" s="48"/>
      <c r="J97" s="48"/>
    </row>
    <row r="98">
      <c r="A98" s="10"/>
      <c r="B98" s="10"/>
      <c r="C98" s="10"/>
      <c r="D98" s="10"/>
      <c r="E98" s="10"/>
      <c r="F98" s="10"/>
      <c r="G98" s="10"/>
      <c r="H98" s="11"/>
      <c r="I98" s="48"/>
      <c r="J98" s="48"/>
    </row>
    <row r="99">
      <c r="A99" s="10"/>
      <c r="B99" s="10"/>
      <c r="C99" s="10"/>
      <c r="D99" s="10"/>
      <c r="E99" s="10"/>
      <c r="F99" s="10"/>
      <c r="G99" s="10"/>
      <c r="H99" s="11"/>
      <c r="I99" s="48"/>
      <c r="J99" s="48"/>
    </row>
    <row r="100">
      <c r="A100" s="10"/>
      <c r="B100" s="10"/>
      <c r="C100" s="10"/>
      <c r="D100" s="10"/>
      <c r="E100" s="10"/>
      <c r="F100" s="10"/>
      <c r="G100" s="10"/>
      <c r="H100" s="11"/>
      <c r="I100" s="48"/>
      <c r="J100" s="48"/>
    </row>
    <row r="101">
      <c r="A101" s="10"/>
      <c r="B101" s="10"/>
      <c r="C101" s="10"/>
      <c r="D101" s="10"/>
      <c r="E101" s="10"/>
      <c r="F101" s="10"/>
      <c r="G101" s="10"/>
      <c r="H101" s="11"/>
      <c r="I101" s="48"/>
      <c r="J101" s="48"/>
    </row>
    <row r="102">
      <c r="A102" s="10"/>
      <c r="B102" s="10"/>
      <c r="C102" s="10"/>
      <c r="D102" s="10"/>
      <c r="E102" s="10"/>
      <c r="F102" s="10"/>
      <c r="G102" s="10"/>
      <c r="H102" s="11"/>
      <c r="I102" s="48"/>
      <c r="J102" s="48"/>
    </row>
    <row r="103">
      <c r="A103" s="10"/>
      <c r="B103" s="10"/>
      <c r="C103" s="10"/>
      <c r="D103" s="10"/>
      <c r="E103" s="10"/>
      <c r="F103" s="10"/>
      <c r="G103" s="10"/>
      <c r="H103" s="11"/>
      <c r="I103" s="48"/>
      <c r="J103" s="48"/>
    </row>
    <row r="104">
      <c r="A104" s="10"/>
      <c r="B104" s="10"/>
      <c r="C104" s="10"/>
      <c r="D104" s="10"/>
      <c r="E104" s="10"/>
      <c r="F104" s="10"/>
      <c r="G104" s="10"/>
      <c r="H104" s="11"/>
      <c r="I104" s="48"/>
      <c r="J104" s="48"/>
    </row>
    <row r="105">
      <c r="A105" s="10"/>
      <c r="B105" s="10"/>
      <c r="C105" s="10"/>
      <c r="D105" s="10"/>
      <c r="E105" s="10"/>
      <c r="F105" s="10"/>
      <c r="G105" s="10"/>
      <c r="H105" s="11"/>
      <c r="I105" s="48"/>
      <c r="J105" s="48"/>
    </row>
    <row r="106">
      <c r="A106" s="10"/>
      <c r="B106" s="10"/>
      <c r="C106" s="10"/>
      <c r="D106" s="10"/>
      <c r="E106" s="10"/>
      <c r="F106" s="10"/>
      <c r="G106" s="10"/>
      <c r="H106" s="11"/>
      <c r="I106" s="48"/>
      <c r="J106" s="48"/>
    </row>
    <row r="107">
      <c r="A107" s="10"/>
      <c r="B107" s="10"/>
      <c r="C107" s="10"/>
      <c r="D107" s="10"/>
      <c r="E107" s="10"/>
      <c r="F107" s="10"/>
      <c r="G107" s="10"/>
      <c r="H107" s="11"/>
      <c r="I107" s="48"/>
      <c r="J107" s="48"/>
    </row>
    <row r="108">
      <c r="A108" s="10"/>
      <c r="B108" s="10"/>
      <c r="C108" s="10"/>
      <c r="D108" s="10"/>
      <c r="E108" s="10"/>
      <c r="F108" s="10"/>
      <c r="G108" s="10"/>
      <c r="H108" s="11"/>
      <c r="I108" s="48"/>
      <c r="J108" s="48"/>
    </row>
    <row r="109">
      <c r="A109" s="10"/>
      <c r="B109" s="10"/>
      <c r="C109" s="10"/>
      <c r="D109" s="10"/>
      <c r="E109" s="10"/>
      <c r="F109" s="10"/>
      <c r="G109" s="10"/>
      <c r="H109" s="11"/>
      <c r="I109" s="48"/>
      <c r="J109" s="48"/>
    </row>
    <row r="110">
      <c r="A110" s="10"/>
      <c r="B110" s="10"/>
      <c r="C110" s="10"/>
      <c r="D110" s="10"/>
      <c r="E110" s="10"/>
      <c r="F110" s="10"/>
      <c r="G110" s="10"/>
      <c r="H110" s="11"/>
      <c r="I110" s="48"/>
      <c r="J110" s="48"/>
    </row>
    <row r="111">
      <c r="A111" s="10"/>
      <c r="B111" s="10"/>
      <c r="C111" s="10"/>
      <c r="D111" s="10"/>
      <c r="E111" s="10"/>
      <c r="F111" s="10"/>
      <c r="G111" s="10"/>
      <c r="H111" s="11"/>
      <c r="I111" s="48"/>
      <c r="J111" s="48"/>
    </row>
    <row r="112">
      <c r="A112" s="10"/>
      <c r="B112" s="10"/>
      <c r="C112" s="10"/>
      <c r="D112" s="10"/>
      <c r="E112" s="10"/>
      <c r="F112" s="10"/>
      <c r="G112" s="10"/>
      <c r="H112" s="11"/>
      <c r="I112" s="48"/>
      <c r="J112" s="48"/>
    </row>
    <row r="113">
      <c r="A113" s="10"/>
      <c r="B113" s="10"/>
      <c r="C113" s="10"/>
      <c r="D113" s="10"/>
      <c r="E113" s="10"/>
      <c r="F113" s="10"/>
      <c r="G113" s="10"/>
      <c r="H113" s="11"/>
      <c r="I113" s="48"/>
      <c r="J113" s="48"/>
    </row>
    <row r="114">
      <c r="A114" s="10"/>
      <c r="B114" s="10"/>
      <c r="C114" s="10"/>
      <c r="D114" s="10"/>
      <c r="E114" s="10"/>
      <c r="F114" s="10"/>
      <c r="G114" s="10"/>
      <c r="H114" s="11"/>
      <c r="I114" s="48"/>
      <c r="J114" s="48"/>
    </row>
    <row r="115">
      <c r="A115" s="10"/>
      <c r="B115" s="10"/>
      <c r="C115" s="10"/>
      <c r="D115" s="10"/>
      <c r="E115" s="10"/>
      <c r="F115" s="10"/>
      <c r="G115" s="10"/>
      <c r="H115" s="11"/>
      <c r="I115" s="48"/>
      <c r="J115" s="48"/>
    </row>
    <row r="116">
      <c r="A116" s="10"/>
      <c r="B116" s="10"/>
      <c r="C116" s="10"/>
      <c r="D116" s="10"/>
      <c r="E116" s="10"/>
      <c r="F116" s="10"/>
      <c r="G116" s="10"/>
      <c r="H116" s="11"/>
      <c r="I116" s="48"/>
      <c r="J116" s="48"/>
    </row>
    <row r="117">
      <c r="A117" s="10"/>
      <c r="B117" s="10"/>
      <c r="C117" s="10"/>
      <c r="D117" s="10"/>
      <c r="E117" s="10"/>
      <c r="F117" s="10"/>
      <c r="G117" s="10"/>
      <c r="H117" s="11"/>
      <c r="I117" s="48"/>
      <c r="J117" s="48"/>
    </row>
  </sheetData>
  <autoFilter ref="$A$1:$J$1008"/>
  <customSheetViews>
    <customSheetView guid="{131ED934-56A5-4A4B-9246-8993FA1F050E}" filter="1" showAutoFilter="1">
      <autoFilter ref="$A$1:$J$1008">
        <filterColumn colId="4">
          <filters blank="1">
            <filter val="Specialized Tarmac Pro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/>
        </filterColumn>
        <filterColumn colId="6">
          <filters blank="1">
            <filter val="Lightweight Meilensteins"/>
            <filter val="Enve 3.4"/>
          </filters>
        </filterColumn>
      </autoFilter>
    </customSheetView>
  </customSheetViews>
  <conditionalFormatting sqref="I1 J1:J1174 I18:I117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K2"/>
    <hyperlink r:id="rId2" ref="K3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75"/>
    <col customWidth="1" min="6" max="7" width="16.75"/>
    <col customWidth="1" min="11" max="11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8"/>
      <c r="J1" s="30"/>
      <c r="K1" s="1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10">
        <v>50.0</v>
      </c>
      <c r="B2" s="10">
        <v>100.0</v>
      </c>
      <c r="C2" s="10">
        <f t="shared" ref="C2:C16" si="1">B2/A2</f>
        <v>2</v>
      </c>
      <c r="D2" s="10">
        <v>183.0</v>
      </c>
      <c r="E2" s="10" t="s">
        <v>19</v>
      </c>
      <c r="F2" s="10" t="s">
        <v>10</v>
      </c>
      <c r="G2" s="10" t="s">
        <v>17</v>
      </c>
      <c r="H2" s="11">
        <v>0.008101851851851851</v>
      </c>
      <c r="I2" s="48">
        <f t="shared" ref="I2:I16" si="2">1-(PERCENTRANK(H:H,H2,4))</f>
        <v>0</v>
      </c>
      <c r="J2" s="12" t="s">
        <v>401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0">
        <v>75.0</v>
      </c>
      <c r="B3" s="10">
        <v>150.0</v>
      </c>
      <c r="C3" s="10">
        <f t="shared" si="1"/>
        <v>2</v>
      </c>
      <c r="D3" s="10">
        <v>183.0</v>
      </c>
      <c r="E3" s="10" t="s">
        <v>19</v>
      </c>
      <c r="F3" s="10" t="s">
        <v>10</v>
      </c>
      <c r="G3" s="10" t="s">
        <v>17</v>
      </c>
      <c r="H3" s="11">
        <v>0.007418981481481481</v>
      </c>
      <c r="I3" s="48">
        <f t="shared" si="2"/>
        <v>0.4286</v>
      </c>
      <c r="J3" s="12" t="s">
        <v>397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0">
        <v>100.0</v>
      </c>
      <c r="B4" s="10">
        <v>200.0</v>
      </c>
      <c r="C4" s="10">
        <f t="shared" si="1"/>
        <v>2</v>
      </c>
      <c r="D4" s="10">
        <v>183.0</v>
      </c>
      <c r="E4" s="10" t="s">
        <v>19</v>
      </c>
      <c r="F4" s="10" t="s">
        <v>10</v>
      </c>
      <c r="G4" s="10" t="s">
        <v>17</v>
      </c>
      <c r="H4" s="11">
        <v>0.0069560185185185185</v>
      </c>
      <c r="I4" s="48">
        <f t="shared" si="2"/>
        <v>0.7857</v>
      </c>
      <c r="J4" s="12" t="s">
        <v>396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10">
        <v>50.0</v>
      </c>
      <c r="B5" s="10">
        <v>150.0</v>
      </c>
      <c r="C5" s="10">
        <f t="shared" si="1"/>
        <v>3</v>
      </c>
      <c r="D5" s="10">
        <v>183.0</v>
      </c>
      <c r="E5" s="10" t="s">
        <v>19</v>
      </c>
      <c r="F5" s="10" t="s">
        <v>10</v>
      </c>
      <c r="G5" s="10" t="s">
        <v>17</v>
      </c>
      <c r="H5" s="11">
        <v>0.007858796296296296</v>
      </c>
      <c r="I5" s="48">
        <f t="shared" si="2"/>
        <v>0.1429</v>
      </c>
      <c r="J5" s="12" t="s">
        <v>392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10">
        <v>75.0</v>
      </c>
      <c r="B6" s="10">
        <v>225.0</v>
      </c>
      <c r="C6" s="10">
        <f t="shared" si="1"/>
        <v>3</v>
      </c>
      <c r="D6" s="10">
        <v>183.0</v>
      </c>
      <c r="E6" s="10" t="s">
        <v>19</v>
      </c>
      <c r="F6" s="10" t="s">
        <v>10</v>
      </c>
      <c r="G6" s="10" t="s">
        <v>17</v>
      </c>
      <c r="H6" s="11">
        <v>0.007210648148148148</v>
      </c>
      <c r="I6" s="48">
        <f t="shared" si="2"/>
        <v>0.5</v>
      </c>
      <c r="J6" s="12" t="s">
        <v>391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10">
        <v>100.0</v>
      </c>
      <c r="B7" s="10">
        <v>300.0</v>
      </c>
      <c r="C7" s="10">
        <f t="shared" si="1"/>
        <v>3</v>
      </c>
      <c r="D7" s="10">
        <v>183.0</v>
      </c>
      <c r="E7" s="10" t="s">
        <v>19</v>
      </c>
      <c r="F7" s="10" t="s">
        <v>10</v>
      </c>
      <c r="G7" s="10" t="s">
        <v>17</v>
      </c>
      <c r="H7" s="11">
        <v>0.006759259259259259</v>
      </c>
      <c r="I7" s="48">
        <f t="shared" si="2"/>
        <v>0.9286</v>
      </c>
      <c r="J7" s="12" t="s">
        <v>405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10">
        <v>50.0</v>
      </c>
      <c r="B8" s="10">
        <v>200.0</v>
      </c>
      <c r="C8" s="10">
        <f t="shared" si="1"/>
        <v>4</v>
      </c>
      <c r="D8" s="10">
        <v>183.0</v>
      </c>
      <c r="E8" s="10" t="s">
        <v>19</v>
      </c>
      <c r="F8" s="10" t="s">
        <v>10</v>
      </c>
      <c r="G8" s="10" t="s">
        <v>17</v>
      </c>
      <c r="H8" s="11">
        <v>0.007662037037037037</v>
      </c>
      <c r="I8" s="48">
        <f t="shared" si="2"/>
        <v>0.2143</v>
      </c>
      <c r="J8" s="12" t="s">
        <v>389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10">
        <v>100.0</v>
      </c>
      <c r="B9" s="10">
        <v>400.0</v>
      </c>
      <c r="C9" s="10">
        <f t="shared" si="1"/>
        <v>4</v>
      </c>
      <c r="D9" s="10">
        <v>183.0</v>
      </c>
      <c r="E9" s="10" t="s">
        <v>19</v>
      </c>
      <c r="F9" s="10" t="s">
        <v>10</v>
      </c>
      <c r="G9" s="10" t="s">
        <v>17</v>
      </c>
      <c r="H9" s="11">
        <v>0.006597222222222222</v>
      </c>
      <c r="I9" s="48">
        <f t="shared" si="2"/>
        <v>1</v>
      </c>
      <c r="J9" s="12" t="s">
        <v>324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10">
        <v>75.0</v>
      </c>
      <c r="B10" s="10">
        <v>300.0</v>
      </c>
      <c r="C10" s="10">
        <f t="shared" si="1"/>
        <v>4</v>
      </c>
      <c r="D10" s="10">
        <v>183.0</v>
      </c>
      <c r="E10" s="10" t="s">
        <v>19</v>
      </c>
      <c r="F10" s="10" t="s">
        <v>10</v>
      </c>
      <c r="G10" s="10" t="s">
        <v>17</v>
      </c>
      <c r="H10" s="11">
        <v>0.007025462962962963</v>
      </c>
      <c r="I10" s="48">
        <f t="shared" si="2"/>
        <v>0.6429</v>
      </c>
      <c r="J10" s="12" t="s">
        <v>448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0">
        <v>75.0</v>
      </c>
      <c r="B11" s="10">
        <v>0.0</v>
      </c>
      <c r="C11" s="10">
        <f t="shared" si="1"/>
        <v>0</v>
      </c>
      <c r="D11" s="10">
        <v>183.0</v>
      </c>
      <c r="E11" s="10" t="s">
        <v>28</v>
      </c>
      <c r="F11" s="10" t="s">
        <v>24</v>
      </c>
      <c r="G11" s="10" t="s">
        <v>11</v>
      </c>
      <c r="H11" s="11">
        <v>0.007083333333333333</v>
      </c>
      <c r="I11" s="48">
        <f t="shared" si="2"/>
        <v>0.5714</v>
      </c>
      <c r="J11" s="12" t="s">
        <v>449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0">
        <v>75.0</v>
      </c>
      <c r="B12" s="10">
        <v>0.0</v>
      </c>
      <c r="C12" s="10">
        <f t="shared" si="1"/>
        <v>0</v>
      </c>
      <c r="D12" s="10">
        <v>183.0</v>
      </c>
      <c r="E12" s="10" t="s">
        <v>94</v>
      </c>
      <c r="F12" s="10" t="s">
        <v>10</v>
      </c>
      <c r="G12" s="10" t="s">
        <v>133</v>
      </c>
      <c r="H12" s="11">
        <v>0.007858796296296296</v>
      </c>
      <c r="I12" s="48">
        <f t="shared" si="2"/>
        <v>0.1429</v>
      </c>
      <c r="J12" s="12" t="s">
        <v>449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10">
        <v>75.0</v>
      </c>
      <c r="B13" s="10">
        <v>0.0</v>
      </c>
      <c r="C13" s="10">
        <f t="shared" si="1"/>
        <v>0</v>
      </c>
      <c r="D13" s="10">
        <v>183.0</v>
      </c>
      <c r="E13" s="10" t="s">
        <v>9</v>
      </c>
      <c r="F13" s="10" t="s">
        <v>10</v>
      </c>
      <c r="G13" s="10" t="s">
        <v>11</v>
      </c>
      <c r="H13" s="11">
        <v>0.007615740740740741</v>
      </c>
      <c r="I13" s="48">
        <f t="shared" si="2"/>
        <v>0.2857</v>
      </c>
      <c r="J13" s="12" t="s">
        <v>450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10">
        <v>75.0</v>
      </c>
      <c r="B14" s="10">
        <v>225.0</v>
      </c>
      <c r="C14" s="10">
        <f t="shared" si="1"/>
        <v>3</v>
      </c>
      <c r="D14" s="10">
        <v>183.0</v>
      </c>
      <c r="E14" s="10" t="s">
        <v>9</v>
      </c>
      <c r="F14" s="10" t="s">
        <v>10</v>
      </c>
      <c r="G14" s="10" t="s">
        <v>11</v>
      </c>
      <c r="H14" s="11">
        <v>0.007013888888888889</v>
      </c>
      <c r="I14" s="48">
        <f t="shared" si="2"/>
        <v>0.7143</v>
      </c>
      <c r="J14" s="12" t="s">
        <v>451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>
        <v>75.0</v>
      </c>
      <c r="B15" s="4">
        <v>300.0</v>
      </c>
      <c r="C15" s="3">
        <f t="shared" si="1"/>
        <v>4</v>
      </c>
      <c r="D15" s="3">
        <v>183.0</v>
      </c>
      <c r="E15" s="3" t="s">
        <v>9</v>
      </c>
      <c r="F15" s="3" t="s">
        <v>10</v>
      </c>
      <c r="G15" s="3" t="s">
        <v>11</v>
      </c>
      <c r="H15" s="5">
        <v>0.006840277777777778</v>
      </c>
      <c r="I15" s="61">
        <f t="shared" si="2"/>
        <v>0.8571</v>
      </c>
      <c r="J15" s="25" t="s">
        <v>452</v>
      </c>
      <c r="K15" s="21"/>
      <c r="L15" s="3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10">
        <v>75.0</v>
      </c>
      <c r="B16" s="10">
        <v>150.0</v>
      </c>
      <c r="C16" s="10">
        <f t="shared" si="1"/>
        <v>2</v>
      </c>
      <c r="D16" s="10">
        <v>183.0</v>
      </c>
      <c r="E16" s="10" t="s">
        <v>9</v>
      </c>
      <c r="F16" s="10" t="s">
        <v>10</v>
      </c>
      <c r="G16" s="10" t="s">
        <v>11</v>
      </c>
      <c r="H16" s="11">
        <v>0.007430555555555556</v>
      </c>
      <c r="I16" s="48">
        <f t="shared" si="2"/>
        <v>0.3571</v>
      </c>
      <c r="J16" s="12" t="s">
        <v>453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4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2"/>
      <c r="G18" s="2"/>
      <c r="H18" s="2"/>
      <c r="I18" s="4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2"/>
      <c r="I19" s="4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4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4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4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4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4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4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4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4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4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4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4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4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4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4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4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4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4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4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4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4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4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4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4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4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4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4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4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4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4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4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4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4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4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4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4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4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4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4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4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4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4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4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4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4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4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4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4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4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4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4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4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4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4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4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4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4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4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4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4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4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4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4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4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4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4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4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4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4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4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4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4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4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4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4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4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4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4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4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4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4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4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4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4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4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4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4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4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4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4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4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4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4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4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4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4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4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4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4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4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4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4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4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4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4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4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4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4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4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4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4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4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4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4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4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4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4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4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4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4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4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4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4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4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4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4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4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4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4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4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4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4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4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4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4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4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4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4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4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4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4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4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4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4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4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4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4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4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4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4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4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4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4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4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4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4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4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4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4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4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4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4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4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4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4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4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4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4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4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4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4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4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4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4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4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4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4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4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4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4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4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4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4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4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4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4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4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4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4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4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4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4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4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4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4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4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4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4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4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4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4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4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4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4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4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4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4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4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4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4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4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4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4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4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4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4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4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4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4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4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4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4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4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4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4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4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4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4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4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4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4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4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4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4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4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4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4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4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4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4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4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4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4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4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4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4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4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4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4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4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4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4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4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4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4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4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4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4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4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4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4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4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4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4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4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4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4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4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4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4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4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4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4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4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4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4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4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4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4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4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4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4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4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4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4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4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4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4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4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4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4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4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4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4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4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4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4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4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4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4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4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4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4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4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4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4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4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4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4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4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4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4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4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4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4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4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4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4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4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4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4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4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4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4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4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4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4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4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4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4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4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4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4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4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4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4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4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4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4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4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4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4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4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4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4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4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4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4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4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4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4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4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4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4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4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4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4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4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4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4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4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4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4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4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4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4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4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4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4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4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4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4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4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4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4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4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4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4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4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4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4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4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4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4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4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4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4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4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4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4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4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4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4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4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4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4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4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4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4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4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4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4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4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4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4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4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4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4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4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4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4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4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4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4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4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4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4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4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4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4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4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4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4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4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4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4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4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4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4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4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4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4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4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4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4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4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4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4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4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4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4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4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4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4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4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4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4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4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4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4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4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4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4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4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4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4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4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4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4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4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4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4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4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4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4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4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4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4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4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4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4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4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4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4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4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4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4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4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4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4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4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4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4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4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4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4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4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4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4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4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4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4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4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4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4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4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4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4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4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4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4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4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4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4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4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4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4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4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4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4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4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4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4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4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4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4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4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4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4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4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4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4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4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4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4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4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4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4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4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4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4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4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4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4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4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4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4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4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4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4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4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4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4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4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4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4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4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4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4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4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4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4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4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4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4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4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4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4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4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4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4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4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4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4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4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4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4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4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4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4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4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4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4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4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4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4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4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4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4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4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4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4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4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4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4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4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4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4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4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4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4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4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4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4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4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4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4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4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4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4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4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4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4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4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4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4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4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4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4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4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4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4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4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4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4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4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4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4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4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4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4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4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4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4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4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4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4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4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4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4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4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4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4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4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4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4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4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4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4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4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4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4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4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4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4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4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4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4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4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4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4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4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4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4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4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4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4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4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4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4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4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4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4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4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4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4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4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4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4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4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4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4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4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4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4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4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4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4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4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4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4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4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4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4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4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4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4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4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4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4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4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4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4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4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4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4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4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4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4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4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4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4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4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4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4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4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4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4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4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4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4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4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4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4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4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4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4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4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4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4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4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4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4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4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4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4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4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4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4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4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4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4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4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4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4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4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4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4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4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4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4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4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4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4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4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4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4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4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4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4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4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4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4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4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4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4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4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4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4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4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4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4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4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4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4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4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4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4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4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4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4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4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4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4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4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4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4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4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4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4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4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4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4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4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4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4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4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4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4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4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4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4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4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4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4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4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4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4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4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4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4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4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4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4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4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4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4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4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4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4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4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4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4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4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4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4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4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4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4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4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4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4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4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4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4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4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4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4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4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4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4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4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4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4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4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4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4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4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4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4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4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4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4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4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4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4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4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4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4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4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4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4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4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4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</sheetData>
  <autoFilter ref="$A$1:$J$872"/>
  <customSheetViews>
    <customSheetView guid="{131ED934-56A5-4A4B-9246-8993FA1F050E}" filter="1" showAutoFilter="1">
      <autoFilter ref="$A$1:$J$872">
        <filterColumn colId="4">
          <filters blank="1">
            <filter val="Felt IA"/>
            <filter val="Specialized Tarmac Pro"/>
            <filter val="Specialized Venge S-Works"/>
          </filters>
        </filterColumn>
        <filterColumn colId="3">
          <filters blank="1">
            <filter val="183"/>
          </filters>
        </filterColumn>
        <filterColumn colId="0">
          <filters blank="1">
            <filter val="75"/>
          </filters>
        </filterColumn>
        <filterColumn colId="1">
          <filters blank="1">
            <filter val="0"/>
            <filter val="100"/>
            <filter val="225"/>
          </filters>
        </filterColumn>
        <filterColumn colId="6">
          <filters blank="1">
            <filter val="Zipp 858/Super9"/>
            <filter val="Lightweight Meilenstein"/>
            <filter val="32mm Carbon"/>
          </filters>
        </filterColumn>
      </autoFilter>
    </customSheetView>
  </customSheetViews>
  <conditionalFormatting sqref="I87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</hyperlinks>
  <drawing r:id="rId16"/>
</worksheet>
</file>