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Factors" sheetId="2" r:id="rId5"/>
    <sheet state="visible" name="Injury Patterns" sheetId="3" r:id="rId6"/>
    <sheet state="visible" name="Form response recoding" sheetId="4" r:id="rId7"/>
    <sheet state="visible" name="Practice Time" sheetId="5" r:id="rId8"/>
    <sheet state="visible" name="medications" sheetId="6" r:id="rId9"/>
    <sheet state="visible" name="medical conditions" sheetId="7" r:id="rId10"/>
  </sheets>
  <definedNames/>
  <calcPr/>
</workbook>
</file>

<file path=xl/sharedStrings.xml><?xml version="1.0" encoding="utf-8"?>
<sst xmlns="http://schemas.openxmlformats.org/spreadsheetml/2006/main" count="359" uniqueCount="158">
  <si>
    <t>Timestamp</t>
  </si>
  <si>
    <t>Email Address</t>
  </si>
  <si>
    <t>What is your name?</t>
  </si>
  <si>
    <t>What is your primary area of medical practice?</t>
  </si>
  <si>
    <t>How associated with frailty do you consider each of these injury patterns when they occur in a 65+yo patient presenting after a fall?  [Epidural hematoma]</t>
  </si>
  <si>
    <t>How associated with frailty do you consider each of these injury patterns when they occur in a 65+yo patient presenting after a fall?  [Subdural hematoma]</t>
  </si>
  <si>
    <t>How associated with frailty do you consider each of these injury patterns when they occur in a 65+yo patient presenting after a fall?  [Subarachnoid hemorrhage]</t>
  </si>
  <si>
    <t>How associated with frailty do you consider each of these injury patterns when they occur in a 65+yo patient presenting after a fall?  [Scalp trauma]</t>
  </si>
  <si>
    <t>How associated with frailty do you consider each of these injury patterns when they occur in a 65+yo patient presenting after a fall?  [Complex facial trauma]</t>
  </si>
  <si>
    <t>How associated with frailty do you consider each of these injury patterns when they occur in a 65+yo patient presenting after a fall?  [Clavicle fracture]</t>
  </si>
  <si>
    <t>How associated with frailty do you consider each of these injury patterns when they occur in a 65+yo patient presenting after a fall?  [Shoulder dislocation]</t>
  </si>
  <si>
    <t>How associated with frailty do you consider each of these injury patterns when they occur in a 65+yo patient presenting after a fall?  [Humerus fracture]</t>
  </si>
  <si>
    <t>How associated with frailty do you consider each of these injury patterns when they occur in a 65+yo patient presenting after a fall?  [Radius fracture]</t>
  </si>
  <si>
    <t>How associated with frailty do you consider each of these injury patterns when they occur in a 65+yo patient presenting after a fall?  [Ulnar fracture]</t>
  </si>
  <si>
    <t>How associated with frailty do you consider each of these injury patterns when they occur in a 65+yo patient presenting after a fall?  [Hand/finger fracture]</t>
  </si>
  <si>
    <t>How associated with frailty do you consider each of these injury patterns when they occur in a 65+yo patient presenting after a fall?  [Single, nondisplaced rib fracture]</t>
  </si>
  <si>
    <t>How associated with frailty do you consider each of these injury patterns when they occur in a 65+yo patient presenting after a fall?  [Multiple or displaced rib fracture]</t>
  </si>
  <si>
    <t>How associated with frailty do you consider each of these injury patterns when they occur in a 65+yo patient presenting after a fall?  [Hemo/pneumothroax]</t>
  </si>
  <si>
    <t>How associated with frailty do you consider each of these injury patterns when they occur in a 65+yo patient presenting after a fall?  [Medically significant abdominal organ injury]</t>
  </si>
  <si>
    <t>How associated with frailty do you consider each of these injury patterns when they occur in a 65+yo patient presenting after a fall?  [Cervical vertebral fracture, noncompression]</t>
  </si>
  <si>
    <t>How associated with frailty do you consider each of these injury patterns when they occur in a 65+yo patient presenting after a fall?  [Thoracic vertebral fracture, noncompression]</t>
  </si>
  <si>
    <t>How associated with frailty do you consider each of these injury patterns when they occur in a 65+yo patient presenting after a fall?  [Lumbar vertebral fracture, noncompression]</t>
  </si>
  <si>
    <t>How associated with frailty do you consider each of these injury patterns when they occur in a 65+yo patient presenting after a fall?  [Any vertebral compression fracture]</t>
  </si>
  <si>
    <t>How associated with frailty do you consider each of these injury patterns when they occur in a 65+yo patient presenting after a fall?  [Sacral fracture]</t>
  </si>
  <si>
    <t>How associated with frailty do you consider each of these injury patterns when they occur in a 65+yo patient presenting after a fall?  [Pelvic fracture]</t>
  </si>
  <si>
    <t>How associated with frailty do you consider each of these injury patterns when they occur in a 65+yo patient presenting after a fall?  [Hip dislocation]</t>
  </si>
  <si>
    <t>How associated with frailty do you consider each of these injury patterns when they occur in a 65+yo patient presenting after a fall?  [Hip fracture (native joint)]</t>
  </si>
  <si>
    <t>How associated with frailty do you consider each of these injury patterns when they occur in a 65+yo patient presenting after a fall?  [Hip fracture (artificial joint)]</t>
  </si>
  <si>
    <t>How associated with frailty do you consider each of these injury patterns when they occur in a 65+yo patient presenting after a fall?  [Femur fracture]</t>
  </si>
  <si>
    <t>How associated with frailty do you consider each of these injury patterns when they occur in a 65+yo patient presenting after a fall?  [Tibia fracture]</t>
  </si>
  <si>
    <t>How associated with frailty do you consider each of these injury patterns when they occur in a 65+yo patient presenting after a fall?  [Fibula fracture]</t>
  </si>
  <si>
    <t>How associated with frailty do you consider each of these injury patterns when they occur in a 65+yo patient presenting after a fall?  [Foot fracture]</t>
  </si>
  <si>
    <t>How associated with frailty do you consider each of these injury patterns when they occur in a 65+yo patient presenting after a fall?  [Ankle dislocation]</t>
  </si>
  <si>
    <t>Please rank these factors in order of their contribution to risk of serious injury following a fall in 65+yo patients. [Fall energy (did the patient fall off a ladder or was it ground level)?]</t>
  </si>
  <si>
    <t>Please rank these factors in order of their contribution to risk of serious injury following a fall in 65+yo patients. [Intoxication, inappropriate medication, or overmedication which might impair judgement, coordiantion, or perception]</t>
  </si>
  <si>
    <t>Please rank these factors in order of their contribution to risk of serious injury following a fall in 65+yo patients. [Fragility]</t>
  </si>
  <si>
    <t>Please rank these factors in order of their contribution to risk of serious injury following a fall in 65+yo patients. [Unfamiliar activity]</t>
  </si>
  <si>
    <t>Please rank these factors in order of their contribution to risk of serious injury following a fall in 65+yo patients. [Medical conditions affecting cognition]</t>
  </si>
  <si>
    <t>Please rank these factors in order of their contribution to risk of serious injury following a fall in 65+yo patients. [Environmental factors (rugs, grab bars)]</t>
  </si>
  <si>
    <t>Please rank these factors in order of their contribution to risk of serious injury following a fall in 65+yo patients. [Age, irrespective of other factors]</t>
  </si>
  <si>
    <t>Please rank these factors in order of their contribution to risk of serious injury following a fall in 65+yo patients. [Distraction]</t>
  </si>
  <si>
    <t>Please rank these factors in order of their contribution to risk of serious injury following a fall in 65+yo patients. [Medical conditions affecting stability/balance]</t>
  </si>
  <si>
    <t>Please rank these factors in order of their contribution to risk of serious injury following a fall in 65+yo patients. [Cardiac and neurovascular conditions affecting consciousness (e.g. postural hypotension, syncope)]</t>
  </si>
  <si>
    <t>Which fabulous gift would you like?</t>
  </si>
  <si>
    <t>Some people may be required to report gifts or honoraria above a certain value. Would you prefer your gift fall below a certain dollar amount?</t>
  </si>
  <si>
    <t>Where can we send your gift?</t>
  </si>
  <si>
    <t>justin.itty.mathew@gmail.com</t>
  </si>
  <si>
    <t>Itty Mathew, MD</t>
  </si>
  <si>
    <t>Emergency Medicine</t>
  </si>
  <si>
    <t>Not assocaited with frailty; equally likely to happen to anyone in any state of health who fell</t>
  </si>
  <si>
    <t>Highly suggestive of frailty</t>
  </si>
  <si>
    <t>Suspicious for frailty</t>
  </si>
  <si>
    <t>1: most important</t>
  </si>
  <si>
    <t>Starbucks Gift Card</t>
  </si>
  <si>
    <t>It can be any amount</t>
  </si>
  <si>
    <t>Itty Mathew, 901 State Highway 165, Placitas, NM, 87043</t>
  </si>
  <si>
    <t>swendseid.brian@gmail.com</t>
  </si>
  <si>
    <t>Brian swendseid</t>
  </si>
  <si>
    <t xml:space="preserve">Otolaryngology </t>
  </si>
  <si>
    <t>Edible Arrangement</t>
  </si>
  <si>
    <t>No</t>
  </si>
  <si>
    <t>244 Ogden ave Swarthmore PA 19081</t>
  </si>
  <si>
    <t>bkuhns87@gmail.com</t>
  </si>
  <si>
    <t>Ben Kuhns</t>
  </si>
  <si>
    <t xml:space="preserve">Orthopedic Surgery </t>
  </si>
  <si>
    <t>Pathognomonic for frailty; would not occur in a non-frail person after a fall</t>
  </si>
  <si>
    <t>10: least important</t>
  </si>
  <si>
    <t>6 Pack of Bud Heavy</t>
  </si>
  <si>
    <t>No amount</t>
  </si>
  <si>
    <t>2130 Middlefork Road Northfield Illinois 60093</t>
  </si>
  <si>
    <t>djbonda@gmail.com</t>
  </si>
  <si>
    <t>David Bonda</t>
  </si>
  <si>
    <t>Neurosurgery</t>
  </si>
  <si>
    <t>No gift, thank you!</t>
  </si>
  <si>
    <t>one million dollars</t>
  </si>
  <si>
    <t>to the charity of your choice</t>
  </si>
  <si>
    <t>adam.starr@cuanschutz.edu</t>
  </si>
  <si>
    <t>Adam Starr</t>
  </si>
  <si>
    <t>Hospital Medicine</t>
  </si>
  <si>
    <t>n/a</t>
  </si>
  <si>
    <t>8282 navajo st denver co 80221</t>
  </si>
  <si>
    <t>Reformatted Responses</t>
  </si>
  <si>
    <t>Median</t>
  </si>
  <si>
    <t>Mode</t>
  </si>
  <si>
    <t>Factor</t>
  </si>
  <si>
    <t>A</t>
  </si>
  <si>
    <t>B</t>
  </si>
  <si>
    <t>C</t>
  </si>
  <si>
    <t>D</t>
  </si>
  <si>
    <t>E</t>
  </si>
  <si>
    <t>Mean</t>
  </si>
  <si>
    <t xml:space="preserve"> [Fall energy (did the patient fall off a ladder or was it ground level)?]</t>
  </si>
  <si>
    <t xml:space="preserve"> [Fragility]</t>
  </si>
  <si>
    <t xml:space="preserve"> [Intoxication, inappropriate medication, or overmedication which might impair judgement, coordiantion, or perception]</t>
  </si>
  <si>
    <t xml:space="preserve"> [Medical conditions affecting stability/balance]</t>
  </si>
  <si>
    <t xml:space="preserve"> [Cardiac and neurovascular conditions affecting consciousness (e.g. postural hypotension, syncope)]</t>
  </si>
  <si>
    <t xml:space="preserve"> [Medical conditions affecting cognition]</t>
  </si>
  <si>
    <t xml:space="preserve"> [Unfamiliar activity]</t>
  </si>
  <si>
    <t xml:space="preserve"> [Environmental factors (rugs, grab bars)]</t>
  </si>
  <si>
    <t xml:space="preserve"> [Age, irrespective of other factors]</t>
  </si>
  <si>
    <t xml:space="preserve"> [Distraction]</t>
  </si>
  <si>
    <t>Injury</t>
  </si>
  <si>
    <t>[Pelvic fracture]</t>
  </si>
  <si>
    <t>[Hip fracture (native joint)]</t>
  </si>
  <si>
    <t>[Femur fracture]</t>
  </si>
  <si>
    <t>[Thoracic vertebral fracture, noncompression]</t>
  </si>
  <si>
    <t>[Sacral fracture]</t>
  </si>
  <si>
    <t>[Multiple or displaced rib fracture]</t>
  </si>
  <si>
    <t>[Lumbar vertebral fracture, noncompression]</t>
  </si>
  <si>
    <t>[Hip fracture (artificial joint)]</t>
  </si>
  <si>
    <t>[Tibia fracture]</t>
  </si>
  <si>
    <t>[Subdural hematoma]</t>
  </si>
  <si>
    <t>[Radius fracture]</t>
  </si>
  <si>
    <t>[Humerus fracture]</t>
  </si>
  <si>
    <t>[Hemo/pneumothroax]</t>
  </si>
  <si>
    <t>[Cervical vertebral fracture, noncompression]</t>
  </si>
  <si>
    <t>[Any vertebral compression fracture]</t>
  </si>
  <si>
    <t>[Ulnar fracture]</t>
  </si>
  <si>
    <t>[Fibula fracture]</t>
  </si>
  <si>
    <t>[Complex facial trauma]</t>
  </si>
  <si>
    <t>[Foot fracture]</t>
  </si>
  <si>
    <t>[Clavicle fracture]</t>
  </si>
  <si>
    <t>[Medically significant abdominal organ injury]</t>
  </si>
  <si>
    <t>[Hip dislocation]</t>
  </si>
  <si>
    <t>[Subarachnoid hemorrhage]</t>
  </si>
  <si>
    <t>[Single, nondisplaced rib fracture]</t>
  </si>
  <si>
    <t>[Shoulder dislocation]</t>
  </si>
  <si>
    <t>[Scalp trauma]</t>
  </si>
  <si>
    <t>[Hand/finger fracture]</t>
  </si>
  <si>
    <t>[Epidural hematoma]</t>
  </si>
  <si>
    <t>[Ankle dislocation]</t>
  </si>
  <si>
    <t>Value</t>
  </si>
  <si>
    <t>Recode</t>
  </si>
  <si>
    <t>Doc</t>
  </si>
  <si>
    <t>Percent</t>
  </si>
  <si>
    <t>Itty</t>
  </si>
  <si>
    <t>Brian</t>
  </si>
  <si>
    <t>Adam</t>
  </si>
  <si>
    <t>Koonz</t>
  </si>
  <si>
    <t>Bonda</t>
  </si>
  <si>
    <t>Opioids/pain meds</t>
  </si>
  <si>
    <t>Blood pressure</t>
  </si>
  <si>
    <t>Alcohol</t>
  </si>
  <si>
    <t>Antiglycemics</t>
  </si>
  <si>
    <t>Anticholinergic</t>
  </si>
  <si>
    <t>Anxiolytics</t>
  </si>
  <si>
    <t>Polypharmacy</t>
  </si>
  <si>
    <t>Blood thinners</t>
  </si>
  <si>
    <t>x</t>
  </si>
  <si>
    <t>deconditioning</t>
  </si>
  <si>
    <t>dementia</t>
  </si>
  <si>
    <t>gait disturbances</t>
  </si>
  <si>
    <t>balance disorder</t>
  </si>
  <si>
    <t>hypotension / arrhythmia</t>
  </si>
  <si>
    <t>neuropahty</t>
  </si>
  <si>
    <t>visual changes</t>
  </si>
  <si>
    <t>arthritis</t>
  </si>
  <si>
    <t>renal disease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</si>
</sst>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3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3" xfId="0" applyBorder="1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3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Factors-style">
      <tableStyleElement dxfId="1" type="headerRow"/>
      <tableStyleElement dxfId="2" type="firstRowStripe"/>
      <tableStyleElement dxfId="3" type="secondRowStripe"/>
    </tableStyle>
    <tableStyle count="3" pivot="0" name="Injury Pattern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1" displayName="Table_1" id="1">
  <tableColumns count="8">
    <tableColumn name="Factor" id="1"/>
    <tableColumn name="A" id="2"/>
    <tableColumn name="B" id="3"/>
    <tableColumn name="C" id="4"/>
    <tableColumn name="D" id="5"/>
    <tableColumn name="E" id="6"/>
    <tableColumn name="Median" id="7"/>
    <tableColumn name="Mean" id="8"/>
  </tableColumns>
  <tableStyleInfo name="Factors-style" showColumnStripes="0" showFirstColumn="1" showLastColumn="1" showRowStripes="1"/>
</table>
</file>

<file path=xl/tables/table2.xml><?xml version="1.0" encoding="utf-8"?>
<table xmlns="http://schemas.openxmlformats.org/spreadsheetml/2006/main" ref="A1:H30" displayName="Table_2" id="2">
  <tableColumns count="8">
    <tableColumn name="Injury" id="1"/>
    <tableColumn name="A" id="2"/>
    <tableColumn name="B" id="3"/>
    <tableColumn name="C" id="4"/>
    <tableColumn name="D" id="5"/>
    <tableColumn name="E" id="6"/>
    <tableColumn name="Median" id="7"/>
    <tableColumn name="Mean" id="8"/>
  </tableColumns>
  <tableStyleInfo name="Injury Patter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4" width="18.88"/>
    <col customWidth="1" min="35" max="35" width="19.25"/>
    <col customWidth="1" min="36" max="52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>
      <c r="A2" s="2">
        <v>45160.530211805555</v>
      </c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  <c r="G2" s="3" t="s">
        <v>51</v>
      </c>
      <c r="H2" s="3" t="s">
        <v>51</v>
      </c>
      <c r="I2" s="3" t="s">
        <v>50</v>
      </c>
      <c r="J2" s="3" t="s">
        <v>49</v>
      </c>
      <c r="K2" s="3" t="s">
        <v>49</v>
      </c>
      <c r="L2" s="3" t="s">
        <v>51</v>
      </c>
      <c r="M2" s="3" t="s">
        <v>51</v>
      </c>
      <c r="N2" s="3" t="s">
        <v>51</v>
      </c>
      <c r="O2" s="3" t="s">
        <v>49</v>
      </c>
      <c r="P2" s="3" t="s">
        <v>49</v>
      </c>
      <c r="Q2" s="3" t="s">
        <v>50</v>
      </c>
      <c r="R2" s="3" t="s">
        <v>50</v>
      </c>
      <c r="S2" s="3" t="s">
        <v>51</v>
      </c>
      <c r="T2" s="3" t="s">
        <v>51</v>
      </c>
      <c r="U2" s="3" t="s">
        <v>51</v>
      </c>
      <c r="V2" s="3" t="s">
        <v>51</v>
      </c>
      <c r="W2" s="3" t="s">
        <v>50</v>
      </c>
      <c r="X2" s="3" t="s">
        <v>50</v>
      </c>
      <c r="Y2" s="3" t="s">
        <v>50</v>
      </c>
      <c r="Z2" s="3" t="s">
        <v>49</v>
      </c>
      <c r="AA2" s="3" t="s">
        <v>50</v>
      </c>
      <c r="AB2" s="3" t="s">
        <v>50</v>
      </c>
      <c r="AC2" s="3" t="s">
        <v>50</v>
      </c>
      <c r="AD2" s="3" t="s">
        <v>49</v>
      </c>
      <c r="AE2" s="3" t="s">
        <v>49</v>
      </c>
      <c r="AF2" s="3" t="s">
        <v>49</v>
      </c>
      <c r="AG2" s="3" t="s">
        <v>49</v>
      </c>
      <c r="AH2" s="3" t="s">
        <v>52</v>
      </c>
      <c r="AI2" s="3">
        <v>4.0</v>
      </c>
      <c r="AJ2" s="3">
        <v>2.0</v>
      </c>
      <c r="AK2" s="3">
        <v>5.0</v>
      </c>
      <c r="AL2" s="3">
        <v>7.0</v>
      </c>
      <c r="AM2" s="3">
        <v>6.0</v>
      </c>
      <c r="AN2" s="3">
        <v>3.0</v>
      </c>
      <c r="AO2" s="3">
        <v>8.0</v>
      </c>
      <c r="AP2" s="3">
        <v>4.0</v>
      </c>
      <c r="AQ2" s="3">
        <v>8.0</v>
      </c>
      <c r="AR2" s="3" t="s">
        <v>53</v>
      </c>
      <c r="AS2" s="3" t="s">
        <v>54</v>
      </c>
      <c r="AT2" s="3" t="s">
        <v>55</v>
      </c>
    </row>
    <row r="3">
      <c r="A3" s="2">
        <v>45164.61679699074</v>
      </c>
      <c r="B3" s="3" t="s">
        <v>56</v>
      </c>
      <c r="C3" s="3" t="s">
        <v>57</v>
      </c>
      <c r="D3" s="3" t="s">
        <v>58</v>
      </c>
      <c r="E3" s="3" t="s">
        <v>51</v>
      </c>
      <c r="F3" s="3" t="s">
        <v>50</v>
      </c>
      <c r="G3" s="3" t="s">
        <v>51</v>
      </c>
      <c r="H3" s="3" t="s">
        <v>50</v>
      </c>
      <c r="I3" s="3" t="s">
        <v>50</v>
      </c>
      <c r="J3" s="3" t="s">
        <v>51</v>
      </c>
      <c r="K3" s="3" t="s">
        <v>51</v>
      </c>
      <c r="L3" s="3" t="s">
        <v>51</v>
      </c>
      <c r="M3" s="3" t="s">
        <v>51</v>
      </c>
      <c r="N3" s="3" t="s">
        <v>51</v>
      </c>
      <c r="O3" s="3" t="s">
        <v>51</v>
      </c>
      <c r="P3" s="3" t="s">
        <v>51</v>
      </c>
      <c r="Q3" s="3" t="s">
        <v>50</v>
      </c>
      <c r="R3" s="3" t="s">
        <v>51</v>
      </c>
      <c r="S3" s="3" t="s">
        <v>51</v>
      </c>
      <c r="T3" s="3" t="s">
        <v>51</v>
      </c>
      <c r="U3" s="3" t="s">
        <v>51</v>
      </c>
      <c r="V3" s="3" t="s">
        <v>51</v>
      </c>
      <c r="W3" s="3" t="s">
        <v>51</v>
      </c>
      <c r="X3" s="3" t="s">
        <v>51</v>
      </c>
      <c r="Y3" s="3" t="s">
        <v>50</v>
      </c>
      <c r="Z3" s="3" t="s">
        <v>51</v>
      </c>
      <c r="AA3" s="3" t="s">
        <v>51</v>
      </c>
      <c r="AB3" s="3" t="s">
        <v>51</v>
      </c>
      <c r="AC3" s="3" t="s">
        <v>51</v>
      </c>
      <c r="AD3" s="3" t="s">
        <v>51</v>
      </c>
      <c r="AE3" s="3" t="s">
        <v>51</v>
      </c>
      <c r="AF3" s="3" t="s">
        <v>51</v>
      </c>
      <c r="AG3" s="3" t="s">
        <v>51</v>
      </c>
      <c r="AH3" s="3">
        <v>3.0</v>
      </c>
      <c r="AI3" s="3">
        <v>4.0</v>
      </c>
      <c r="AJ3" s="3">
        <v>3.0</v>
      </c>
      <c r="AK3" s="3">
        <v>5.0</v>
      </c>
      <c r="AL3" s="3">
        <v>4.0</v>
      </c>
      <c r="AM3" s="3">
        <v>4.0</v>
      </c>
      <c r="AN3" s="3">
        <v>6.0</v>
      </c>
      <c r="AO3" s="3">
        <v>5.0</v>
      </c>
      <c r="AP3" s="3">
        <v>4.0</v>
      </c>
      <c r="AQ3" s="3">
        <v>4.0</v>
      </c>
      <c r="AR3" s="3" t="s">
        <v>59</v>
      </c>
      <c r="AS3" s="3" t="s">
        <v>60</v>
      </c>
      <c r="AT3" s="3" t="s">
        <v>61</v>
      </c>
    </row>
    <row r="4">
      <c r="A4" s="2">
        <v>45164.64712178241</v>
      </c>
      <c r="B4" s="3" t="s">
        <v>62</v>
      </c>
      <c r="C4" s="3" t="s">
        <v>63</v>
      </c>
      <c r="D4" s="3" t="s">
        <v>64</v>
      </c>
      <c r="E4" s="3" t="s">
        <v>51</v>
      </c>
      <c r="F4" s="3" t="s">
        <v>51</v>
      </c>
      <c r="G4" s="3" t="s">
        <v>50</v>
      </c>
      <c r="H4" s="3" t="s">
        <v>49</v>
      </c>
      <c r="I4" s="3" t="s">
        <v>51</v>
      </c>
      <c r="J4" s="3" t="s">
        <v>50</v>
      </c>
      <c r="K4" s="3" t="s">
        <v>49</v>
      </c>
      <c r="L4" s="3" t="s">
        <v>50</v>
      </c>
      <c r="M4" s="3" t="s">
        <v>65</v>
      </c>
      <c r="N4" s="3" t="s">
        <v>50</v>
      </c>
      <c r="O4" s="3" t="s">
        <v>51</v>
      </c>
      <c r="P4" s="3" t="s">
        <v>51</v>
      </c>
      <c r="Q4" s="3" t="s">
        <v>50</v>
      </c>
      <c r="R4" s="3" t="s">
        <v>50</v>
      </c>
      <c r="S4" s="3" t="s">
        <v>50</v>
      </c>
      <c r="T4" s="3" t="s">
        <v>50</v>
      </c>
      <c r="U4" s="3" t="s">
        <v>65</v>
      </c>
      <c r="V4" s="3" t="s">
        <v>65</v>
      </c>
      <c r="W4" s="3" t="s">
        <v>50</v>
      </c>
      <c r="X4" s="3" t="s">
        <v>50</v>
      </c>
      <c r="Y4" s="3" t="s">
        <v>65</v>
      </c>
      <c r="Z4" s="3" t="s">
        <v>51</v>
      </c>
      <c r="AA4" s="3" t="s">
        <v>65</v>
      </c>
      <c r="AB4" s="3" t="s">
        <v>50</v>
      </c>
      <c r="AC4" s="3" t="s">
        <v>50</v>
      </c>
      <c r="AD4" s="3" t="s">
        <v>50</v>
      </c>
      <c r="AE4" s="3" t="s">
        <v>50</v>
      </c>
      <c r="AF4" s="3" t="s">
        <v>50</v>
      </c>
      <c r="AG4" s="3" t="s">
        <v>49</v>
      </c>
      <c r="AH4" s="3" t="s">
        <v>52</v>
      </c>
      <c r="AI4" s="3">
        <v>5.0</v>
      </c>
      <c r="AJ4" s="3">
        <v>2.0</v>
      </c>
      <c r="AK4" s="3">
        <v>9.0</v>
      </c>
      <c r="AL4" s="3">
        <v>8.0</v>
      </c>
      <c r="AM4" s="3">
        <v>6.0</v>
      </c>
      <c r="AN4" s="3" t="s">
        <v>66</v>
      </c>
      <c r="AO4" s="3">
        <v>7.0</v>
      </c>
      <c r="AP4" s="3">
        <v>4.0</v>
      </c>
      <c r="AQ4" s="3">
        <v>3.0</v>
      </c>
      <c r="AR4" s="3" t="s">
        <v>67</v>
      </c>
      <c r="AS4" s="3" t="s">
        <v>68</v>
      </c>
      <c r="AT4" s="3" t="s">
        <v>69</v>
      </c>
    </row>
    <row r="5">
      <c r="A5" s="2">
        <v>45166.762995682875</v>
      </c>
      <c r="B5" s="3" t="s">
        <v>70</v>
      </c>
      <c r="C5" s="3" t="s">
        <v>71</v>
      </c>
      <c r="D5" s="3" t="s">
        <v>72</v>
      </c>
      <c r="E5" s="3" t="s">
        <v>51</v>
      </c>
      <c r="F5" s="3" t="s">
        <v>51</v>
      </c>
      <c r="G5" s="3" t="s">
        <v>49</v>
      </c>
      <c r="H5" s="3" t="s">
        <v>49</v>
      </c>
      <c r="I5" s="3" t="s">
        <v>51</v>
      </c>
      <c r="J5" s="3" t="s">
        <v>50</v>
      </c>
      <c r="K5" s="3" t="s">
        <v>50</v>
      </c>
      <c r="L5" s="3" t="s">
        <v>65</v>
      </c>
      <c r="M5" s="3" t="s">
        <v>50</v>
      </c>
      <c r="N5" s="3" t="s">
        <v>50</v>
      </c>
      <c r="O5" s="3" t="s">
        <v>51</v>
      </c>
      <c r="P5" s="3" t="s">
        <v>50</v>
      </c>
      <c r="Q5" s="3" t="s">
        <v>50</v>
      </c>
      <c r="R5" s="3" t="s">
        <v>50</v>
      </c>
      <c r="S5" s="3" t="s">
        <v>65</v>
      </c>
      <c r="T5" s="3" t="s">
        <v>65</v>
      </c>
      <c r="U5" s="3" t="s">
        <v>65</v>
      </c>
      <c r="V5" s="3" t="s">
        <v>65</v>
      </c>
      <c r="W5" s="3" t="s">
        <v>50</v>
      </c>
      <c r="X5" s="3" t="s">
        <v>50</v>
      </c>
      <c r="Y5" s="3" t="s">
        <v>65</v>
      </c>
      <c r="Z5" s="3" t="s">
        <v>50</v>
      </c>
      <c r="AA5" s="3" t="s">
        <v>50</v>
      </c>
      <c r="AB5" s="3" t="s">
        <v>50</v>
      </c>
      <c r="AC5" s="3" t="s">
        <v>65</v>
      </c>
      <c r="AD5" s="3" t="s">
        <v>65</v>
      </c>
      <c r="AE5" s="3" t="s">
        <v>50</v>
      </c>
      <c r="AF5" s="3" t="s">
        <v>50</v>
      </c>
      <c r="AG5" s="3" t="s">
        <v>51</v>
      </c>
      <c r="AH5" s="3" t="s">
        <v>52</v>
      </c>
      <c r="AI5" s="3">
        <v>3.0</v>
      </c>
      <c r="AJ5" s="3">
        <v>2.0</v>
      </c>
      <c r="AK5" s="3">
        <v>8.0</v>
      </c>
      <c r="AL5" s="3">
        <v>5.0</v>
      </c>
      <c r="AM5" s="3">
        <v>5.0</v>
      </c>
      <c r="AN5" s="3">
        <v>4.0</v>
      </c>
      <c r="AO5" s="3">
        <v>7.0</v>
      </c>
      <c r="AP5" s="3">
        <v>6.0</v>
      </c>
      <c r="AQ5" s="3">
        <v>7.0</v>
      </c>
      <c r="AR5" s="3" t="s">
        <v>73</v>
      </c>
      <c r="AS5" s="3" t="s">
        <v>74</v>
      </c>
      <c r="AT5" s="3" t="s">
        <v>75</v>
      </c>
    </row>
    <row r="6">
      <c r="A6" s="2">
        <v>45169.864326979165</v>
      </c>
      <c r="B6" s="3" t="s">
        <v>76</v>
      </c>
      <c r="C6" s="3" t="s">
        <v>77</v>
      </c>
      <c r="D6" s="3" t="s">
        <v>78</v>
      </c>
      <c r="E6" s="3" t="s">
        <v>50</v>
      </c>
      <c r="F6" s="3" t="s">
        <v>65</v>
      </c>
      <c r="G6" s="3" t="s">
        <v>50</v>
      </c>
      <c r="H6" s="3" t="s">
        <v>50</v>
      </c>
      <c r="I6" s="3" t="s">
        <v>50</v>
      </c>
      <c r="J6" s="3" t="s">
        <v>50</v>
      </c>
      <c r="K6" s="3" t="s">
        <v>50</v>
      </c>
      <c r="L6" s="3" t="s">
        <v>50</v>
      </c>
      <c r="M6" s="3" t="s">
        <v>50</v>
      </c>
      <c r="N6" s="3" t="s">
        <v>50</v>
      </c>
      <c r="O6" s="3" t="s">
        <v>50</v>
      </c>
      <c r="P6" s="3" t="s">
        <v>50</v>
      </c>
      <c r="Q6" s="3" t="s">
        <v>50</v>
      </c>
      <c r="R6" s="3" t="s">
        <v>50</v>
      </c>
      <c r="S6" s="3" t="s">
        <v>51</v>
      </c>
      <c r="T6" s="3" t="s">
        <v>50</v>
      </c>
      <c r="U6" s="3" t="s">
        <v>50</v>
      </c>
      <c r="V6" s="3" t="s">
        <v>50</v>
      </c>
      <c r="W6" s="3" t="s">
        <v>50</v>
      </c>
      <c r="X6" s="3" t="s">
        <v>65</v>
      </c>
      <c r="Y6" s="3" t="s">
        <v>65</v>
      </c>
      <c r="Z6" s="3" t="s">
        <v>65</v>
      </c>
      <c r="AA6" s="3" t="s">
        <v>65</v>
      </c>
      <c r="AB6" s="3" t="s">
        <v>65</v>
      </c>
      <c r="AC6" s="3" t="s">
        <v>65</v>
      </c>
      <c r="AD6" s="3" t="s">
        <v>65</v>
      </c>
      <c r="AE6" s="3" t="s">
        <v>65</v>
      </c>
      <c r="AF6" s="3" t="s">
        <v>50</v>
      </c>
      <c r="AG6" s="3" t="s">
        <v>50</v>
      </c>
      <c r="AH6" s="3">
        <v>4.0</v>
      </c>
      <c r="AI6" s="3">
        <v>3.0</v>
      </c>
      <c r="AJ6" s="3">
        <v>2.0</v>
      </c>
      <c r="AK6" s="3">
        <v>6.0</v>
      </c>
      <c r="AL6" s="3">
        <v>5.0</v>
      </c>
      <c r="AM6" s="3">
        <v>9.0</v>
      </c>
      <c r="AN6" s="3">
        <v>8.0</v>
      </c>
      <c r="AO6" s="3" t="s">
        <v>66</v>
      </c>
      <c r="AP6" s="3">
        <v>7.0</v>
      </c>
      <c r="AQ6" s="3" t="s">
        <v>52</v>
      </c>
      <c r="AR6" s="3" t="s">
        <v>53</v>
      </c>
      <c r="AS6" s="3" t="s">
        <v>79</v>
      </c>
      <c r="AT6" s="3" t="s">
        <v>80</v>
      </c>
    </row>
    <row r="10">
      <c r="E10" s="4">
        <f>counta(E11:AG11)</f>
        <v>29</v>
      </c>
      <c r="AH10" s="4">
        <f>counta(AH11:BJ11)</f>
        <v>13</v>
      </c>
    </row>
    <row r="11">
      <c r="A11" s="5" t="s">
        <v>81</v>
      </c>
      <c r="B11" s="6" t="str">
        <f t="shared" ref="B11:D11" si="1">B1</f>
        <v>Email Address</v>
      </c>
      <c r="C11" s="6" t="str">
        <f t="shared" si="1"/>
        <v>What is your name?</v>
      </c>
      <c r="D11" s="6" t="str">
        <f t="shared" si="1"/>
        <v>What is your primary area of medical practice?</v>
      </c>
      <c r="E11" s="6" t="str">
        <f>IFERROR(__xludf.DUMMYFUNCTION("REGEXREPLACE(E1,""(.{135})(.*)"",""$2"")"),"[Epidural hematoma]")</f>
        <v>[Epidural hematoma]</v>
      </c>
      <c r="F11" s="6" t="str">
        <f>IFERROR(__xludf.DUMMYFUNCTION("REGEXREPLACE(F1,""(.{135})(.*)"",""$2"")"),"[Subdural hematoma]")</f>
        <v>[Subdural hematoma]</v>
      </c>
      <c r="G11" s="6" t="str">
        <f>IFERROR(__xludf.DUMMYFUNCTION("REGEXREPLACE(G1,""(.{135})(.*)"",""$2"")"),"[Subarachnoid hemorrhage]")</f>
        <v>[Subarachnoid hemorrhage]</v>
      </c>
      <c r="H11" s="6" t="str">
        <f>IFERROR(__xludf.DUMMYFUNCTION("REGEXREPLACE(H1,""(.{135})(.*)"",""$2"")"),"[Scalp trauma]")</f>
        <v>[Scalp trauma]</v>
      </c>
      <c r="I11" s="6" t="str">
        <f>IFERROR(__xludf.DUMMYFUNCTION("REGEXREPLACE(I1,""(.{135})(.*)"",""$2"")"),"[Complex facial trauma]")</f>
        <v>[Complex facial trauma]</v>
      </c>
      <c r="J11" s="6" t="str">
        <f>IFERROR(__xludf.DUMMYFUNCTION("REGEXREPLACE(J1,""(.{135})(.*)"",""$2"")"),"[Clavicle fracture]")</f>
        <v>[Clavicle fracture]</v>
      </c>
      <c r="K11" s="6" t="str">
        <f>IFERROR(__xludf.DUMMYFUNCTION("REGEXREPLACE(K1,""(.{135})(.*)"",""$2"")"),"[Shoulder dislocation]")</f>
        <v>[Shoulder dislocation]</v>
      </c>
      <c r="L11" s="6" t="str">
        <f>IFERROR(__xludf.DUMMYFUNCTION("REGEXREPLACE(L1,""(.{135})(.*)"",""$2"")"),"[Humerus fracture]")</f>
        <v>[Humerus fracture]</v>
      </c>
      <c r="M11" s="6" t="str">
        <f>IFERROR(__xludf.DUMMYFUNCTION("REGEXREPLACE(M1,""(.{135})(.*)"",""$2"")"),"[Radius fracture]")</f>
        <v>[Radius fracture]</v>
      </c>
      <c r="N11" s="6" t="str">
        <f>IFERROR(__xludf.DUMMYFUNCTION("REGEXREPLACE(N1,""(.{135})(.*)"",""$2"")"),"[Ulnar fracture]")</f>
        <v>[Ulnar fracture]</v>
      </c>
      <c r="O11" s="6" t="str">
        <f>IFERROR(__xludf.DUMMYFUNCTION("REGEXREPLACE(O1,""(.{135})(.*)"",""$2"")"),"[Hand/finger fracture]")</f>
        <v>[Hand/finger fracture]</v>
      </c>
      <c r="P11" s="6" t="str">
        <f>IFERROR(__xludf.DUMMYFUNCTION("REGEXREPLACE(P1,""(.{135})(.*)"",""$2"")"),"[Single, nondisplaced rib fracture]")</f>
        <v>[Single, nondisplaced rib fracture]</v>
      </c>
      <c r="Q11" s="6" t="str">
        <f>IFERROR(__xludf.DUMMYFUNCTION("REGEXREPLACE(Q1,""(.{135})(.*)"",""$2"")"),"[Multiple or displaced rib fracture]")</f>
        <v>[Multiple or displaced rib fracture]</v>
      </c>
      <c r="R11" s="6" t="str">
        <f>IFERROR(__xludf.DUMMYFUNCTION("REGEXREPLACE(R1,""(.{135})(.*)"",""$2"")"),"[Hemo/pneumothroax]")</f>
        <v>[Hemo/pneumothroax]</v>
      </c>
      <c r="S11" s="6" t="str">
        <f>IFERROR(__xludf.DUMMYFUNCTION("REGEXREPLACE(S1,""(.{135})(.*)"",""$2"")"),"[Medically significant abdominal organ injury]")</f>
        <v>[Medically significant abdominal organ injury]</v>
      </c>
      <c r="T11" s="6" t="str">
        <f>IFERROR(__xludf.DUMMYFUNCTION("REGEXREPLACE(T1,""(.{135})(.*)"",""$2"")"),"[Cervical vertebral fracture, noncompression]")</f>
        <v>[Cervical vertebral fracture, noncompression]</v>
      </c>
      <c r="U11" s="6" t="str">
        <f>IFERROR(__xludf.DUMMYFUNCTION("REGEXREPLACE(U1,""(.{135})(.*)"",""$2"")"),"[Thoracic vertebral fracture, noncompression]")</f>
        <v>[Thoracic vertebral fracture, noncompression]</v>
      </c>
      <c r="V11" s="6" t="str">
        <f>IFERROR(__xludf.DUMMYFUNCTION("REGEXREPLACE(V1,""(.{135})(.*)"",""$2"")"),"[Lumbar vertebral fracture, noncompression]")</f>
        <v>[Lumbar vertebral fracture, noncompression]</v>
      </c>
      <c r="W11" s="6" t="str">
        <f>IFERROR(__xludf.DUMMYFUNCTION("REGEXREPLACE(W1,""(.{135})(.*)"",""$2"")"),"[Any vertebral compression fracture]")</f>
        <v>[Any vertebral compression fracture]</v>
      </c>
      <c r="X11" s="6" t="str">
        <f>IFERROR(__xludf.DUMMYFUNCTION("REGEXREPLACE(X1,""(.{135})(.*)"",""$2"")"),"[Sacral fracture]")</f>
        <v>[Sacral fracture]</v>
      </c>
      <c r="Y11" s="6" t="str">
        <f>IFERROR(__xludf.DUMMYFUNCTION("REGEXREPLACE(Y1,""(.{135})(.*)"",""$2"")"),"[Pelvic fracture]")</f>
        <v>[Pelvic fracture]</v>
      </c>
      <c r="Z11" s="6" t="str">
        <f>IFERROR(__xludf.DUMMYFUNCTION("REGEXREPLACE(Z1,""(.{135})(.*)"",""$2"")"),"[Hip dislocation]")</f>
        <v>[Hip dislocation]</v>
      </c>
      <c r="AA11" s="6" t="str">
        <f>IFERROR(__xludf.DUMMYFUNCTION("REGEXREPLACE(AA1,""(.{135})(.*)"",""$2"")"),"[Hip fracture (native joint)]")</f>
        <v>[Hip fracture (native joint)]</v>
      </c>
      <c r="AB11" s="6" t="str">
        <f>IFERROR(__xludf.DUMMYFUNCTION("REGEXREPLACE(AB1,""(.{135})(.*)"",""$2"")"),"[Hip fracture (artificial joint)]")</f>
        <v>[Hip fracture (artificial joint)]</v>
      </c>
      <c r="AC11" s="6" t="str">
        <f>IFERROR(__xludf.DUMMYFUNCTION("REGEXREPLACE(AC1,""(.{135})(.*)"",""$2"")"),"[Femur fracture]")</f>
        <v>[Femur fracture]</v>
      </c>
      <c r="AD11" s="6" t="str">
        <f>IFERROR(__xludf.DUMMYFUNCTION("REGEXREPLACE(AD1,""(.{135})(.*)"",""$2"")"),"[Tibia fracture]")</f>
        <v>[Tibia fracture]</v>
      </c>
      <c r="AE11" s="6" t="str">
        <f>IFERROR(__xludf.DUMMYFUNCTION("REGEXREPLACE(AE1,""(.{135})(.*)"",""$2"")"),"[Fibula fracture]")</f>
        <v>[Fibula fracture]</v>
      </c>
      <c r="AF11" s="6" t="str">
        <f>IFERROR(__xludf.DUMMYFUNCTION("REGEXREPLACE(AF1,""(.{135})(.*)"",""$2"")"),"[Foot fracture]")</f>
        <v>[Foot fracture]</v>
      </c>
      <c r="AG11" s="6" t="str">
        <f>IFERROR(__xludf.DUMMYFUNCTION("REGEXREPLACE(AG1,""(.{135})(.*)"",""$2"")"),"[Ankle dislocation]")</f>
        <v>[Ankle dislocation]</v>
      </c>
      <c r="AH11" s="6" t="str">
        <f>IFERROR(__xludf.DUMMYFUNCTION("REGEXREPLACE(AH1,""(.{118})(.*)"",""$2"")")," [Fall energy (did the patient fall off a ladder or was it ground level)?]")</f>
        <v> [Fall energy (did the patient fall off a ladder or was it ground level)?]</v>
      </c>
      <c r="AI11" s="6" t="str">
        <f>IFERROR(__xludf.DUMMYFUNCTION("REGEXREPLACE(AI1,""(.{118})(.*)"",""$2"")")," [Intoxication, inappropriate medication, or overmedication which might impair judgement, coordiantion, or perception]")</f>
        <v> [Intoxication, inappropriate medication, or overmedication which might impair judgement, coordiantion, or perception]</v>
      </c>
      <c r="AJ11" s="6" t="str">
        <f>IFERROR(__xludf.DUMMYFUNCTION("REGEXREPLACE(AJ1,""(.{118})(.*)"",""$2"")")," [Fragility]")</f>
        <v> [Fragility]</v>
      </c>
      <c r="AK11" s="6" t="str">
        <f>IFERROR(__xludf.DUMMYFUNCTION("REGEXREPLACE(AK1,""(.{118})(.*)"",""$2"")")," [Unfamiliar activity]")</f>
        <v> [Unfamiliar activity]</v>
      </c>
      <c r="AL11" s="6" t="str">
        <f>IFERROR(__xludf.DUMMYFUNCTION("REGEXREPLACE(AL1,""(.{118})(.*)"",""$2"")")," [Medical conditions affecting cognition]")</f>
        <v> [Medical conditions affecting cognition]</v>
      </c>
      <c r="AM11" s="6" t="str">
        <f>IFERROR(__xludf.DUMMYFUNCTION("REGEXREPLACE(AM1,""(.{118})(.*)"",""$2"")")," [Environmental factors (rugs, grab bars)]")</f>
        <v> [Environmental factors (rugs, grab bars)]</v>
      </c>
      <c r="AN11" s="6" t="str">
        <f>IFERROR(__xludf.DUMMYFUNCTION("REGEXREPLACE(AN1,""(.{118})(.*)"",""$2"")")," [Age, irrespective of other factors]")</f>
        <v> [Age, irrespective of other factors]</v>
      </c>
      <c r="AO11" s="6" t="str">
        <f>IFERROR(__xludf.DUMMYFUNCTION("REGEXREPLACE(AO1,""(.{118})(.*)"",""$2"")")," [Distraction]")</f>
        <v> [Distraction]</v>
      </c>
      <c r="AP11" s="6" t="str">
        <f>IFERROR(__xludf.DUMMYFUNCTION("REGEXREPLACE(AP1,""(.{118})(.*)"",""$2"")")," [Medical conditions affecting stability/balance]")</f>
        <v> [Medical conditions affecting stability/balance]</v>
      </c>
      <c r="AQ11" s="6" t="str">
        <f>IFERROR(__xludf.DUMMYFUNCTION("REGEXREPLACE(AQ1,""(.{118})(.*)"",""$2"")")," [Cardiac and neurovascular conditions affecting consciousness (e.g. postural hypotension, syncope)]")</f>
        <v> [Cardiac and neurovascular conditions affecting consciousness (e.g. postural hypotension, syncope)]</v>
      </c>
      <c r="AR11" s="6" t="str">
        <f t="shared" ref="AR11:AT11" si="2">AR1</f>
        <v>Which fabulous gift would you like?</v>
      </c>
      <c r="AS11" s="6" t="str">
        <f t="shared" si="2"/>
        <v>Some people may be required to report gifts or honoraria above a certain value. Would you prefer your gift fall below a certain dollar amount?</v>
      </c>
      <c r="AT11" s="6" t="str">
        <f t="shared" si="2"/>
        <v>Where can we send your gift?</v>
      </c>
      <c r="AU11" s="6"/>
      <c r="AV11" s="6"/>
      <c r="AW11" s="6"/>
      <c r="AX11" s="6"/>
      <c r="AY11" s="6"/>
      <c r="AZ11" s="6"/>
    </row>
    <row r="12">
      <c r="B12" s="4" t="str">
        <f t="shared" ref="B12:D12" si="3">B2</f>
        <v>justin.itty.mathew@gmail.com</v>
      </c>
      <c r="C12" s="4" t="str">
        <f t="shared" si="3"/>
        <v>Itty Mathew, MD</v>
      </c>
      <c r="D12" s="4" t="str">
        <f t="shared" si="3"/>
        <v>Emergency Medicine</v>
      </c>
      <c r="E12" s="4">
        <f>VLOOKUP(E2,'Form response recoding'!$A$2:$B$5,2,0)</f>
        <v>1</v>
      </c>
      <c r="F12" s="4">
        <f>VLOOKUP(F2,'Form response recoding'!$A$2:$B$5,2,0)</f>
        <v>3</v>
      </c>
      <c r="G12" s="4">
        <f>VLOOKUP(G2,'Form response recoding'!$A$2:$B$5,2,0)</f>
        <v>2</v>
      </c>
      <c r="H12" s="4">
        <f>VLOOKUP(H2,'Form response recoding'!$A$2:$B$5,2,0)</f>
        <v>2</v>
      </c>
      <c r="I12" s="4">
        <f>VLOOKUP(I2,'Form response recoding'!$A$2:$B$5,2,0)</f>
        <v>3</v>
      </c>
      <c r="J12" s="4">
        <f>VLOOKUP(J2,'Form response recoding'!$A$2:$B$5,2,0)</f>
        <v>1</v>
      </c>
      <c r="K12" s="4">
        <f>VLOOKUP(K2,'Form response recoding'!$A$2:$B$5,2,0)</f>
        <v>1</v>
      </c>
      <c r="L12" s="4">
        <f>VLOOKUP(L2,'Form response recoding'!$A$2:$B$5,2,0)</f>
        <v>2</v>
      </c>
      <c r="M12" s="4">
        <f>VLOOKUP(M2,'Form response recoding'!$A$2:$B$5,2,0)</f>
        <v>2</v>
      </c>
      <c r="N12" s="4">
        <f>VLOOKUP(N2,'Form response recoding'!$A$2:$B$5,2,0)</f>
        <v>2</v>
      </c>
      <c r="O12" s="4">
        <f>VLOOKUP(O2,'Form response recoding'!$A$2:$B$5,2,0)</f>
        <v>1</v>
      </c>
      <c r="P12" s="4">
        <f>VLOOKUP(P2,'Form response recoding'!$A$2:$B$5,2,0)</f>
        <v>1</v>
      </c>
      <c r="Q12" s="4">
        <f>VLOOKUP(Q2,'Form response recoding'!$A$2:$B$5,2,0)</f>
        <v>3</v>
      </c>
      <c r="R12" s="4">
        <f>VLOOKUP(R2,'Form response recoding'!$A$2:$B$5,2,0)</f>
        <v>3</v>
      </c>
      <c r="S12" s="4">
        <f>VLOOKUP(S2,'Form response recoding'!$A$2:$B$5,2,0)</f>
        <v>2</v>
      </c>
      <c r="T12" s="4">
        <f>VLOOKUP(T2,'Form response recoding'!$A$2:$B$5,2,0)</f>
        <v>2</v>
      </c>
      <c r="U12" s="4">
        <f>VLOOKUP(U2,'Form response recoding'!$A$2:$B$5,2,0)</f>
        <v>2</v>
      </c>
      <c r="V12" s="4">
        <f>VLOOKUP(V2,'Form response recoding'!$A$2:$B$5,2,0)</f>
        <v>2</v>
      </c>
      <c r="W12" s="4">
        <f>VLOOKUP(W2,'Form response recoding'!$A$2:$B$5,2,0)</f>
        <v>3</v>
      </c>
      <c r="X12" s="4">
        <f>VLOOKUP(X2,'Form response recoding'!$A$2:$B$5,2,0)</f>
        <v>3</v>
      </c>
      <c r="Y12" s="4">
        <f>VLOOKUP(Y2,'Form response recoding'!$A$2:$B$5,2,0)</f>
        <v>3</v>
      </c>
      <c r="Z12" s="4">
        <f>VLOOKUP(Z2,'Form response recoding'!$A$2:$B$5,2,0)</f>
        <v>1</v>
      </c>
      <c r="AA12" s="4">
        <f>VLOOKUP(AA2,'Form response recoding'!$A$2:$B$5,2,0)</f>
        <v>3</v>
      </c>
      <c r="AB12" s="4">
        <f>VLOOKUP(AB2,'Form response recoding'!$A$2:$B$5,2,0)</f>
        <v>3</v>
      </c>
      <c r="AC12" s="4">
        <f>VLOOKUP(AC2,'Form response recoding'!$A$2:$B$5,2,0)</f>
        <v>3</v>
      </c>
      <c r="AD12" s="4">
        <f>VLOOKUP(AD2,'Form response recoding'!$A$2:$B$5,2,0)</f>
        <v>1</v>
      </c>
      <c r="AE12" s="4">
        <f>VLOOKUP(AE2,'Form response recoding'!$A$2:$B$5,2,0)</f>
        <v>1</v>
      </c>
      <c r="AF12" s="4">
        <f>VLOOKUP(AF2,'Form response recoding'!$A$2:$B$5,2,0)</f>
        <v>1</v>
      </c>
      <c r="AG12" s="4">
        <f>VLOOKUP(AG2,'Form response recoding'!$A$2:$B$5,2,0)</f>
        <v>1</v>
      </c>
      <c r="AH12" s="7">
        <f t="shared" ref="AH12:AQ12" si="4">IFERROR(IF(SEARCH(":", AH2), Left(AH2,find(":",AH2)-1)*1),AH2)</f>
        <v>1</v>
      </c>
      <c r="AI12" s="7">
        <f t="shared" si="4"/>
        <v>4</v>
      </c>
      <c r="AJ12" s="7">
        <f t="shared" si="4"/>
        <v>2</v>
      </c>
      <c r="AK12" s="7">
        <f t="shared" si="4"/>
        <v>5</v>
      </c>
      <c r="AL12" s="7">
        <f t="shared" si="4"/>
        <v>7</v>
      </c>
      <c r="AM12" s="7">
        <f t="shared" si="4"/>
        <v>6</v>
      </c>
      <c r="AN12" s="7">
        <f t="shared" si="4"/>
        <v>3</v>
      </c>
      <c r="AO12" s="7">
        <f t="shared" si="4"/>
        <v>8</v>
      </c>
      <c r="AP12" s="7">
        <f t="shared" si="4"/>
        <v>4</v>
      </c>
      <c r="AQ12" s="7">
        <f t="shared" si="4"/>
        <v>8</v>
      </c>
      <c r="AR12" s="4" t="str">
        <f t="shared" ref="AR12:AT12" si="5">AR2</f>
        <v>Starbucks Gift Card</v>
      </c>
      <c r="AS12" s="4" t="str">
        <f t="shared" si="5"/>
        <v>It can be any amount</v>
      </c>
      <c r="AT12" s="4" t="str">
        <f t="shared" si="5"/>
        <v>Itty Mathew, 901 State Highway 165, Placitas, NM, 87043</v>
      </c>
    </row>
    <row r="13">
      <c r="B13" s="4" t="str">
        <f t="shared" ref="B13:D13" si="6">B3</f>
        <v>swendseid.brian@gmail.com</v>
      </c>
      <c r="C13" s="4" t="str">
        <f t="shared" si="6"/>
        <v>Brian swendseid</v>
      </c>
      <c r="D13" s="4" t="str">
        <f t="shared" si="6"/>
        <v>Otolaryngology </v>
      </c>
      <c r="E13" s="4">
        <f>VLOOKUP(E3,'Form response recoding'!$A$2:$B$5,2,0)</f>
        <v>2</v>
      </c>
      <c r="F13" s="4">
        <f>VLOOKUP(F3,'Form response recoding'!$A$2:$B$5,2,0)</f>
        <v>3</v>
      </c>
      <c r="G13" s="4">
        <f>VLOOKUP(G3,'Form response recoding'!$A$2:$B$5,2,0)</f>
        <v>2</v>
      </c>
      <c r="H13" s="4">
        <f>VLOOKUP(H3,'Form response recoding'!$A$2:$B$5,2,0)</f>
        <v>3</v>
      </c>
      <c r="I13" s="4">
        <f>VLOOKUP(I3,'Form response recoding'!$A$2:$B$5,2,0)</f>
        <v>3</v>
      </c>
      <c r="J13" s="4">
        <f>VLOOKUP(J3,'Form response recoding'!$A$2:$B$5,2,0)</f>
        <v>2</v>
      </c>
      <c r="K13" s="4">
        <f>VLOOKUP(K3,'Form response recoding'!$A$2:$B$5,2,0)</f>
        <v>2</v>
      </c>
      <c r="L13" s="4">
        <f>VLOOKUP(L3,'Form response recoding'!$A$2:$B$5,2,0)</f>
        <v>2</v>
      </c>
      <c r="M13" s="4">
        <f>VLOOKUP(M3,'Form response recoding'!$A$2:$B$5,2,0)</f>
        <v>2</v>
      </c>
      <c r="N13" s="4">
        <f>VLOOKUP(N3,'Form response recoding'!$A$2:$B$5,2,0)</f>
        <v>2</v>
      </c>
      <c r="O13" s="4">
        <f>VLOOKUP(O3,'Form response recoding'!$A$2:$B$5,2,0)</f>
        <v>2</v>
      </c>
      <c r="P13" s="4">
        <f>VLOOKUP(P3,'Form response recoding'!$A$2:$B$5,2,0)</f>
        <v>2</v>
      </c>
      <c r="Q13" s="4">
        <f>VLOOKUP(Q3,'Form response recoding'!$A$2:$B$5,2,0)</f>
        <v>3</v>
      </c>
      <c r="R13" s="4">
        <f>VLOOKUP(R3,'Form response recoding'!$A$2:$B$5,2,0)</f>
        <v>2</v>
      </c>
      <c r="S13" s="4">
        <f>VLOOKUP(S3,'Form response recoding'!$A$2:$B$5,2,0)</f>
        <v>2</v>
      </c>
      <c r="T13" s="4">
        <f>VLOOKUP(T3,'Form response recoding'!$A$2:$B$5,2,0)</f>
        <v>2</v>
      </c>
      <c r="U13" s="4">
        <f>VLOOKUP(U3,'Form response recoding'!$A$2:$B$5,2,0)</f>
        <v>2</v>
      </c>
      <c r="V13" s="4">
        <f>VLOOKUP(V3,'Form response recoding'!$A$2:$B$5,2,0)</f>
        <v>2</v>
      </c>
      <c r="W13" s="4">
        <f>VLOOKUP(W3,'Form response recoding'!$A$2:$B$5,2,0)</f>
        <v>2</v>
      </c>
      <c r="X13" s="4">
        <f>VLOOKUP(X3,'Form response recoding'!$A$2:$B$5,2,0)</f>
        <v>2</v>
      </c>
      <c r="Y13" s="4">
        <f>VLOOKUP(Y3,'Form response recoding'!$A$2:$B$5,2,0)</f>
        <v>3</v>
      </c>
      <c r="Z13" s="4">
        <f>VLOOKUP(Z3,'Form response recoding'!$A$2:$B$5,2,0)</f>
        <v>2</v>
      </c>
      <c r="AA13" s="4">
        <f>VLOOKUP(AA3,'Form response recoding'!$A$2:$B$5,2,0)</f>
        <v>2</v>
      </c>
      <c r="AB13" s="4">
        <f>VLOOKUP(AB3,'Form response recoding'!$A$2:$B$5,2,0)</f>
        <v>2</v>
      </c>
      <c r="AC13" s="4">
        <f>VLOOKUP(AC3,'Form response recoding'!$A$2:$B$5,2,0)</f>
        <v>2</v>
      </c>
      <c r="AD13" s="4">
        <f>VLOOKUP(AD3,'Form response recoding'!$A$2:$B$5,2,0)</f>
        <v>2</v>
      </c>
      <c r="AE13" s="4">
        <f>VLOOKUP(AE3,'Form response recoding'!$A$2:$B$5,2,0)</f>
        <v>2</v>
      </c>
      <c r="AF13" s="4">
        <f>VLOOKUP(AF3,'Form response recoding'!$A$2:$B$5,2,0)</f>
        <v>2</v>
      </c>
      <c r="AG13" s="4">
        <f>VLOOKUP(AG3,'Form response recoding'!$A$2:$B$5,2,0)</f>
        <v>2</v>
      </c>
      <c r="AH13" s="7">
        <f t="shared" ref="AH13:AQ13" si="7">IFERROR(IF(SEARCH(":", AH3), Left(AH3,find(":",AH3)-1)*1),AH3)</f>
        <v>3</v>
      </c>
      <c r="AI13" s="7">
        <f t="shared" si="7"/>
        <v>4</v>
      </c>
      <c r="AJ13" s="7">
        <f t="shared" si="7"/>
        <v>3</v>
      </c>
      <c r="AK13" s="7">
        <f t="shared" si="7"/>
        <v>5</v>
      </c>
      <c r="AL13" s="7">
        <f t="shared" si="7"/>
        <v>4</v>
      </c>
      <c r="AM13" s="7">
        <f t="shared" si="7"/>
        <v>4</v>
      </c>
      <c r="AN13" s="7">
        <f t="shared" si="7"/>
        <v>6</v>
      </c>
      <c r="AO13" s="7">
        <f t="shared" si="7"/>
        <v>5</v>
      </c>
      <c r="AP13" s="7">
        <f t="shared" si="7"/>
        <v>4</v>
      </c>
      <c r="AQ13" s="7">
        <f t="shared" si="7"/>
        <v>4</v>
      </c>
      <c r="AR13" s="4" t="str">
        <f t="shared" ref="AR13:AT13" si="8">AR3</f>
        <v>Edible Arrangement</v>
      </c>
      <c r="AS13" s="4" t="str">
        <f t="shared" si="8"/>
        <v>No</v>
      </c>
      <c r="AT13" s="4" t="str">
        <f t="shared" si="8"/>
        <v>244 Ogden ave Swarthmore PA 19081</v>
      </c>
    </row>
    <row r="14">
      <c r="B14" s="4" t="str">
        <f t="shared" ref="B14:D14" si="9">B4</f>
        <v>bkuhns87@gmail.com</v>
      </c>
      <c r="C14" s="4" t="str">
        <f t="shared" si="9"/>
        <v>Ben Kuhns</v>
      </c>
      <c r="D14" s="4" t="str">
        <f t="shared" si="9"/>
        <v>Orthopedic Surgery </v>
      </c>
      <c r="E14" s="4">
        <f>VLOOKUP(E4,'Form response recoding'!$A$2:$B$5,2,0)</f>
        <v>2</v>
      </c>
      <c r="F14" s="4">
        <f>VLOOKUP(F4,'Form response recoding'!$A$2:$B$5,2,0)</f>
        <v>2</v>
      </c>
      <c r="G14" s="4">
        <f>VLOOKUP(G4,'Form response recoding'!$A$2:$B$5,2,0)</f>
        <v>3</v>
      </c>
      <c r="H14" s="4">
        <f>VLOOKUP(H4,'Form response recoding'!$A$2:$B$5,2,0)</f>
        <v>1</v>
      </c>
      <c r="I14" s="4">
        <f>VLOOKUP(I4,'Form response recoding'!$A$2:$B$5,2,0)</f>
        <v>2</v>
      </c>
      <c r="J14" s="4">
        <f>VLOOKUP(J4,'Form response recoding'!$A$2:$B$5,2,0)</f>
        <v>3</v>
      </c>
      <c r="K14" s="4">
        <f>VLOOKUP(K4,'Form response recoding'!$A$2:$B$5,2,0)</f>
        <v>1</v>
      </c>
      <c r="L14" s="4">
        <f>VLOOKUP(L4,'Form response recoding'!$A$2:$B$5,2,0)</f>
        <v>3</v>
      </c>
      <c r="M14" s="4">
        <f>VLOOKUP(M4,'Form response recoding'!$A$2:$B$5,2,0)</f>
        <v>4</v>
      </c>
      <c r="N14" s="4">
        <f>VLOOKUP(N4,'Form response recoding'!$A$2:$B$5,2,0)</f>
        <v>3</v>
      </c>
      <c r="O14" s="4">
        <f>VLOOKUP(O4,'Form response recoding'!$A$2:$B$5,2,0)</f>
        <v>2</v>
      </c>
      <c r="P14" s="4">
        <f>VLOOKUP(P4,'Form response recoding'!$A$2:$B$5,2,0)</f>
        <v>2</v>
      </c>
      <c r="Q14" s="4">
        <f>VLOOKUP(Q4,'Form response recoding'!$A$2:$B$5,2,0)</f>
        <v>3</v>
      </c>
      <c r="R14" s="4">
        <f>VLOOKUP(R4,'Form response recoding'!$A$2:$B$5,2,0)</f>
        <v>3</v>
      </c>
      <c r="S14" s="4">
        <f>VLOOKUP(S4,'Form response recoding'!$A$2:$B$5,2,0)</f>
        <v>3</v>
      </c>
      <c r="T14" s="4">
        <f>VLOOKUP(T4,'Form response recoding'!$A$2:$B$5,2,0)</f>
        <v>3</v>
      </c>
      <c r="U14" s="4">
        <f>VLOOKUP(U4,'Form response recoding'!$A$2:$B$5,2,0)</f>
        <v>4</v>
      </c>
      <c r="V14" s="4">
        <f>VLOOKUP(V4,'Form response recoding'!$A$2:$B$5,2,0)</f>
        <v>4</v>
      </c>
      <c r="W14" s="4">
        <f>VLOOKUP(W4,'Form response recoding'!$A$2:$B$5,2,0)</f>
        <v>3</v>
      </c>
      <c r="X14" s="4">
        <f>VLOOKUP(X4,'Form response recoding'!$A$2:$B$5,2,0)</f>
        <v>3</v>
      </c>
      <c r="Y14" s="4">
        <f>VLOOKUP(Y4,'Form response recoding'!$A$2:$B$5,2,0)</f>
        <v>4</v>
      </c>
      <c r="Z14" s="4">
        <f>VLOOKUP(Z4,'Form response recoding'!$A$2:$B$5,2,0)</f>
        <v>2</v>
      </c>
      <c r="AA14" s="4">
        <f>VLOOKUP(AA4,'Form response recoding'!$A$2:$B$5,2,0)</f>
        <v>4</v>
      </c>
      <c r="AB14" s="4">
        <f>VLOOKUP(AB4,'Form response recoding'!$A$2:$B$5,2,0)</f>
        <v>3</v>
      </c>
      <c r="AC14" s="4">
        <f>VLOOKUP(AC4,'Form response recoding'!$A$2:$B$5,2,0)</f>
        <v>3</v>
      </c>
      <c r="AD14" s="4">
        <f>VLOOKUP(AD4,'Form response recoding'!$A$2:$B$5,2,0)</f>
        <v>3</v>
      </c>
      <c r="AE14" s="4">
        <f>VLOOKUP(AE4,'Form response recoding'!$A$2:$B$5,2,0)</f>
        <v>3</v>
      </c>
      <c r="AF14" s="4">
        <f>VLOOKUP(AF4,'Form response recoding'!$A$2:$B$5,2,0)</f>
        <v>3</v>
      </c>
      <c r="AG14" s="4">
        <f>VLOOKUP(AG4,'Form response recoding'!$A$2:$B$5,2,0)</f>
        <v>1</v>
      </c>
      <c r="AH14" s="7">
        <f t="shared" ref="AH14:AQ14" si="10">IFERROR(IF(SEARCH(":", AH4), Left(AH4,find(":",AH4)-1)*1),AH4)</f>
        <v>1</v>
      </c>
      <c r="AI14" s="7">
        <f t="shared" si="10"/>
        <v>5</v>
      </c>
      <c r="AJ14" s="7">
        <f t="shared" si="10"/>
        <v>2</v>
      </c>
      <c r="AK14" s="7">
        <f t="shared" si="10"/>
        <v>9</v>
      </c>
      <c r="AL14" s="7">
        <f t="shared" si="10"/>
        <v>8</v>
      </c>
      <c r="AM14" s="7">
        <f t="shared" si="10"/>
        <v>6</v>
      </c>
      <c r="AN14" s="7">
        <f t="shared" si="10"/>
        <v>10</v>
      </c>
      <c r="AO14" s="7">
        <f t="shared" si="10"/>
        <v>7</v>
      </c>
      <c r="AP14" s="7">
        <f t="shared" si="10"/>
        <v>4</v>
      </c>
      <c r="AQ14" s="7">
        <f t="shared" si="10"/>
        <v>3</v>
      </c>
      <c r="AR14" s="4" t="str">
        <f t="shared" ref="AR14:AT14" si="11">AR4</f>
        <v>6 Pack of Bud Heavy</v>
      </c>
      <c r="AS14" s="4" t="str">
        <f t="shared" si="11"/>
        <v>No amount</v>
      </c>
      <c r="AT14" s="4" t="str">
        <f t="shared" si="11"/>
        <v>2130 Middlefork Road Northfield Illinois 60093</v>
      </c>
    </row>
    <row r="15">
      <c r="B15" s="4" t="str">
        <f t="shared" ref="B15:D15" si="12">B5</f>
        <v>djbonda@gmail.com</v>
      </c>
      <c r="C15" s="4" t="str">
        <f t="shared" si="12"/>
        <v>David Bonda</v>
      </c>
      <c r="D15" s="4" t="str">
        <f t="shared" si="12"/>
        <v>Neurosurgery</v>
      </c>
      <c r="E15" s="4">
        <f>VLOOKUP(E5,'Form response recoding'!$A$2:$B$5,2,0)</f>
        <v>2</v>
      </c>
      <c r="F15" s="4">
        <f>VLOOKUP(F5,'Form response recoding'!$A$2:$B$5,2,0)</f>
        <v>2</v>
      </c>
      <c r="G15" s="4">
        <f>VLOOKUP(G5,'Form response recoding'!$A$2:$B$5,2,0)</f>
        <v>1</v>
      </c>
      <c r="H15" s="4">
        <f>VLOOKUP(H5,'Form response recoding'!$A$2:$B$5,2,0)</f>
        <v>1</v>
      </c>
      <c r="I15" s="4">
        <f>VLOOKUP(I5,'Form response recoding'!$A$2:$B$5,2,0)</f>
        <v>2</v>
      </c>
      <c r="J15" s="4">
        <f>VLOOKUP(J5,'Form response recoding'!$A$2:$B$5,2,0)</f>
        <v>3</v>
      </c>
      <c r="K15" s="4">
        <f>VLOOKUP(K5,'Form response recoding'!$A$2:$B$5,2,0)</f>
        <v>3</v>
      </c>
      <c r="L15" s="4">
        <f>VLOOKUP(L5,'Form response recoding'!$A$2:$B$5,2,0)</f>
        <v>4</v>
      </c>
      <c r="M15" s="4">
        <f>VLOOKUP(M5,'Form response recoding'!$A$2:$B$5,2,0)</f>
        <v>3</v>
      </c>
      <c r="N15" s="4">
        <f>VLOOKUP(N5,'Form response recoding'!$A$2:$B$5,2,0)</f>
        <v>3</v>
      </c>
      <c r="O15" s="4">
        <f>VLOOKUP(O5,'Form response recoding'!$A$2:$B$5,2,0)</f>
        <v>2</v>
      </c>
      <c r="P15" s="4">
        <f>VLOOKUP(P5,'Form response recoding'!$A$2:$B$5,2,0)</f>
        <v>3</v>
      </c>
      <c r="Q15" s="4">
        <f>VLOOKUP(Q5,'Form response recoding'!$A$2:$B$5,2,0)</f>
        <v>3</v>
      </c>
      <c r="R15" s="4">
        <f>VLOOKUP(R5,'Form response recoding'!$A$2:$B$5,2,0)</f>
        <v>3</v>
      </c>
      <c r="S15" s="4">
        <f>VLOOKUP(S5,'Form response recoding'!$A$2:$B$5,2,0)</f>
        <v>4</v>
      </c>
      <c r="T15" s="4">
        <f>VLOOKUP(T5,'Form response recoding'!$A$2:$B$5,2,0)</f>
        <v>4</v>
      </c>
      <c r="U15" s="4">
        <f>VLOOKUP(U5,'Form response recoding'!$A$2:$B$5,2,0)</f>
        <v>4</v>
      </c>
      <c r="V15" s="4">
        <f>VLOOKUP(V5,'Form response recoding'!$A$2:$B$5,2,0)</f>
        <v>4</v>
      </c>
      <c r="W15" s="4">
        <f>VLOOKUP(W5,'Form response recoding'!$A$2:$B$5,2,0)</f>
        <v>3</v>
      </c>
      <c r="X15" s="4">
        <f>VLOOKUP(X5,'Form response recoding'!$A$2:$B$5,2,0)</f>
        <v>3</v>
      </c>
      <c r="Y15" s="4">
        <f>VLOOKUP(Y5,'Form response recoding'!$A$2:$B$5,2,0)</f>
        <v>4</v>
      </c>
      <c r="Z15" s="4">
        <f>VLOOKUP(Z5,'Form response recoding'!$A$2:$B$5,2,0)</f>
        <v>3</v>
      </c>
      <c r="AA15" s="4">
        <f>VLOOKUP(AA5,'Form response recoding'!$A$2:$B$5,2,0)</f>
        <v>3</v>
      </c>
      <c r="AB15" s="4">
        <f>VLOOKUP(AB5,'Form response recoding'!$A$2:$B$5,2,0)</f>
        <v>3</v>
      </c>
      <c r="AC15" s="4">
        <f>VLOOKUP(AC5,'Form response recoding'!$A$2:$B$5,2,0)</f>
        <v>4</v>
      </c>
      <c r="AD15" s="4">
        <f>VLOOKUP(AD5,'Form response recoding'!$A$2:$B$5,2,0)</f>
        <v>4</v>
      </c>
      <c r="AE15" s="4">
        <f>VLOOKUP(AE5,'Form response recoding'!$A$2:$B$5,2,0)</f>
        <v>3</v>
      </c>
      <c r="AF15" s="4">
        <f>VLOOKUP(AF5,'Form response recoding'!$A$2:$B$5,2,0)</f>
        <v>3</v>
      </c>
      <c r="AG15" s="4">
        <f>VLOOKUP(AG5,'Form response recoding'!$A$2:$B$5,2,0)</f>
        <v>2</v>
      </c>
      <c r="AH15" s="7">
        <f t="shared" ref="AH15:AQ15" si="13">IFERROR(IF(SEARCH(":", AH5), Left(AH5,find(":",AH5)-1)*1),AH5)</f>
        <v>1</v>
      </c>
      <c r="AI15" s="7">
        <f t="shared" si="13"/>
        <v>3</v>
      </c>
      <c r="AJ15" s="7">
        <f t="shared" si="13"/>
        <v>2</v>
      </c>
      <c r="AK15" s="7">
        <f t="shared" si="13"/>
        <v>8</v>
      </c>
      <c r="AL15" s="7">
        <f t="shared" si="13"/>
        <v>5</v>
      </c>
      <c r="AM15" s="7">
        <f t="shared" si="13"/>
        <v>5</v>
      </c>
      <c r="AN15" s="7">
        <f t="shared" si="13"/>
        <v>4</v>
      </c>
      <c r="AO15" s="7">
        <f t="shared" si="13"/>
        <v>7</v>
      </c>
      <c r="AP15" s="7">
        <f t="shared" si="13"/>
        <v>6</v>
      </c>
      <c r="AQ15" s="7">
        <f t="shared" si="13"/>
        <v>7</v>
      </c>
      <c r="AR15" s="4" t="str">
        <f t="shared" ref="AR15:AT15" si="14">AR5</f>
        <v>No gift, thank you!</v>
      </c>
      <c r="AS15" s="4" t="str">
        <f t="shared" si="14"/>
        <v>one million dollars</v>
      </c>
      <c r="AT15" s="4" t="str">
        <f t="shared" si="14"/>
        <v>to the charity of your choice</v>
      </c>
    </row>
    <row r="16">
      <c r="B16" s="4" t="str">
        <f t="shared" ref="B16:D16" si="15">B6</f>
        <v>adam.starr@cuanschutz.edu</v>
      </c>
      <c r="C16" s="4" t="str">
        <f t="shared" si="15"/>
        <v>Adam Starr</v>
      </c>
      <c r="D16" s="4" t="str">
        <f t="shared" si="15"/>
        <v>Hospital Medicine</v>
      </c>
      <c r="E16" s="4">
        <f>VLOOKUP(E6,'Form response recoding'!$A$2:$B$5,2,0)</f>
        <v>3</v>
      </c>
      <c r="F16" s="4">
        <f>VLOOKUP(F6,'Form response recoding'!$A$2:$B$5,2,0)</f>
        <v>4</v>
      </c>
      <c r="G16" s="4">
        <f>VLOOKUP(G6,'Form response recoding'!$A$2:$B$5,2,0)</f>
        <v>3</v>
      </c>
      <c r="H16" s="4">
        <f>VLOOKUP(H6,'Form response recoding'!$A$2:$B$5,2,0)</f>
        <v>3</v>
      </c>
      <c r="I16" s="4">
        <f>VLOOKUP(I6,'Form response recoding'!$A$2:$B$5,2,0)</f>
        <v>3</v>
      </c>
      <c r="J16" s="4">
        <f>VLOOKUP(J6,'Form response recoding'!$A$2:$B$5,2,0)</f>
        <v>3</v>
      </c>
      <c r="K16" s="4">
        <f>VLOOKUP(K6,'Form response recoding'!$A$2:$B$5,2,0)</f>
        <v>3</v>
      </c>
      <c r="L16" s="4">
        <f>VLOOKUP(L6,'Form response recoding'!$A$2:$B$5,2,0)</f>
        <v>3</v>
      </c>
      <c r="M16" s="4">
        <f>VLOOKUP(M6,'Form response recoding'!$A$2:$B$5,2,0)</f>
        <v>3</v>
      </c>
      <c r="N16" s="4">
        <f>VLOOKUP(N6,'Form response recoding'!$A$2:$B$5,2,0)</f>
        <v>3</v>
      </c>
      <c r="O16" s="4">
        <f>VLOOKUP(O6,'Form response recoding'!$A$2:$B$5,2,0)</f>
        <v>3</v>
      </c>
      <c r="P16" s="4">
        <f>VLOOKUP(P6,'Form response recoding'!$A$2:$B$5,2,0)</f>
        <v>3</v>
      </c>
      <c r="Q16" s="4">
        <f>VLOOKUP(Q6,'Form response recoding'!$A$2:$B$5,2,0)</f>
        <v>3</v>
      </c>
      <c r="R16" s="4">
        <f>VLOOKUP(R6,'Form response recoding'!$A$2:$B$5,2,0)</f>
        <v>3</v>
      </c>
      <c r="S16" s="4">
        <f>VLOOKUP(S6,'Form response recoding'!$A$2:$B$5,2,0)</f>
        <v>2</v>
      </c>
      <c r="T16" s="4">
        <f>VLOOKUP(T6,'Form response recoding'!$A$2:$B$5,2,0)</f>
        <v>3</v>
      </c>
      <c r="U16" s="4">
        <f>VLOOKUP(U6,'Form response recoding'!$A$2:$B$5,2,0)</f>
        <v>3</v>
      </c>
      <c r="V16" s="4">
        <f>VLOOKUP(V6,'Form response recoding'!$A$2:$B$5,2,0)</f>
        <v>3</v>
      </c>
      <c r="W16" s="4">
        <f>VLOOKUP(W6,'Form response recoding'!$A$2:$B$5,2,0)</f>
        <v>3</v>
      </c>
      <c r="X16" s="4">
        <f>VLOOKUP(X6,'Form response recoding'!$A$2:$B$5,2,0)</f>
        <v>4</v>
      </c>
      <c r="Y16" s="4">
        <f>VLOOKUP(Y6,'Form response recoding'!$A$2:$B$5,2,0)</f>
        <v>4</v>
      </c>
      <c r="Z16" s="4">
        <f>VLOOKUP(Z6,'Form response recoding'!$A$2:$B$5,2,0)</f>
        <v>4</v>
      </c>
      <c r="AA16" s="4">
        <f>VLOOKUP(AA6,'Form response recoding'!$A$2:$B$5,2,0)</f>
        <v>4</v>
      </c>
      <c r="AB16" s="4">
        <f>VLOOKUP(AB6,'Form response recoding'!$A$2:$B$5,2,0)</f>
        <v>4</v>
      </c>
      <c r="AC16" s="4">
        <f>VLOOKUP(AC6,'Form response recoding'!$A$2:$B$5,2,0)</f>
        <v>4</v>
      </c>
      <c r="AD16" s="4">
        <f>VLOOKUP(AD6,'Form response recoding'!$A$2:$B$5,2,0)</f>
        <v>4</v>
      </c>
      <c r="AE16" s="4">
        <f>VLOOKUP(AE6,'Form response recoding'!$A$2:$B$5,2,0)</f>
        <v>4</v>
      </c>
      <c r="AF16" s="4">
        <f>VLOOKUP(AF6,'Form response recoding'!$A$2:$B$5,2,0)</f>
        <v>3</v>
      </c>
      <c r="AG16" s="4">
        <f>VLOOKUP(AG6,'Form response recoding'!$A$2:$B$5,2,0)</f>
        <v>3</v>
      </c>
      <c r="AH16" s="7">
        <f t="shared" ref="AH16:AQ16" si="16">IFERROR(IF(SEARCH(":", AH6), Left(AH6,find(":",AH6)-1)*1),AH6)</f>
        <v>4</v>
      </c>
      <c r="AI16" s="7">
        <f t="shared" si="16"/>
        <v>3</v>
      </c>
      <c r="AJ16" s="7">
        <f t="shared" si="16"/>
        <v>2</v>
      </c>
      <c r="AK16" s="7">
        <f t="shared" si="16"/>
        <v>6</v>
      </c>
      <c r="AL16" s="7">
        <f t="shared" si="16"/>
        <v>5</v>
      </c>
      <c r="AM16" s="7">
        <f t="shared" si="16"/>
        <v>9</v>
      </c>
      <c r="AN16" s="7">
        <f t="shared" si="16"/>
        <v>8</v>
      </c>
      <c r="AO16" s="7">
        <f t="shared" si="16"/>
        <v>10</v>
      </c>
      <c r="AP16" s="7">
        <f t="shared" si="16"/>
        <v>7</v>
      </c>
      <c r="AQ16" s="7">
        <f t="shared" si="16"/>
        <v>1</v>
      </c>
      <c r="AR16" s="4" t="str">
        <f t="shared" ref="AR16:AT16" si="17">AR6</f>
        <v>Starbucks Gift Card</v>
      </c>
      <c r="AS16" s="4" t="str">
        <f t="shared" si="17"/>
        <v>n/a</v>
      </c>
      <c r="AT16" s="4" t="str">
        <f t="shared" si="17"/>
        <v>8282 navajo st denver co 80221</v>
      </c>
    </row>
    <row r="17">
      <c r="B17" s="4" t="str">
        <f>B8</f>
        <v/>
      </c>
      <c r="C17" s="8" t="s">
        <v>82</v>
      </c>
      <c r="D17" s="9"/>
      <c r="E17" s="9">
        <f t="shared" ref="E17:AQ17" si="18">median(E12:E16)</f>
        <v>2</v>
      </c>
      <c r="F17" s="9">
        <f t="shared" si="18"/>
        <v>3</v>
      </c>
      <c r="G17" s="9">
        <f t="shared" si="18"/>
        <v>2</v>
      </c>
      <c r="H17" s="9">
        <f t="shared" si="18"/>
        <v>2</v>
      </c>
      <c r="I17" s="9">
        <f t="shared" si="18"/>
        <v>3</v>
      </c>
      <c r="J17" s="9">
        <f t="shared" si="18"/>
        <v>3</v>
      </c>
      <c r="K17" s="9">
        <f t="shared" si="18"/>
        <v>2</v>
      </c>
      <c r="L17" s="9">
        <f t="shared" si="18"/>
        <v>3</v>
      </c>
      <c r="M17" s="9">
        <f t="shared" si="18"/>
        <v>3</v>
      </c>
      <c r="N17" s="9">
        <f t="shared" si="18"/>
        <v>3</v>
      </c>
      <c r="O17" s="9">
        <f t="shared" si="18"/>
        <v>2</v>
      </c>
      <c r="P17" s="9">
        <f t="shared" si="18"/>
        <v>2</v>
      </c>
      <c r="Q17" s="9">
        <f t="shared" si="18"/>
        <v>3</v>
      </c>
      <c r="R17" s="9">
        <f t="shared" si="18"/>
        <v>3</v>
      </c>
      <c r="S17" s="9">
        <f t="shared" si="18"/>
        <v>2</v>
      </c>
      <c r="T17" s="9">
        <f t="shared" si="18"/>
        <v>3</v>
      </c>
      <c r="U17" s="9">
        <f t="shared" si="18"/>
        <v>3</v>
      </c>
      <c r="V17" s="9">
        <f t="shared" si="18"/>
        <v>3</v>
      </c>
      <c r="W17" s="9">
        <f t="shared" si="18"/>
        <v>3</v>
      </c>
      <c r="X17" s="9">
        <f t="shared" si="18"/>
        <v>3</v>
      </c>
      <c r="Y17" s="9">
        <f t="shared" si="18"/>
        <v>4</v>
      </c>
      <c r="Z17" s="9">
        <f t="shared" si="18"/>
        <v>2</v>
      </c>
      <c r="AA17" s="9">
        <f t="shared" si="18"/>
        <v>3</v>
      </c>
      <c r="AB17" s="9">
        <f t="shared" si="18"/>
        <v>3</v>
      </c>
      <c r="AC17" s="9">
        <f t="shared" si="18"/>
        <v>3</v>
      </c>
      <c r="AD17" s="9">
        <f t="shared" si="18"/>
        <v>3</v>
      </c>
      <c r="AE17" s="9">
        <f t="shared" si="18"/>
        <v>3</v>
      </c>
      <c r="AF17" s="9">
        <f t="shared" si="18"/>
        <v>3</v>
      </c>
      <c r="AG17" s="9">
        <f t="shared" si="18"/>
        <v>2</v>
      </c>
      <c r="AH17" s="10">
        <f t="shared" si="18"/>
        <v>1</v>
      </c>
      <c r="AI17" s="10">
        <f t="shared" si="18"/>
        <v>4</v>
      </c>
      <c r="AJ17" s="10">
        <f t="shared" si="18"/>
        <v>2</v>
      </c>
      <c r="AK17" s="10">
        <f t="shared" si="18"/>
        <v>6</v>
      </c>
      <c r="AL17" s="10">
        <f t="shared" si="18"/>
        <v>5</v>
      </c>
      <c r="AM17" s="10">
        <f t="shared" si="18"/>
        <v>6</v>
      </c>
      <c r="AN17" s="10">
        <f t="shared" si="18"/>
        <v>6</v>
      </c>
      <c r="AO17" s="10">
        <f t="shared" si="18"/>
        <v>7</v>
      </c>
      <c r="AP17" s="10">
        <f t="shared" si="18"/>
        <v>4</v>
      </c>
      <c r="AQ17" s="10">
        <f t="shared" si="18"/>
        <v>4</v>
      </c>
    </row>
    <row r="18">
      <c r="C18" s="11" t="s">
        <v>83</v>
      </c>
      <c r="D18" s="12"/>
      <c r="E18" s="12">
        <f t="shared" ref="E18:AQ18" si="19">average(E12:E16)</f>
        <v>2</v>
      </c>
      <c r="F18" s="12">
        <f t="shared" si="19"/>
        <v>2.8</v>
      </c>
      <c r="G18" s="12">
        <f t="shared" si="19"/>
        <v>2.2</v>
      </c>
      <c r="H18" s="12">
        <f t="shared" si="19"/>
        <v>2</v>
      </c>
      <c r="I18" s="12">
        <f t="shared" si="19"/>
        <v>2.6</v>
      </c>
      <c r="J18" s="12">
        <f t="shared" si="19"/>
        <v>2.4</v>
      </c>
      <c r="K18" s="12">
        <f t="shared" si="19"/>
        <v>2</v>
      </c>
      <c r="L18" s="12">
        <f t="shared" si="19"/>
        <v>2.8</v>
      </c>
      <c r="M18" s="12">
        <f t="shared" si="19"/>
        <v>2.8</v>
      </c>
      <c r="N18" s="12">
        <f t="shared" si="19"/>
        <v>2.6</v>
      </c>
      <c r="O18" s="12">
        <f t="shared" si="19"/>
        <v>2</v>
      </c>
      <c r="P18" s="12">
        <f t="shared" si="19"/>
        <v>2.2</v>
      </c>
      <c r="Q18" s="12">
        <f t="shared" si="19"/>
        <v>3</v>
      </c>
      <c r="R18" s="12">
        <f t="shared" si="19"/>
        <v>2.8</v>
      </c>
      <c r="S18" s="12">
        <f t="shared" si="19"/>
        <v>2.6</v>
      </c>
      <c r="T18" s="12">
        <f t="shared" si="19"/>
        <v>2.8</v>
      </c>
      <c r="U18" s="12">
        <f t="shared" si="19"/>
        <v>3</v>
      </c>
      <c r="V18" s="12">
        <f t="shared" si="19"/>
        <v>3</v>
      </c>
      <c r="W18" s="12">
        <f t="shared" si="19"/>
        <v>2.8</v>
      </c>
      <c r="X18" s="12">
        <f t="shared" si="19"/>
        <v>3</v>
      </c>
      <c r="Y18" s="12">
        <f t="shared" si="19"/>
        <v>3.6</v>
      </c>
      <c r="Z18" s="12">
        <f t="shared" si="19"/>
        <v>2.4</v>
      </c>
      <c r="AA18" s="12">
        <f t="shared" si="19"/>
        <v>3.2</v>
      </c>
      <c r="AB18" s="12">
        <f t="shared" si="19"/>
        <v>3</v>
      </c>
      <c r="AC18" s="12">
        <f t="shared" si="19"/>
        <v>3.2</v>
      </c>
      <c r="AD18" s="12">
        <f t="shared" si="19"/>
        <v>2.8</v>
      </c>
      <c r="AE18" s="12">
        <f t="shared" si="19"/>
        <v>2.6</v>
      </c>
      <c r="AF18" s="12">
        <f t="shared" si="19"/>
        <v>2.4</v>
      </c>
      <c r="AG18" s="12">
        <f t="shared" si="19"/>
        <v>1.8</v>
      </c>
      <c r="AH18" s="13">
        <f t="shared" si="19"/>
        <v>2</v>
      </c>
      <c r="AI18" s="13">
        <f t="shared" si="19"/>
        <v>3.8</v>
      </c>
      <c r="AJ18" s="13">
        <f t="shared" si="19"/>
        <v>2.2</v>
      </c>
      <c r="AK18" s="13">
        <f t="shared" si="19"/>
        <v>6.6</v>
      </c>
      <c r="AL18" s="13">
        <f t="shared" si="19"/>
        <v>5.8</v>
      </c>
      <c r="AM18" s="13">
        <f t="shared" si="19"/>
        <v>6</v>
      </c>
      <c r="AN18" s="13">
        <f t="shared" si="19"/>
        <v>6.2</v>
      </c>
      <c r="AO18" s="13">
        <f t="shared" si="19"/>
        <v>7.4</v>
      </c>
      <c r="AP18" s="13">
        <f t="shared" si="19"/>
        <v>5</v>
      </c>
      <c r="AQ18" s="13">
        <f t="shared" si="19"/>
        <v>4.6</v>
      </c>
    </row>
  </sheetData>
  <conditionalFormatting sqref="E17:AG18">
    <cfRule type="colorScale" priority="1">
      <colorScale>
        <cfvo type="min"/>
        <cfvo type="max"/>
        <color rgb="FF3C78D8"/>
        <color rgb="FFCC0000"/>
      </colorScale>
    </cfRule>
  </conditionalFormatting>
  <conditionalFormatting sqref="AH17:AQ18">
    <cfRule type="colorScale" priority="2">
      <colorScale>
        <cfvo type="min"/>
        <cfvo type="max"/>
        <color rgb="FFEA9999"/>
        <color rgb="FFA4C2F4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0"/>
  </cols>
  <sheetData>
    <row r="1">
      <c r="A1" s="14" t="s">
        <v>84</v>
      </c>
      <c r="B1" s="14" t="s">
        <v>85</v>
      </c>
      <c r="C1" s="14" t="s">
        <v>86</v>
      </c>
      <c r="D1" s="14" t="s">
        <v>87</v>
      </c>
      <c r="E1" s="14" t="s">
        <v>88</v>
      </c>
      <c r="F1" s="14" t="s">
        <v>89</v>
      </c>
      <c r="G1" s="14" t="s">
        <v>82</v>
      </c>
      <c r="H1" s="14" t="s">
        <v>90</v>
      </c>
    </row>
    <row r="2">
      <c r="A2" s="15" t="s">
        <v>91</v>
      </c>
      <c r="B2" s="16">
        <v>1.0</v>
      </c>
      <c r="C2" s="16">
        <v>3.0</v>
      </c>
      <c r="D2" s="16">
        <v>1.0</v>
      </c>
      <c r="E2" s="16">
        <v>1.0</v>
      </c>
      <c r="F2" s="16">
        <v>4.0</v>
      </c>
      <c r="G2" s="17">
        <f t="shared" ref="G2:G11" si="1">median(B2:F2)</f>
        <v>1</v>
      </c>
      <c r="H2" s="17">
        <f t="shared" ref="H2:H11" si="2">average(B2:F2)</f>
        <v>2</v>
      </c>
    </row>
    <row r="3">
      <c r="A3" s="15" t="s">
        <v>92</v>
      </c>
      <c r="B3" s="16">
        <v>2.0</v>
      </c>
      <c r="C3" s="16">
        <v>3.0</v>
      </c>
      <c r="D3" s="16">
        <v>2.0</v>
      </c>
      <c r="E3" s="16">
        <v>2.0</v>
      </c>
      <c r="F3" s="16">
        <v>2.0</v>
      </c>
      <c r="G3" s="17">
        <f t="shared" si="1"/>
        <v>2</v>
      </c>
      <c r="H3" s="17">
        <f t="shared" si="2"/>
        <v>2.2</v>
      </c>
    </row>
    <row r="4">
      <c r="A4" s="15" t="s">
        <v>93</v>
      </c>
      <c r="B4" s="16">
        <v>4.0</v>
      </c>
      <c r="C4" s="16">
        <v>4.0</v>
      </c>
      <c r="D4" s="16">
        <v>5.0</v>
      </c>
      <c r="E4" s="16">
        <v>3.0</v>
      </c>
      <c r="F4" s="16">
        <v>3.0</v>
      </c>
      <c r="G4" s="17">
        <f t="shared" si="1"/>
        <v>4</v>
      </c>
      <c r="H4" s="17">
        <f t="shared" si="2"/>
        <v>3.8</v>
      </c>
    </row>
    <row r="5">
      <c r="A5" s="15" t="s">
        <v>94</v>
      </c>
      <c r="B5" s="16">
        <v>4.0</v>
      </c>
      <c r="C5" s="16">
        <v>4.0</v>
      </c>
      <c r="D5" s="16">
        <v>4.0</v>
      </c>
      <c r="E5" s="16">
        <v>6.0</v>
      </c>
      <c r="F5" s="16">
        <v>7.0</v>
      </c>
      <c r="G5" s="17">
        <f t="shared" si="1"/>
        <v>4</v>
      </c>
      <c r="H5" s="17">
        <f t="shared" si="2"/>
        <v>5</v>
      </c>
    </row>
    <row r="6">
      <c r="A6" s="15" t="s">
        <v>95</v>
      </c>
      <c r="B6" s="16">
        <v>8.0</v>
      </c>
      <c r="C6" s="16">
        <v>4.0</v>
      </c>
      <c r="D6" s="16">
        <v>3.0</v>
      </c>
      <c r="E6" s="16">
        <v>7.0</v>
      </c>
      <c r="F6" s="16">
        <v>1.0</v>
      </c>
      <c r="G6" s="17">
        <f t="shared" si="1"/>
        <v>4</v>
      </c>
      <c r="H6" s="17">
        <f t="shared" si="2"/>
        <v>4.6</v>
      </c>
    </row>
    <row r="7">
      <c r="A7" s="15" t="s">
        <v>96</v>
      </c>
      <c r="B7" s="16">
        <v>7.0</v>
      </c>
      <c r="C7" s="16">
        <v>4.0</v>
      </c>
      <c r="D7" s="16">
        <v>8.0</v>
      </c>
      <c r="E7" s="16">
        <v>5.0</v>
      </c>
      <c r="F7" s="16">
        <v>5.0</v>
      </c>
      <c r="G7" s="17">
        <f t="shared" si="1"/>
        <v>5</v>
      </c>
      <c r="H7" s="17">
        <f t="shared" si="2"/>
        <v>5.8</v>
      </c>
    </row>
    <row r="8">
      <c r="A8" s="15" t="s">
        <v>97</v>
      </c>
      <c r="B8" s="16">
        <v>5.0</v>
      </c>
      <c r="C8" s="16">
        <v>5.0</v>
      </c>
      <c r="D8" s="16">
        <v>9.0</v>
      </c>
      <c r="E8" s="16">
        <v>8.0</v>
      </c>
      <c r="F8" s="16">
        <v>6.0</v>
      </c>
      <c r="G8" s="17">
        <f t="shared" si="1"/>
        <v>6</v>
      </c>
      <c r="H8" s="17">
        <f t="shared" si="2"/>
        <v>6.6</v>
      </c>
    </row>
    <row r="9">
      <c r="A9" s="15" t="s">
        <v>98</v>
      </c>
      <c r="B9" s="16">
        <v>6.0</v>
      </c>
      <c r="C9" s="16">
        <v>4.0</v>
      </c>
      <c r="D9" s="16">
        <v>6.0</v>
      </c>
      <c r="E9" s="16">
        <v>5.0</v>
      </c>
      <c r="F9" s="16">
        <v>9.0</v>
      </c>
      <c r="G9" s="17">
        <f t="shared" si="1"/>
        <v>6</v>
      </c>
      <c r="H9" s="17">
        <f t="shared" si="2"/>
        <v>6</v>
      </c>
    </row>
    <row r="10">
      <c r="A10" s="15" t="s">
        <v>99</v>
      </c>
      <c r="B10" s="16">
        <v>3.0</v>
      </c>
      <c r="C10" s="16">
        <v>6.0</v>
      </c>
      <c r="D10" s="16">
        <v>10.0</v>
      </c>
      <c r="E10" s="16">
        <v>4.0</v>
      </c>
      <c r="F10" s="16">
        <v>8.0</v>
      </c>
      <c r="G10" s="17">
        <f t="shared" si="1"/>
        <v>6</v>
      </c>
      <c r="H10" s="17">
        <f t="shared" si="2"/>
        <v>6.2</v>
      </c>
    </row>
    <row r="11">
      <c r="A11" s="15" t="s">
        <v>100</v>
      </c>
      <c r="B11" s="16">
        <v>8.0</v>
      </c>
      <c r="C11" s="16">
        <v>5.0</v>
      </c>
      <c r="D11" s="16">
        <v>7.0</v>
      </c>
      <c r="E11" s="16">
        <v>7.0</v>
      </c>
      <c r="F11" s="16">
        <v>10.0</v>
      </c>
      <c r="G11" s="17">
        <f t="shared" si="1"/>
        <v>7</v>
      </c>
      <c r="H11" s="17">
        <f t="shared" si="2"/>
        <v>7.4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101</v>
      </c>
      <c r="B1" s="14" t="s">
        <v>85</v>
      </c>
      <c r="C1" s="14" t="s">
        <v>86</v>
      </c>
      <c r="D1" s="14" t="s">
        <v>87</v>
      </c>
      <c r="E1" s="14" t="s">
        <v>88</v>
      </c>
      <c r="F1" s="14" t="s">
        <v>89</v>
      </c>
      <c r="G1" s="14" t="s">
        <v>82</v>
      </c>
      <c r="H1" s="14" t="s">
        <v>90</v>
      </c>
    </row>
    <row r="2">
      <c r="A2" s="15" t="s">
        <v>102</v>
      </c>
      <c r="B2" s="15">
        <v>3.0</v>
      </c>
      <c r="C2" s="15">
        <v>3.0</v>
      </c>
      <c r="D2" s="15">
        <v>4.0</v>
      </c>
      <c r="E2" s="15">
        <v>4.0</v>
      </c>
      <c r="F2" s="15">
        <v>4.0</v>
      </c>
      <c r="G2" s="15">
        <f t="shared" ref="G2:G30" si="1">median(B2:F2)</f>
        <v>4</v>
      </c>
      <c r="H2" s="15">
        <f t="shared" ref="H2:H30" si="2">AVERAGE(B2:F2)</f>
        <v>3.6</v>
      </c>
    </row>
    <row r="3">
      <c r="A3" s="15" t="s">
        <v>103</v>
      </c>
      <c r="B3" s="15">
        <v>3.0</v>
      </c>
      <c r="C3" s="15">
        <v>2.0</v>
      </c>
      <c r="D3" s="15">
        <v>4.0</v>
      </c>
      <c r="E3" s="15">
        <v>3.0</v>
      </c>
      <c r="F3" s="15">
        <v>4.0</v>
      </c>
      <c r="G3" s="15">
        <f t="shared" si="1"/>
        <v>3</v>
      </c>
      <c r="H3" s="15">
        <f t="shared" si="2"/>
        <v>3.2</v>
      </c>
    </row>
    <row r="4">
      <c r="A4" s="15" t="s">
        <v>104</v>
      </c>
      <c r="B4" s="15">
        <v>3.0</v>
      </c>
      <c r="C4" s="15">
        <v>2.0</v>
      </c>
      <c r="D4" s="15">
        <v>3.0</v>
      </c>
      <c r="E4" s="15">
        <v>4.0</v>
      </c>
      <c r="F4" s="15">
        <v>4.0</v>
      </c>
      <c r="G4" s="15">
        <f t="shared" si="1"/>
        <v>3</v>
      </c>
      <c r="H4" s="15">
        <f t="shared" si="2"/>
        <v>3.2</v>
      </c>
    </row>
    <row r="5">
      <c r="A5" s="15" t="s">
        <v>105</v>
      </c>
      <c r="B5" s="15">
        <v>2.0</v>
      </c>
      <c r="C5" s="15">
        <v>2.0</v>
      </c>
      <c r="D5" s="15">
        <v>4.0</v>
      </c>
      <c r="E5" s="15">
        <v>4.0</v>
      </c>
      <c r="F5" s="15">
        <v>3.0</v>
      </c>
      <c r="G5" s="15">
        <f t="shared" si="1"/>
        <v>3</v>
      </c>
      <c r="H5" s="15">
        <f t="shared" si="2"/>
        <v>3</v>
      </c>
    </row>
    <row r="6">
      <c r="A6" s="15" t="s">
        <v>106</v>
      </c>
      <c r="B6" s="15">
        <v>3.0</v>
      </c>
      <c r="C6" s="15">
        <v>2.0</v>
      </c>
      <c r="D6" s="15">
        <v>3.0</v>
      </c>
      <c r="E6" s="15">
        <v>3.0</v>
      </c>
      <c r="F6" s="15">
        <v>4.0</v>
      </c>
      <c r="G6" s="15">
        <f t="shared" si="1"/>
        <v>3</v>
      </c>
      <c r="H6" s="15">
        <f t="shared" si="2"/>
        <v>3</v>
      </c>
    </row>
    <row r="7">
      <c r="A7" s="15" t="s">
        <v>107</v>
      </c>
      <c r="B7" s="15">
        <v>3.0</v>
      </c>
      <c r="C7" s="15">
        <v>3.0</v>
      </c>
      <c r="D7" s="15">
        <v>3.0</v>
      </c>
      <c r="E7" s="15">
        <v>3.0</v>
      </c>
      <c r="F7" s="15">
        <v>3.0</v>
      </c>
      <c r="G7" s="15">
        <f t="shared" si="1"/>
        <v>3</v>
      </c>
      <c r="H7" s="15">
        <f t="shared" si="2"/>
        <v>3</v>
      </c>
    </row>
    <row r="8">
      <c r="A8" s="15" t="s">
        <v>108</v>
      </c>
      <c r="B8" s="15">
        <v>2.0</v>
      </c>
      <c r="C8" s="15">
        <v>2.0</v>
      </c>
      <c r="D8" s="15">
        <v>4.0</v>
      </c>
      <c r="E8" s="15">
        <v>4.0</v>
      </c>
      <c r="F8" s="15">
        <v>3.0</v>
      </c>
      <c r="G8" s="15">
        <f t="shared" si="1"/>
        <v>3</v>
      </c>
      <c r="H8" s="15">
        <f t="shared" si="2"/>
        <v>3</v>
      </c>
    </row>
    <row r="9">
      <c r="A9" s="15" t="s">
        <v>109</v>
      </c>
      <c r="B9" s="15">
        <v>3.0</v>
      </c>
      <c r="C9" s="15">
        <v>2.0</v>
      </c>
      <c r="D9" s="15">
        <v>3.0</v>
      </c>
      <c r="E9" s="15">
        <v>3.0</v>
      </c>
      <c r="F9" s="15">
        <v>4.0</v>
      </c>
      <c r="G9" s="15">
        <f t="shared" si="1"/>
        <v>3</v>
      </c>
      <c r="H9" s="15">
        <f t="shared" si="2"/>
        <v>3</v>
      </c>
    </row>
    <row r="10">
      <c r="A10" s="15" t="s">
        <v>110</v>
      </c>
      <c r="B10" s="15">
        <v>1.0</v>
      </c>
      <c r="C10" s="15">
        <v>2.0</v>
      </c>
      <c r="D10" s="15">
        <v>3.0</v>
      </c>
      <c r="E10" s="15">
        <v>4.0</v>
      </c>
      <c r="F10" s="15">
        <v>4.0</v>
      </c>
      <c r="G10" s="15">
        <f t="shared" si="1"/>
        <v>3</v>
      </c>
      <c r="H10" s="15">
        <f t="shared" si="2"/>
        <v>2.8</v>
      </c>
    </row>
    <row r="11">
      <c r="A11" s="15" t="s">
        <v>111</v>
      </c>
      <c r="B11" s="15">
        <v>3.0</v>
      </c>
      <c r="C11" s="15">
        <v>3.0</v>
      </c>
      <c r="D11" s="15">
        <v>2.0</v>
      </c>
      <c r="E11" s="15">
        <v>2.0</v>
      </c>
      <c r="F11" s="15">
        <v>4.0</v>
      </c>
      <c r="G11" s="15">
        <f t="shared" si="1"/>
        <v>3</v>
      </c>
      <c r="H11" s="15">
        <f t="shared" si="2"/>
        <v>2.8</v>
      </c>
    </row>
    <row r="12">
      <c r="A12" s="15" t="s">
        <v>112</v>
      </c>
      <c r="B12" s="15">
        <v>2.0</v>
      </c>
      <c r="C12" s="15">
        <v>2.0</v>
      </c>
      <c r="D12" s="15">
        <v>4.0</v>
      </c>
      <c r="E12" s="15">
        <v>3.0</v>
      </c>
      <c r="F12" s="15">
        <v>3.0</v>
      </c>
      <c r="G12" s="15">
        <f t="shared" si="1"/>
        <v>3</v>
      </c>
      <c r="H12" s="15">
        <f t="shared" si="2"/>
        <v>2.8</v>
      </c>
    </row>
    <row r="13">
      <c r="A13" s="15" t="s">
        <v>113</v>
      </c>
      <c r="B13" s="15">
        <v>2.0</v>
      </c>
      <c r="C13" s="15">
        <v>2.0</v>
      </c>
      <c r="D13" s="15">
        <v>3.0</v>
      </c>
      <c r="E13" s="15">
        <v>4.0</v>
      </c>
      <c r="F13" s="15">
        <v>3.0</v>
      </c>
      <c r="G13" s="15">
        <f t="shared" si="1"/>
        <v>3</v>
      </c>
      <c r="H13" s="15">
        <f t="shared" si="2"/>
        <v>2.8</v>
      </c>
    </row>
    <row r="14">
      <c r="A14" s="15" t="s">
        <v>114</v>
      </c>
      <c r="B14" s="15">
        <v>3.0</v>
      </c>
      <c r="C14" s="15">
        <v>2.0</v>
      </c>
      <c r="D14" s="15">
        <v>3.0</v>
      </c>
      <c r="E14" s="15">
        <v>3.0</v>
      </c>
      <c r="F14" s="15">
        <v>3.0</v>
      </c>
      <c r="G14" s="15">
        <f t="shared" si="1"/>
        <v>3</v>
      </c>
      <c r="H14" s="15">
        <f t="shared" si="2"/>
        <v>2.8</v>
      </c>
    </row>
    <row r="15">
      <c r="A15" s="15" t="s">
        <v>115</v>
      </c>
      <c r="B15" s="15">
        <v>2.0</v>
      </c>
      <c r="C15" s="15">
        <v>2.0</v>
      </c>
      <c r="D15" s="15">
        <v>3.0</v>
      </c>
      <c r="E15" s="15">
        <v>4.0</v>
      </c>
      <c r="F15" s="15">
        <v>3.0</v>
      </c>
      <c r="G15" s="15">
        <f t="shared" si="1"/>
        <v>3</v>
      </c>
      <c r="H15" s="15">
        <f t="shared" si="2"/>
        <v>2.8</v>
      </c>
    </row>
    <row r="16">
      <c r="A16" s="15" t="s">
        <v>116</v>
      </c>
      <c r="B16" s="15">
        <v>3.0</v>
      </c>
      <c r="C16" s="15">
        <v>2.0</v>
      </c>
      <c r="D16" s="15">
        <v>3.0</v>
      </c>
      <c r="E16" s="15">
        <v>3.0</v>
      </c>
      <c r="F16" s="15">
        <v>3.0</v>
      </c>
      <c r="G16" s="15">
        <f t="shared" si="1"/>
        <v>3</v>
      </c>
      <c r="H16" s="15">
        <f t="shared" si="2"/>
        <v>2.8</v>
      </c>
    </row>
    <row r="17">
      <c r="A17" s="15" t="s">
        <v>117</v>
      </c>
      <c r="B17" s="15">
        <v>2.0</v>
      </c>
      <c r="C17" s="15">
        <v>2.0</v>
      </c>
      <c r="D17" s="15">
        <v>3.0</v>
      </c>
      <c r="E17" s="15">
        <v>3.0</v>
      </c>
      <c r="F17" s="15">
        <v>3.0</v>
      </c>
      <c r="G17" s="15">
        <f t="shared" si="1"/>
        <v>3</v>
      </c>
      <c r="H17" s="15">
        <f t="shared" si="2"/>
        <v>2.6</v>
      </c>
    </row>
    <row r="18">
      <c r="A18" s="15" t="s">
        <v>118</v>
      </c>
      <c r="B18" s="15">
        <v>1.0</v>
      </c>
      <c r="C18" s="15">
        <v>2.0</v>
      </c>
      <c r="D18" s="15">
        <v>3.0</v>
      </c>
      <c r="E18" s="15">
        <v>3.0</v>
      </c>
      <c r="F18" s="15">
        <v>4.0</v>
      </c>
      <c r="G18" s="15">
        <f t="shared" si="1"/>
        <v>3</v>
      </c>
      <c r="H18" s="15">
        <f t="shared" si="2"/>
        <v>2.6</v>
      </c>
    </row>
    <row r="19">
      <c r="A19" s="15" t="s">
        <v>119</v>
      </c>
      <c r="B19" s="15">
        <v>3.0</v>
      </c>
      <c r="C19" s="15">
        <v>3.0</v>
      </c>
      <c r="D19" s="15">
        <v>2.0</v>
      </c>
      <c r="E19" s="15">
        <v>2.0</v>
      </c>
      <c r="F19" s="15">
        <v>3.0</v>
      </c>
      <c r="G19" s="15">
        <f t="shared" si="1"/>
        <v>3</v>
      </c>
      <c r="H19" s="15">
        <f t="shared" si="2"/>
        <v>2.6</v>
      </c>
    </row>
    <row r="20">
      <c r="A20" s="15" t="s">
        <v>120</v>
      </c>
      <c r="B20" s="15">
        <v>1.0</v>
      </c>
      <c r="C20" s="15">
        <v>2.0</v>
      </c>
      <c r="D20" s="15">
        <v>3.0</v>
      </c>
      <c r="E20" s="15">
        <v>3.0</v>
      </c>
      <c r="F20" s="15">
        <v>3.0</v>
      </c>
      <c r="G20" s="15">
        <f t="shared" si="1"/>
        <v>3</v>
      </c>
      <c r="H20" s="15">
        <f t="shared" si="2"/>
        <v>2.4</v>
      </c>
    </row>
    <row r="21">
      <c r="A21" s="15" t="s">
        <v>121</v>
      </c>
      <c r="B21" s="15">
        <v>1.0</v>
      </c>
      <c r="C21" s="15">
        <v>2.0</v>
      </c>
      <c r="D21" s="15">
        <v>3.0</v>
      </c>
      <c r="E21" s="15">
        <v>3.0</v>
      </c>
      <c r="F21" s="15">
        <v>3.0</v>
      </c>
      <c r="G21" s="15">
        <f t="shared" si="1"/>
        <v>3</v>
      </c>
      <c r="H21" s="15">
        <f t="shared" si="2"/>
        <v>2.4</v>
      </c>
    </row>
    <row r="22">
      <c r="A22" s="15" t="s">
        <v>122</v>
      </c>
      <c r="B22" s="15">
        <v>2.0</v>
      </c>
      <c r="C22" s="15">
        <v>2.0</v>
      </c>
      <c r="D22" s="15">
        <v>3.0</v>
      </c>
      <c r="E22" s="15">
        <v>4.0</v>
      </c>
      <c r="F22" s="15">
        <v>2.0</v>
      </c>
      <c r="G22" s="15">
        <f t="shared" si="1"/>
        <v>2</v>
      </c>
      <c r="H22" s="15">
        <f t="shared" si="2"/>
        <v>2.6</v>
      </c>
    </row>
    <row r="23">
      <c r="A23" s="15" t="s">
        <v>123</v>
      </c>
      <c r="B23" s="15">
        <v>1.0</v>
      </c>
      <c r="C23" s="15">
        <v>2.0</v>
      </c>
      <c r="D23" s="15">
        <v>2.0</v>
      </c>
      <c r="E23" s="15">
        <v>3.0</v>
      </c>
      <c r="F23" s="15">
        <v>4.0</v>
      </c>
      <c r="G23" s="15">
        <f t="shared" si="1"/>
        <v>2</v>
      </c>
      <c r="H23" s="15">
        <f t="shared" si="2"/>
        <v>2.4</v>
      </c>
    </row>
    <row r="24">
      <c r="A24" s="15" t="s">
        <v>124</v>
      </c>
      <c r="B24" s="15">
        <v>2.0</v>
      </c>
      <c r="C24" s="15">
        <v>2.0</v>
      </c>
      <c r="D24" s="15">
        <v>3.0</v>
      </c>
      <c r="E24" s="15">
        <v>1.0</v>
      </c>
      <c r="F24" s="15">
        <v>3.0</v>
      </c>
      <c r="G24" s="15">
        <f t="shared" si="1"/>
        <v>2</v>
      </c>
      <c r="H24" s="15">
        <f t="shared" si="2"/>
        <v>2.2</v>
      </c>
    </row>
    <row r="25">
      <c r="A25" s="15" t="s">
        <v>125</v>
      </c>
      <c r="B25" s="15">
        <v>1.0</v>
      </c>
      <c r="C25" s="15">
        <v>2.0</v>
      </c>
      <c r="D25" s="15">
        <v>2.0</v>
      </c>
      <c r="E25" s="15">
        <v>3.0</v>
      </c>
      <c r="F25" s="15">
        <v>3.0</v>
      </c>
      <c r="G25" s="15">
        <f t="shared" si="1"/>
        <v>2</v>
      </c>
      <c r="H25" s="15">
        <f t="shared" si="2"/>
        <v>2.2</v>
      </c>
    </row>
    <row r="26">
      <c r="A26" s="15" t="s">
        <v>126</v>
      </c>
      <c r="B26" s="15">
        <v>1.0</v>
      </c>
      <c r="C26" s="15">
        <v>2.0</v>
      </c>
      <c r="D26" s="15">
        <v>1.0</v>
      </c>
      <c r="E26" s="15">
        <v>3.0</v>
      </c>
      <c r="F26" s="15">
        <v>3.0</v>
      </c>
      <c r="G26" s="15">
        <f t="shared" si="1"/>
        <v>2</v>
      </c>
      <c r="H26" s="15">
        <f t="shared" si="2"/>
        <v>2</v>
      </c>
    </row>
    <row r="27">
      <c r="A27" s="15" t="s">
        <v>127</v>
      </c>
      <c r="B27" s="15">
        <v>2.0</v>
      </c>
      <c r="C27" s="15">
        <v>3.0</v>
      </c>
      <c r="D27" s="15">
        <v>1.0</v>
      </c>
      <c r="E27" s="15">
        <v>1.0</v>
      </c>
      <c r="F27" s="15">
        <v>3.0</v>
      </c>
      <c r="G27" s="15">
        <f t="shared" si="1"/>
        <v>2</v>
      </c>
      <c r="H27" s="15">
        <f t="shared" si="2"/>
        <v>2</v>
      </c>
    </row>
    <row r="28">
      <c r="A28" s="15" t="s">
        <v>128</v>
      </c>
      <c r="B28" s="15">
        <v>1.0</v>
      </c>
      <c r="C28" s="15">
        <v>2.0</v>
      </c>
      <c r="D28" s="15">
        <v>2.0</v>
      </c>
      <c r="E28" s="15">
        <v>2.0</v>
      </c>
      <c r="F28" s="15">
        <v>3.0</v>
      </c>
      <c r="G28" s="15">
        <f t="shared" si="1"/>
        <v>2</v>
      </c>
      <c r="H28" s="15">
        <f t="shared" si="2"/>
        <v>2</v>
      </c>
    </row>
    <row r="29">
      <c r="A29" s="15" t="s">
        <v>129</v>
      </c>
      <c r="B29" s="15">
        <v>1.0</v>
      </c>
      <c r="C29" s="15">
        <v>2.0</v>
      </c>
      <c r="D29" s="15">
        <v>2.0</v>
      </c>
      <c r="E29" s="15">
        <v>2.0</v>
      </c>
      <c r="F29" s="15">
        <v>3.0</v>
      </c>
      <c r="G29" s="15">
        <f t="shared" si="1"/>
        <v>2</v>
      </c>
      <c r="H29" s="15">
        <f t="shared" si="2"/>
        <v>2</v>
      </c>
    </row>
    <row r="30">
      <c r="A30" s="15" t="s">
        <v>130</v>
      </c>
      <c r="B30" s="15">
        <v>1.0</v>
      </c>
      <c r="C30" s="15">
        <v>2.0</v>
      </c>
      <c r="D30" s="15">
        <v>1.0</v>
      </c>
      <c r="E30" s="15">
        <v>2.0</v>
      </c>
      <c r="F30" s="15">
        <v>3.0</v>
      </c>
      <c r="G30" s="15">
        <f t="shared" si="1"/>
        <v>2</v>
      </c>
      <c r="H30" s="15">
        <f t="shared" si="2"/>
        <v>1.8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131</v>
      </c>
      <c r="B1" s="3" t="s">
        <v>132</v>
      </c>
    </row>
    <row r="2">
      <c r="A2" s="3" t="s">
        <v>65</v>
      </c>
      <c r="B2" s="3">
        <v>4.0</v>
      </c>
    </row>
    <row r="3">
      <c r="A3" s="3" t="s">
        <v>50</v>
      </c>
      <c r="B3" s="3">
        <v>3.0</v>
      </c>
    </row>
    <row r="4">
      <c r="A4" s="3" t="s">
        <v>51</v>
      </c>
      <c r="B4" s="3">
        <v>2.0</v>
      </c>
    </row>
    <row r="5">
      <c r="A5" s="3" t="s">
        <v>49</v>
      </c>
      <c r="B5" s="3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133</v>
      </c>
      <c r="B1" s="3" t="s">
        <v>134</v>
      </c>
    </row>
    <row r="2">
      <c r="A2" s="3" t="s">
        <v>135</v>
      </c>
      <c r="B2" s="3">
        <v>7.5</v>
      </c>
    </row>
    <row r="3">
      <c r="A3" s="3" t="s">
        <v>136</v>
      </c>
      <c r="B3" s="3">
        <v>5.0</v>
      </c>
    </row>
    <row r="4">
      <c r="A4" s="3" t="s">
        <v>137</v>
      </c>
      <c r="B4" s="3">
        <v>7.5</v>
      </c>
    </row>
    <row r="5">
      <c r="A5" s="3" t="s">
        <v>138</v>
      </c>
      <c r="B5" s="3">
        <v>2.5</v>
      </c>
    </row>
    <row r="6">
      <c r="A6" s="3" t="s">
        <v>139</v>
      </c>
      <c r="B6" s="3">
        <v>27.5</v>
      </c>
    </row>
    <row r="7">
      <c r="B7" s="4">
        <f>median(B2:B6)</f>
        <v>7.5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8.5"/>
  </cols>
  <sheetData>
    <row r="1">
      <c r="A1" s="3" t="s">
        <v>133</v>
      </c>
      <c r="B1" s="3" t="s">
        <v>140</v>
      </c>
      <c r="C1" s="3" t="s">
        <v>141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</row>
    <row r="2">
      <c r="A2" s="3" t="s">
        <v>135</v>
      </c>
      <c r="B2" s="3" t="s">
        <v>148</v>
      </c>
      <c r="D2" s="3" t="s">
        <v>148</v>
      </c>
      <c r="E2" s="3"/>
      <c r="F2" s="3" t="s">
        <v>148</v>
      </c>
    </row>
    <row r="3">
      <c r="A3" s="3" t="s">
        <v>136</v>
      </c>
      <c r="B3" s="3" t="s">
        <v>148</v>
      </c>
      <c r="H3" s="3" t="s">
        <v>148</v>
      </c>
    </row>
    <row r="4">
      <c r="A4" s="3" t="s">
        <v>137</v>
      </c>
      <c r="B4" s="3" t="s">
        <v>148</v>
      </c>
      <c r="C4" s="3" t="s">
        <v>148</v>
      </c>
      <c r="F4" s="3" t="s">
        <v>148</v>
      </c>
      <c r="G4" s="3" t="s">
        <v>148</v>
      </c>
      <c r="H4" s="3" t="s">
        <v>148</v>
      </c>
    </row>
    <row r="5">
      <c r="A5" s="3" t="s">
        <v>138</v>
      </c>
      <c r="B5" s="3" t="s">
        <v>148</v>
      </c>
      <c r="G5" s="3" t="s">
        <v>148</v>
      </c>
      <c r="H5" s="3" t="s">
        <v>148</v>
      </c>
    </row>
    <row r="6">
      <c r="A6" s="3" t="s">
        <v>139</v>
      </c>
      <c r="B6" s="3" t="s">
        <v>148</v>
      </c>
      <c r="C6" s="3" t="s">
        <v>148</v>
      </c>
      <c r="D6" s="3" t="s">
        <v>148</v>
      </c>
      <c r="E6" s="3" t="s">
        <v>148</v>
      </c>
      <c r="I6" s="3" t="s">
        <v>148</v>
      </c>
    </row>
    <row r="7">
      <c r="B7" s="4">
        <f t="shared" ref="B7:I7" si="1">COUNTA(B2:B6)</f>
        <v>5</v>
      </c>
      <c r="C7" s="4">
        <f t="shared" si="1"/>
        <v>2</v>
      </c>
      <c r="D7" s="4">
        <f t="shared" si="1"/>
        <v>2</v>
      </c>
      <c r="E7" s="4">
        <f t="shared" si="1"/>
        <v>1</v>
      </c>
      <c r="F7" s="4">
        <f t="shared" si="1"/>
        <v>2</v>
      </c>
      <c r="G7" s="4">
        <f t="shared" si="1"/>
        <v>2</v>
      </c>
      <c r="H7" s="4">
        <f t="shared" si="1"/>
        <v>3</v>
      </c>
      <c r="I7" s="4">
        <f t="shared" si="1"/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8.63"/>
    <col customWidth="1" min="9" max="9" width="7.0"/>
    <col customWidth="1" min="10" max="10" width="5.38"/>
  </cols>
  <sheetData>
    <row r="1">
      <c r="A1" s="3" t="s">
        <v>133</v>
      </c>
      <c r="B1" s="3" t="s">
        <v>149</v>
      </c>
      <c r="C1" s="3" t="s">
        <v>150</v>
      </c>
      <c r="D1" s="3" t="s">
        <v>151</v>
      </c>
      <c r="E1" s="3" t="s">
        <v>152</v>
      </c>
      <c r="F1" s="3" t="s">
        <v>153</v>
      </c>
      <c r="G1" s="3" t="s">
        <v>154</v>
      </c>
      <c r="H1" s="3" t="s">
        <v>155</v>
      </c>
      <c r="I1" s="3" t="s">
        <v>156</v>
      </c>
      <c r="J1" s="3" t="s">
        <v>157</v>
      </c>
    </row>
    <row r="2">
      <c r="A2" s="3" t="s">
        <v>135</v>
      </c>
      <c r="B2" s="3" t="s">
        <v>148</v>
      </c>
      <c r="C2" s="3" t="s">
        <v>148</v>
      </c>
      <c r="D2" s="3" t="s">
        <v>148</v>
      </c>
    </row>
    <row r="3">
      <c r="A3" s="3" t="s">
        <v>136</v>
      </c>
      <c r="E3" s="3" t="s">
        <v>148</v>
      </c>
    </row>
    <row r="4">
      <c r="A4" s="3" t="s">
        <v>137</v>
      </c>
      <c r="B4" s="3" t="s">
        <v>148</v>
      </c>
      <c r="C4" s="3" t="s">
        <v>148</v>
      </c>
      <c r="F4" s="3" t="s">
        <v>148</v>
      </c>
      <c r="G4" s="3" t="s">
        <v>148</v>
      </c>
    </row>
    <row r="5">
      <c r="A5" s="3" t="s">
        <v>138</v>
      </c>
      <c r="B5" s="3" t="s">
        <v>148</v>
      </c>
      <c r="G5" s="3" t="s">
        <v>148</v>
      </c>
      <c r="I5" s="3" t="s">
        <v>148</v>
      </c>
    </row>
    <row r="6">
      <c r="A6" s="3" t="s">
        <v>139</v>
      </c>
      <c r="D6" s="3" t="s">
        <v>148</v>
      </c>
      <c r="H6" s="3" t="s">
        <v>148</v>
      </c>
      <c r="J6" s="3" t="s">
        <v>148</v>
      </c>
    </row>
    <row r="7">
      <c r="B7" s="4">
        <f t="shared" ref="B7:J7" si="1">counta(B2:B6)</f>
        <v>3</v>
      </c>
      <c r="C7" s="4">
        <f t="shared" si="1"/>
        <v>2</v>
      </c>
      <c r="D7" s="4">
        <f t="shared" si="1"/>
        <v>2</v>
      </c>
      <c r="E7" s="4">
        <f t="shared" si="1"/>
        <v>1</v>
      </c>
      <c r="F7" s="4">
        <f t="shared" si="1"/>
        <v>1</v>
      </c>
      <c r="G7" s="4">
        <f t="shared" si="1"/>
        <v>2</v>
      </c>
      <c r="H7" s="4">
        <f t="shared" si="1"/>
        <v>1</v>
      </c>
      <c r="I7" s="4">
        <f t="shared" si="1"/>
        <v>1</v>
      </c>
      <c r="J7" s="4">
        <f t="shared" si="1"/>
        <v>1</v>
      </c>
    </row>
  </sheetData>
  <drawing r:id="rId1"/>
</worksheet>
</file>